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xampp\htdocs\dokuwiki\data\pages\Code_database_edition\source_import\Loubet\"/>
    </mc:Choice>
  </mc:AlternateContent>
  <xr:revisionPtr revIDLastSave="0" documentId="13_ncr:1_{741804AD-5365-4B42-841B-BB237E334EBF}" xr6:coauthVersionLast="47" xr6:coauthVersionMax="47" xr10:uidLastSave="{00000000-0000-0000-0000-000000000000}"/>
  <bookViews>
    <workbookView xWindow="-110" yWindow="-110" windowWidth="19420" windowHeight="10420" tabRatio="765" xr2:uid="{00000000-000D-0000-FFFF-FFFF00000000}"/>
  </bookViews>
  <sheets>
    <sheet name="S1 - LCI tables (S1.1-7)" sheetId="1" r:id="rId1"/>
    <sheet name="S2 - Chassis info (S2.1-6)" sheetId="2" r:id="rId2"/>
    <sheet name="S3 - Energy use" sheetId="10" r:id="rId3"/>
    <sheet name="LCIA raw results SC1" sheetId="3" state="hidden" r:id="rId4"/>
    <sheet name="LCIA raw results SC2" sheetId="4" state="hidden" r:id="rId5"/>
    <sheet name="S4 - LCIA results scenario1" sheetId="5" r:id="rId6"/>
    <sheet name="S5 - LCIA results scenario2" sheetId="6" r:id="rId7"/>
    <sheet name="S6 - LCIA Comparison sc1-2" sheetId="7" r:id="rId8"/>
    <sheet name="S7 - Laptop Comparison" sheetId="9" r:id="rId9"/>
    <sheet name="S8 - Cost Comparison" sheetId="8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D4" i="5"/>
  <c r="D3" i="5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2" i="3"/>
  <c r="H163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9" i="3"/>
  <c r="H370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2" i="3"/>
  <c r="K3" i="3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E14" i="9" l="1"/>
  <c r="D12" i="9"/>
  <c r="D15" i="9" s="1"/>
  <c r="C12" i="9"/>
  <c r="C15" i="9" s="1"/>
  <c r="D5" i="9"/>
  <c r="C5" i="9"/>
  <c r="C5" i="10" l="1"/>
  <c r="C6" i="10"/>
  <c r="C4" i="10"/>
  <c r="J5" i="10" l="1"/>
  <c r="H5" i="10"/>
  <c r="E5" i="10"/>
  <c r="J4" i="10"/>
  <c r="E4" i="10"/>
  <c r="H4" i="10"/>
  <c r="J6" i="10"/>
  <c r="H6" i="10"/>
  <c r="E6" i="10"/>
  <c r="D18" i="9"/>
  <c r="C18" i="9"/>
  <c r="F4" i="10" l="1"/>
  <c r="C51" i="1"/>
  <c r="C10" i="9"/>
  <c r="C14" i="9" s="1"/>
  <c r="L3" i="4"/>
  <c r="C112" i="1"/>
  <c r="D10" i="9"/>
  <c r="L4" i="4"/>
  <c r="L5" i="4" s="1"/>
  <c r="K4" i="10"/>
  <c r="C79" i="1"/>
  <c r="D11" i="9"/>
  <c r="E16" i="9"/>
  <c r="E19" i="9" s="1"/>
  <c r="C16" i="9"/>
  <c r="C19" i="9" s="1"/>
  <c r="E17" i="9"/>
  <c r="D14" i="9" l="1"/>
  <c r="D16" i="9" s="1"/>
  <c r="D19" i="9" s="1"/>
  <c r="J3" i="3"/>
  <c r="L5" i="8"/>
  <c r="L4" i="8"/>
  <c r="L6" i="8"/>
  <c r="L9" i="8"/>
  <c r="L12" i="8"/>
  <c r="M12" i="8" s="1"/>
  <c r="L8" i="8"/>
  <c r="L10" i="8"/>
  <c r="L11" i="8"/>
  <c r="L7" i="8"/>
  <c r="H115" i="3"/>
  <c r="O24" i="5" s="1"/>
  <c r="H138" i="3"/>
  <c r="I24" i="5" s="1"/>
  <c r="H322" i="3"/>
  <c r="E24" i="5" s="1"/>
  <c r="H345" i="3"/>
  <c r="N24" i="5" s="1"/>
  <c r="H276" i="3"/>
  <c r="S24" i="5" s="1"/>
  <c r="S3" i="5" s="1"/>
  <c r="Q3" i="7" s="1"/>
  <c r="H23" i="3"/>
  <c r="D24" i="5" s="1"/>
  <c r="H164" i="3"/>
  <c r="H24" i="5" s="1"/>
  <c r="H230" i="3"/>
  <c r="L24" i="5" s="1"/>
  <c r="H92" i="3"/>
  <c r="K24" i="5" s="1"/>
  <c r="H46" i="3"/>
  <c r="G24" i="5" s="1"/>
  <c r="H371" i="3"/>
  <c r="T24" i="5" s="1"/>
  <c r="H161" i="3"/>
  <c r="J24" i="5" s="1"/>
  <c r="H368" i="3"/>
  <c r="M24" i="5" s="1"/>
  <c r="M34" i="5" s="1"/>
  <c r="H69" i="3"/>
  <c r="R24" i="5" s="1"/>
  <c r="H253" i="3"/>
  <c r="P24" i="5" s="1"/>
  <c r="H207" i="3"/>
  <c r="Q24" i="5" s="1"/>
  <c r="H299" i="3"/>
  <c r="F24" i="5" s="1"/>
  <c r="E20" i="9"/>
  <c r="B25" i="8"/>
  <c r="B20" i="8"/>
  <c r="B24" i="8" s="1"/>
  <c r="O12" i="8"/>
  <c r="K12" i="8"/>
  <c r="J12" i="8"/>
  <c r="G12" i="8"/>
  <c r="D12" i="8"/>
  <c r="K11" i="8"/>
  <c r="M11" i="8" s="1"/>
  <c r="J11" i="8"/>
  <c r="O11" i="8" s="1"/>
  <c r="G11" i="8"/>
  <c r="D11" i="8"/>
  <c r="M10" i="8"/>
  <c r="K10" i="8"/>
  <c r="J10" i="8"/>
  <c r="G10" i="8"/>
  <c r="D10" i="8"/>
  <c r="O10" i="8" s="1"/>
  <c r="K9" i="8"/>
  <c r="M9" i="8" s="1"/>
  <c r="J9" i="8"/>
  <c r="G9" i="8"/>
  <c r="D9" i="8"/>
  <c r="O9" i="8" s="1"/>
  <c r="O8" i="8"/>
  <c r="M8" i="8"/>
  <c r="K8" i="8"/>
  <c r="J8" i="8"/>
  <c r="G8" i="8"/>
  <c r="D8" i="8"/>
  <c r="K7" i="8"/>
  <c r="M7" i="8" s="1"/>
  <c r="J7" i="8"/>
  <c r="O7" i="8" s="1"/>
  <c r="G7" i="8"/>
  <c r="D7" i="8"/>
  <c r="M6" i="8"/>
  <c r="K6" i="8"/>
  <c r="J6" i="8"/>
  <c r="G6" i="8"/>
  <c r="D6" i="8"/>
  <c r="O6" i="8" s="1"/>
  <c r="K5" i="8"/>
  <c r="M5" i="8" s="1"/>
  <c r="J5" i="8"/>
  <c r="G5" i="8"/>
  <c r="D5" i="8"/>
  <c r="O5" i="8" s="1"/>
  <c r="O4" i="8"/>
  <c r="M4" i="8"/>
  <c r="J4" i="8"/>
  <c r="G4" i="8"/>
  <c r="D4" i="8"/>
  <c r="E23" i="7"/>
  <c r="E22" i="7"/>
  <c r="E21" i="7"/>
  <c r="F20" i="7"/>
  <c r="E20" i="7"/>
  <c r="E19" i="7"/>
  <c r="F18" i="7"/>
  <c r="E18" i="7"/>
  <c r="A62" i="6"/>
  <c r="A61" i="6"/>
  <c r="A60" i="6"/>
  <c r="A59" i="6"/>
  <c r="A58" i="6"/>
  <c r="A57" i="6"/>
  <c r="A56" i="6"/>
  <c r="A55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T38" i="6"/>
  <c r="S38" i="6"/>
  <c r="R38" i="6"/>
  <c r="R73" i="6" s="1"/>
  <c r="Q38" i="6"/>
  <c r="Q73" i="6" s="1"/>
  <c r="P38" i="6"/>
  <c r="O38" i="6"/>
  <c r="O73" i="6" s="1"/>
  <c r="N38" i="6"/>
  <c r="N73" i="6" s="1"/>
  <c r="M38" i="6"/>
  <c r="L38" i="6"/>
  <c r="K38" i="6"/>
  <c r="J38" i="6"/>
  <c r="J73" i="6" s="1"/>
  <c r="I38" i="6"/>
  <c r="I73" i="6" s="1"/>
  <c r="H38" i="6"/>
  <c r="G38" i="6"/>
  <c r="G73" i="6" s="1"/>
  <c r="F38" i="6"/>
  <c r="F73" i="6" s="1"/>
  <c r="E38" i="6"/>
  <c r="D38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T36" i="6"/>
  <c r="T74" i="6" s="1"/>
  <c r="S36" i="6"/>
  <c r="R36" i="6"/>
  <c r="Q36" i="6"/>
  <c r="P36" i="6"/>
  <c r="P74" i="6" s="1"/>
  <c r="O36" i="6"/>
  <c r="O74" i="6" s="1"/>
  <c r="N36" i="6"/>
  <c r="M36" i="6"/>
  <c r="L36" i="6"/>
  <c r="L74" i="6" s="1"/>
  <c r="K36" i="6"/>
  <c r="J36" i="6"/>
  <c r="I36" i="6"/>
  <c r="H36" i="6"/>
  <c r="H74" i="6" s="1"/>
  <c r="G36" i="6"/>
  <c r="G74" i="6" s="1"/>
  <c r="F36" i="6"/>
  <c r="E36" i="6"/>
  <c r="D36" i="6"/>
  <c r="D74" i="6" s="1"/>
  <c r="C20" i="7" s="1"/>
  <c r="T35" i="6"/>
  <c r="T76" i="6" s="1"/>
  <c r="S35" i="6"/>
  <c r="S76" i="6" s="1"/>
  <c r="R35" i="6"/>
  <c r="R76" i="6" s="1"/>
  <c r="Q35" i="6"/>
  <c r="Q76" i="6" s="1"/>
  <c r="P35" i="6"/>
  <c r="O35" i="6"/>
  <c r="O76" i="6" s="1"/>
  <c r="N35" i="6"/>
  <c r="N76" i="6" s="1"/>
  <c r="M35" i="6"/>
  <c r="M76" i="6" s="1"/>
  <c r="L35" i="6"/>
  <c r="L76" i="6" s="1"/>
  <c r="K35" i="6"/>
  <c r="K76" i="6" s="1"/>
  <c r="J35" i="6"/>
  <c r="J76" i="6" s="1"/>
  <c r="I35" i="6"/>
  <c r="I76" i="6" s="1"/>
  <c r="H35" i="6"/>
  <c r="G35" i="6"/>
  <c r="G76" i="6" s="1"/>
  <c r="F35" i="6"/>
  <c r="F76" i="6" s="1"/>
  <c r="E35" i="6"/>
  <c r="E76" i="6" s="1"/>
  <c r="D35" i="6"/>
  <c r="D76" i="6" s="1"/>
  <c r="C22" i="7" s="1"/>
  <c r="T34" i="6"/>
  <c r="T75" i="6" s="1"/>
  <c r="S34" i="6"/>
  <c r="R34" i="6"/>
  <c r="R75" i="6" s="1"/>
  <c r="Q34" i="6"/>
  <c r="Q75" i="6" s="1"/>
  <c r="P34" i="6"/>
  <c r="O34" i="6"/>
  <c r="N34" i="6"/>
  <c r="N75" i="6" s="1"/>
  <c r="M34" i="6"/>
  <c r="M75" i="6" s="1"/>
  <c r="L34" i="6"/>
  <c r="L75" i="6" s="1"/>
  <c r="K34" i="6"/>
  <c r="J34" i="6"/>
  <c r="J75" i="6" s="1"/>
  <c r="I34" i="6"/>
  <c r="I75" i="6" s="1"/>
  <c r="H34" i="6"/>
  <c r="G34" i="6"/>
  <c r="F34" i="6"/>
  <c r="F75" i="6" s="1"/>
  <c r="E34" i="6"/>
  <c r="E75" i="6" s="1"/>
  <c r="D34" i="6"/>
  <c r="D75" i="6" s="1"/>
  <c r="C21" i="7" s="1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T29" i="6"/>
  <c r="T72" i="6" s="1"/>
  <c r="S29" i="6"/>
  <c r="S72" i="6" s="1"/>
  <c r="R29" i="6"/>
  <c r="R72" i="6" s="1"/>
  <c r="Q29" i="6"/>
  <c r="Q58" i="6" s="1"/>
  <c r="P29" i="6"/>
  <c r="P72" i="6" s="1"/>
  <c r="O29" i="6"/>
  <c r="O72" i="6" s="1"/>
  <c r="N29" i="6"/>
  <c r="N72" i="6" s="1"/>
  <c r="M29" i="6"/>
  <c r="M72" i="6" s="1"/>
  <c r="L29" i="6"/>
  <c r="L72" i="6" s="1"/>
  <c r="K29" i="6"/>
  <c r="K72" i="6" s="1"/>
  <c r="J29" i="6"/>
  <c r="J72" i="6" s="1"/>
  <c r="I29" i="6"/>
  <c r="I72" i="6" s="1"/>
  <c r="H29" i="6"/>
  <c r="H72" i="6" s="1"/>
  <c r="G29" i="6"/>
  <c r="G72" i="6" s="1"/>
  <c r="F29" i="6"/>
  <c r="F72" i="6" s="1"/>
  <c r="E29" i="6"/>
  <c r="E72" i="6" s="1"/>
  <c r="D29" i="6"/>
  <c r="D72" i="6" s="1"/>
  <c r="C18" i="7" s="1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T27" i="6"/>
  <c r="S27" i="6"/>
  <c r="R27" i="6"/>
  <c r="Q27" i="6"/>
  <c r="P27" i="6"/>
  <c r="P57" i="6" s="1"/>
  <c r="O27" i="6"/>
  <c r="N27" i="6"/>
  <c r="M27" i="6"/>
  <c r="L27" i="6"/>
  <c r="K27" i="6"/>
  <c r="J27" i="6"/>
  <c r="J71" i="6" s="1"/>
  <c r="I27" i="6"/>
  <c r="H27" i="6"/>
  <c r="H57" i="6" s="1"/>
  <c r="G27" i="6"/>
  <c r="F27" i="6"/>
  <c r="E27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T21" i="6"/>
  <c r="T67" i="6" s="1"/>
  <c r="S21" i="6"/>
  <c r="R21" i="6"/>
  <c r="R67" i="6" s="1"/>
  <c r="Q21" i="6"/>
  <c r="P21" i="6"/>
  <c r="P60" i="6" s="1"/>
  <c r="O21" i="6"/>
  <c r="O60" i="6" s="1"/>
  <c r="N21" i="6"/>
  <c r="M21" i="6"/>
  <c r="M67" i="6" s="1"/>
  <c r="L21" i="6"/>
  <c r="L67" i="6" s="1"/>
  <c r="K21" i="6"/>
  <c r="J21" i="6"/>
  <c r="J67" i="6" s="1"/>
  <c r="I21" i="6"/>
  <c r="H21" i="6"/>
  <c r="H60" i="6" s="1"/>
  <c r="G21" i="6"/>
  <c r="G60" i="6" s="1"/>
  <c r="F21" i="6"/>
  <c r="E21" i="6"/>
  <c r="D60" i="6"/>
  <c r="T20" i="6"/>
  <c r="S20" i="6"/>
  <c r="S66" i="6" s="1"/>
  <c r="R20" i="6"/>
  <c r="Q20" i="6"/>
  <c r="P20" i="6"/>
  <c r="O20" i="6"/>
  <c r="O66" i="6" s="1"/>
  <c r="N20" i="6"/>
  <c r="N66" i="6" s="1"/>
  <c r="M20" i="6"/>
  <c r="M66" i="6" s="1"/>
  <c r="L20" i="6"/>
  <c r="K20" i="6"/>
  <c r="J20" i="6"/>
  <c r="I20" i="6"/>
  <c r="H20" i="6"/>
  <c r="G20" i="6"/>
  <c r="G66" i="6" s="1"/>
  <c r="F20" i="6"/>
  <c r="F66" i="6" s="1"/>
  <c r="E20" i="6"/>
  <c r="E66" i="6" s="1"/>
  <c r="T19" i="6"/>
  <c r="S19" i="6"/>
  <c r="R19" i="6"/>
  <c r="Q19" i="6"/>
  <c r="P19" i="6"/>
  <c r="O19" i="6"/>
  <c r="N19" i="6"/>
  <c r="N68" i="6" s="1"/>
  <c r="M19" i="6"/>
  <c r="L19" i="6"/>
  <c r="K19" i="6"/>
  <c r="J19" i="6"/>
  <c r="I19" i="6"/>
  <c r="H19" i="6"/>
  <c r="G19" i="6"/>
  <c r="F19" i="6"/>
  <c r="F68" i="6" s="1"/>
  <c r="E19" i="6"/>
  <c r="T18" i="6"/>
  <c r="T69" i="6" s="1"/>
  <c r="S18" i="6"/>
  <c r="R18" i="6"/>
  <c r="R69" i="6" s="1"/>
  <c r="Q18" i="6"/>
  <c r="P18" i="6"/>
  <c r="O18" i="6"/>
  <c r="O69" i="6" s="1"/>
  <c r="N18" i="6"/>
  <c r="N69" i="6" s="1"/>
  <c r="M18" i="6"/>
  <c r="M69" i="6" s="1"/>
  <c r="L18" i="6"/>
  <c r="L69" i="6" s="1"/>
  <c r="K18" i="6"/>
  <c r="J18" i="6"/>
  <c r="J69" i="6" s="1"/>
  <c r="I18" i="6"/>
  <c r="H18" i="6"/>
  <c r="G18" i="6"/>
  <c r="G69" i="6" s="1"/>
  <c r="F18" i="6"/>
  <c r="F69" i="6" s="1"/>
  <c r="E18" i="6"/>
  <c r="E69" i="6" s="1"/>
  <c r="D69" i="6"/>
  <c r="B22" i="7" s="1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T8" i="6"/>
  <c r="T65" i="6" s="1"/>
  <c r="S8" i="6"/>
  <c r="S65" i="6" s="1"/>
  <c r="R8" i="6"/>
  <c r="Q8" i="6"/>
  <c r="Q65" i="6" s="1"/>
  <c r="P8" i="6"/>
  <c r="O8" i="6"/>
  <c r="O65" i="6" s="1"/>
  <c r="N8" i="6"/>
  <c r="N65" i="6" s="1"/>
  <c r="M8" i="6"/>
  <c r="M65" i="6" s="1"/>
  <c r="L8" i="6"/>
  <c r="L65" i="6" s="1"/>
  <c r="K8" i="6"/>
  <c r="K65" i="6" s="1"/>
  <c r="J8" i="6"/>
  <c r="I8" i="6"/>
  <c r="I65" i="6" s="1"/>
  <c r="H8" i="6"/>
  <c r="G8" i="6"/>
  <c r="G65" i="6" s="1"/>
  <c r="F8" i="6"/>
  <c r="F65" i="6" s="1"/>
  <c r="E8" i="6"/>
  <c r="E65" i="6" s="1"/>
  <c r="D65" i="6"/>
  <c r="B18" i="7" s="1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T5" i="6"/>
  <c r="T50" i="6" s="1"/>
  <c r="S5" i="6"/>
  <c r="S50" i="6" s="1"/>
  <c r="R5" i="6"/>
  <c r="R50" i="6" s="1"/>
  <c r="Q5" i="6"/>
  <c r="Q50" i="6" s="1"/>
  <c r="P5" i="6"/>
  <c r="P50" i="6" s="1"/>
  <c r="O5" i="6"/>
  <c r="O50" i="6" s="1"/>
  <c r="N5" i="6"/>
  <c r="N50" i="6" s="1"/>
  <c r="M5" i="6"/>
  <c r="M50" i="6" s="1"/>
  <c r="L5" i="6"/>
  <c r="L50" i="6" s="1"/>
  <c r="K5" i="6"/>
  <c r="K50" i="6" s="1"/>
  <c r="J5" i="6"/>
  <c r="J50" i="6" s="1"/>
  <c r="I5" i="6"/>
  <c r="I50" i="6" s="1"/>
  <c r="H5" i="6"/>
  <c r="H50" i="6" s="1"/>
  <c r="G5" i="6"/>
  <c r="G50" i="6" s="1"/>
  <c r="F5" i="6"/>
  <c r="F50" i="6" s="1"/>
  <c r="E5" i="6"/>
  <c r="E50" i="6" s="1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B64" i="5"/>
  <c r="B63" i="5"/>
  <c r="B62" i="5"/>
  <c r="B61" i="5"/>
  <c r="B60" i="5"/>
  <c r="B59" i="5"/>
  <c r="B57" i="5"/>
  <c r="B56" i="5"/>
  <c r="B55" i="5"/>
  <c r="B54" i="5"/>
  <c r="B53" i="5"/>
  <c r="B52" i="5"/>
  <c r="C51" i="5"/>
  <c r="C50" i="5"/>
  <c r="C49" i="5"/>
  <c r="C48" i="5"/>
  <c r="T34" i="5"/>
  <c r="S34" i="5"/>
  <c r="Q34" i="5"/>
  <c r="P34" i="5"/>
  <c r="O34" i="5"/>
  <c r="N34" i="5"/>
  <c r="L34" i="5"/>
  <c r="K34" i="5"/>
  <c r="J34" i="5"/>
  <c r="I34" i="5"/>
  <c r="H34" i="5"/>
  <c r="G34" i="5"/>
  <c r="F34" i="5"/>
  <c r="E3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T17" i="5"/>
  <c r="S17" i="5"/>
  <c r="R17" i="5"/>
  <c r="Q17" i="5"/>
  <c r="P17" i="5"/>
  <c r="P31" i="5" s="1"/>
  <c r="O17" i="5"/>
  <c r="O31" i="5" s="1"/>
  <c r="N17" i="5"/>
  <c r="M17" i="5"/>
  <c r="L17" i="5"/>
  <c r="K17" i="5"/>
  <c r="J17" i="5"/>
  <c r="I17" i="5"/>
  <c r="H17" i="5"/>
  <c r="H31" i="5" s="1"/>
  <c r="G17" i="5"/>
  <c r="G31" i="5" s="1"/>
  <c r="F17" i="5"/>
  <c r="E17" i="5"/>
  <c r="D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T15" i="5"/>
  <c r="S15" i="5"/>
  <c r="S30" i="5" s="1"/>
  <c r="R15" i="5"/>
  <c r="R30" i="5" s="1"/>
  <c r="Q15" i="5"/>
  <c r="P15" i="5"/>
  <c r="O15" i="5"/>
  <c r="N15" i="5"/>
  <c r="M15" i="5"/>
  <c r="L15" i="5"/>
  <c r="K15" i="5"/>
  <c r="K30" i="5" s="1"/>
  <c r="J15" i="5"/>
  <c r="J30" i="5" s="1"/>
  <c r="I15" i="5"/>
  <c r="H15" i="5"/>
  <c r="G15" i="5"/>
  <c r="F15" i="5"/>
  <c r="E15" i="5"/>
  <c r="D15" i="5"/>
  <c r="T14" i="5"/>
  <c r="S14" i="5"/>
  <c r="S32" i="5" s="1"/>
  <c r="R14" i="5"/>
  <c r="Q14" i="5"/>
  <c r="P14" i="5"/>
  <c r="O14" i="5"/>
  <c r="N14" i="5"/>
  <c r="N32" i="5" s="1"/>
  <c r="M14" i="5"/>
  <c r="L14" i="5"/>
  <c r="K14" i="5"/>
  <c r="K32" i="5" s="1"/>
  <c r="J14" i="5"/>
  <c r="I14" i="5"/>
  <c r="H14" i="5"/>
  <c r="G14" i="5"/>
  <c r="F14" i="5"/>
  <c r="F32" i="5" s="1"/>
  <c r="E14" i="5"/>
  <c r="D14" i="5"/>
  <c r="T13" i="5"/>
  <c r="S13" i="5"/>
  <c r="R13" i="5"/>
  <c r="Q13" i="5"/>
  <c r="Q33" i="5" s="1"/>
  <c r="P13" i="5"/>
  <c r="O13" i="5"/>
  <c r="N13" i="5"/>
  <c r="M13" i="5"/>
  <c r="M33" i="5" s="1"/>
  <c r="L13" i="5"/>
  <c r="K13" i="5"/>
  <c r="J13" i="5"/>
  <c r="I13" i="5"/>
  <c r="I33" i="5" s="1"/>
  <c r="H13" i="5"/>
  <c r="G13" i="5"/>
  <c r="F13" i="5"/>
  <c r="E13" i="5"/>
  <c r="E33" i="5" s="1"/>
  <c r="D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47" i="5" s="1"/>
  <c r="T11" i="5"/>
  <c r="T39" i="5" s="1"/>
  <c r="S11" i="5"/>
  <c r="S39" i="5" s="1"/>
  <c r="R11" i="5"/>
  <c r="R39" i="5" s="1"/>
  <c r="Q11" i="5"/>
  <c r="Q39" i="5" s="1"/>
  <c r="P11" i="5"/>
  <c r="P39" i="5" s="1"/>
  <c r="O11" i="5"/>
  <c r="O39" i="5" s="1"/>
  <c r="N11" i="5"/>
  <c r="N39" i="5" s="1"/>
  <c r="M11" i="5"/>
  <c r="M39" i="5" s="1"/>
  <c r="L11" i="5"/>
  <c r="L39" i="5" s="1"/>
  <c r="K11" i="5"/>
  <c r="K39" i="5" s="1"/>
  <c r="J11" i="5"/>
  <c r="J39" i="5" s="1"/>
  <c r="I11" i="5"/>
  <c r="I39" i="5" s="1"/>
  <c r="H11" i="5"/>
  <c r="H39" i="5" s="1"/>
  <c r="G11" i="5"/>
  <c r="G39" i="5" s="1"/>
  <c r="F11" i="5"/>
  <c r="F39" i="5" s="1"/>
  <c r="E11" i="5"/>
  <c r="E39" i="5" s="1"/>
  <c r="D11" i="5"/>
  <c r="D39" i="5" s="1"/>
  <c r="C53" i="5" s="1"/>
  <c r="T10" i="5"/>
  <c r="T43" i="5" s="1"/>
  <c r="S10" i="5"/>
  <c r="S43" i="5" s="1"/>
  <c r="R10" i="5"/>
  <c r="R43" i="5" s="1"/>
  <c r="Q10" i="5"/>
  <c r="Q43" i="5" s="1"/>
  <c r="P10" i="5"/>
  <c r="P43" i="5" s="1"/>
  <c r="O10" i="5"/>
  <c r="O43" i="5" s="1"/>
  <c r="N10" i="5"/>
  <c r="N43" i="5" s="1"/>
  <c r="M10" i="5"/>
  <c r="M43" i="5" s="1"/>
  <c r="L10" i="5"/>
  <c r="L43" i="5" s="1"/>
  <c r="K10" i="5"/>
  <c r="K43" i="5" s="1"/>
  <c r="J10" i="5"/>
  <c r="J43" i="5" s="1"/>
  <c r="I10" i="5"/>
  <c r="I43" i="5" s="1"/>
  <c r="H10" i="5"/>
  <c r="H43" i="5" s="1"/>
  <c r="G10" i="5"/>
  <c r="G43" i="5" s="1"/>
  <c r="F10" i="5"/>
  <c r="F43" i="5" s="1"/>
  <c r="E10" i="5"/>
  <c r="E43" i="5" s="1"/>
  <c r="D10" i="5"/>
  <c r="D43" i="5" s="1"/>
  <c r="C57" i="5" s="1"/>
  <c r="T9" i="5"/>
  <c r="T42" i="5" s="1"/>
  <c r="S9" i="5"/>
  <c r="S42" i="5" s="1"/>
  <c r="R9" i="5"/>
  <c r="R42" i="5" s="1"/>
  <c r="Q9" i="5"/>
  <c r="Q42" i="5" s="1"/>
  <c r="P9" i="5"/>
  <c r="P42" i="5" s="1"/>
  <c r="O9" i="5"/>
  <c r="O42" i="5" s="1"/>
  <c r="N9" i="5"/>
  <c r="N42" i="5" s="1"/>
  <c r="M9" i="5"/>
  <c r="M42" i="5" s="1"/>
  <c r="L9" i="5"/>
  <c r="L42" i="5" s="1"/>
  <c r="K9" i="5"/>
  <c r="K42" i="5" s="1"/>
  <c r="J9" i="5"/>
  <c r="J42" i="5" s="1"/>
  <c r="I9" i="5"/>
  <c r="I42" i="5" s="1"/>
  <c r="H9" i="5"/>
  <c r="H42" i="5" s="1"/>
  <c r="G9" i="5"/>
  <c r="G42" i="5" s="1"/>
  <c r="F9" i="5"/>
  <c r="F42" i="5" s="1"/>
  <c r="E9" i="5"/>
  <c r="E42" i="5" s="1"/>
  <c r="D9" i="5"/>
  <c r="D42" i="5" s="1"/>
  <c r="C56" i="5" s="1"/>
  <c r="T8" i="5"/>
  <c r="T29" i="5" s="1"/>
  <c r="S8" i="5"/>
  <c r="S29" i="5" s="1"/>
  <c r="R8" i="5"/>
  <c r="R29" i="5" s="1"/>
  <c r="Q8" i="5"/>
  <c r="Q29" i="5" s="1"/>
  <c r="P8" i="5"/>
  <c r="P29" i="5" s="1"/>
  <c r="O8" i="5"/>
  <c r="O29" i="5" s="1"/>
  <c r="N8" i="5"/>
  <c r="N29" i="5" s="1"/>
  <c r="M8" i="5"/>
  <c r="M29" i="5" s="1"/>
  <c r="L8" i="5"/>
  <c r="L29" i="5" s="1"/>
  <c r="K8" i="5"/>
  <c r="K29" i="5" s="1"/>
  <c r="J8" i="5"/>
  <c r="J29" i="5" s="1"/>
  <c r="I8" i="5"/>
  <c r="I29" i="5" s="1"/>
  <c r="H8" i="5"/>
  <c r="H29" i="5" s="1"/>
  <c r="G8" i="5"/>
  <c r="G29" i="5" s="1"/>
  <c r="F8" i="5"/>
  <c r="F29" i="5" s="1"/>
  <c r="E8" i="5"/>
  <c r="E29" i="5" s="1"/>
  <c r="D8" i="5"/>
  <c r="D29" i="5" s="1"/>
  <c r="T7" i="5"/>
  <c r="T40" i="5" s="1"/>
  <c r="S7" i="5"/>
  <c r="S40" i="5" s="1"/>
  <c r="R7" i="5"/>
  <c r="R40" i="5" s="1"/>
  <c r="Q7" i="5"/>
  <c r="Q40" i="5" s="1"/>
  <c r="P7" i="5"/>
  <c r="P40" i="5" s="1"/>
  <c r="O7" i="5"/>
  <c r="O40" i="5" s="1"/>
  <c r="N7" i="5"/>
  <c r="N40" i="5" s="1"/>
  <c r="M7" i="5"/>
  <c r="M40" i="5" s="1"/>
  <c r="L7" i="5"/>
  <c r="L40" i="5" s="1"/>
  <c r="K7" i="5"/>
  <c r="K40" i="5" s="1"/>
  <c r="J7" i="5"/>
  <c r="J40" i="5" s="1"/>
  <c r="I7" i="5"/>
  <c r="I40" i="5" s="1"/>
  <c r="H7" i="5"/>
  <c r="H40" i="5" s="1"/>
  <c r="G7" i="5"/>
  <c r="G40" i="5" s="1"/>
  <c r="F7" i="5"/>
  <c r="F40" i="5" s="1"/>
  <c r="E7" i="5"/>
  <c r="E40" i="5" s="1"/>
  <c r="D7" i="5"/>
  <c r="D40" i="5" s="1"/>
  <c r="C54" i="5" s="1"/>
  <c r="T6" i="5"/>
  <c r="T41" i="5" s="1"/>
  <c r="S6" i="5"/>
  <c r="S41" i="5" s="1"/>
  <c r="R6" i="5"/>
  <c r="R41" i="5" s="1"/>
  <c r="Q6" i="5"/>
  <c r="Q41" i="5" s="1"/>
  <c r="P6" i="5"/>
  <c r="P41" i="5" s="1"/>
  <c r="O6" i="5"/>
  <c r="O41" i="5" s="1"/>
  <c r="N6" i="5"/>
  <c r="N41" i="5" s="1"/>
  <c r="M6" i="5"/>
  <c r="M41" i="5" s="1"/>
  <c r="L6" i="5"/>
  <c r="L41" i="5" s="1"/>
  <c r="K6" i="5"/>
  <c r="K41" i="5" s="1"/>
  <c r="J6" i="5"/>
  <c r="J41" i="5" s="1"/>
  <c r="I6" i="5"/>
  <c r="I41" i="5" s="1"/>
  <c r="H6" i="5"/>
  <c r="H41" i="5" s="1"/>
  <c r="G6" i="5"/>
  <c r="G41" i="5" s="1"/>
  <c r="F6" i="5"/>
  <c r="F41" i="5" s="1"/>
  <c r="E6" i="5"/>
  <c r="E41" i="5" s="1"/>
  <c r="D6" i="5"/>
  <c r="D41" i="5" s="1"/>
  <c r="C55" i="5" s="1"/>
  <c r="T5" i="5"/>
  <c r="S5" i="5"/>
  <c r="S38" i="5" s="1"/>
  <c r="R5" i="5"/>
  <c r="R38" i="5" s="1"/>
  <c r="Q5" i="5"/>
  <c r="P5" i="5"/>
  <c r="P38" i="5" s="1"/>
  <c r="O5" i="5"/>
  <c r="O38" i="5" s="1"/>
  <c r="N5" i="5"/>
  <c r="M5" i="5"/>
  <c r="L5" i="5"/>
  <c r="K5" i="5"/>
  <c r="K38" i="5" s="1"/>
  <c r="J5" i="5"/>
  <c r="J38" i="5" s="1"/>
  <c r="I5" i="5"/>
  <c r="H5" i="5"/>
  <c r="H38" i="5" s="1"/>
  <c r="G5" i="5"/>
  <c r="G38" i="5" s="1"/>
  <c r="F5" i="5"/>
  <c r="E5" i="5"/>
  <c r="D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0" i="4"/>
  <c r="I689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1" i="4"/>
  <c r="I560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3" i="4"/>
  <c r="I302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4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D5" i="6" s="1"/>
  <c r="D50" i="6" s="1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M4" i="4"/>
  <c r="I3" i="4"/>
  <c r="M3" i="4"/>
  <c r="B49" i="2"/>
  <c r="G48" i="2"/>
  <c r="F48" i="2"/>
  <c r="H48" i="2" s="1"/>
  <c r="G47" i="2"/>
  <c r="F47" i="2"/>
  <c r="G46" i="2"/>
  <c r="G49" i="2" s="1"/>
  <c r="F46" i="2"/>
  <c r="H46" i="2" s="1"/>
  <c r="B41" i="2"/>
  <c r="G40" i="2"/>
  <c r="F40" i="2"/>
  <c r="H39" i="2"/>
  <c r="G39" i="2"/>
  <c r="F39" i="2"/>
  <c r="G38" i="2"/>
  <c r="F38" i="2"/>
  <c r="H38" i="2" s="1"/>
  <c r="G37" i="2"/>
  <c r="F37" i="2"/>
  <c r="H37" i="2" s="1"/>
  <c r="G36" i="2"/>
  <c r="F36" i="2"/>
  <c r="G35" i="2"/>
  <c r="F35" i="2"/>
  <c r="H29" i="2"/>
  <c r="B19" i="2"/>
  <c r="H16" i="2"/>
  <c r="B9" i="2"/>
  <c r="C91" i="1"/>
  <c r="C87" i="1"/>
  <c r="G67" i="1"/>
  <c r="G66" i="1"/>
  <c r="G65" i="1"/>
  <c r="G64" i="1"/>
  <c r="G63" i="1"/>
  <c r="G62" i="1"/>
  <c r="G61" i="1"/>
  <c r="G60" i="1"/>
  <c r="G59" i="1"/>
  <c r="G58" i="1"/>
  <c r="G19" i="1"/>
  <c r="G16" i="1"/>
  <c r="G15" i="1"/>
  <c r="G14" i="1"/>
  <c r="G13" i="1"/>
  <c r="G12" i="1"/>
  <c r="G11" i="1"/>
  <c r="G10" i="1"/>
  <c r="G8" i="1"/>
  <c r="G7" i="1"/>
  <c r="G6" i="1"/>
  <c r="G5" i="1"/>
  <c r="G3" i="1"/>
  <c r="L49" i="6" l="1"/>
  <c r="T49" i="6"/>
  <c r="I60" i="6"/>
  <c r="Q60" i="6"/>
  <c r="I74" i="6"/>
  <c r="Q74" i="6"/>
  <c r="J3" i="5"/>
  <c r="H3" i="7" s="1"/>
  <c r="N3" i="5"/>
  <c r="L3" i="7" s="1"/>
  <c r="F41" i="2"/>
  <c r="H47" i="2"/>
  <c r="E32" i="5"/>
  <c r="M32" i="5"/>
  <c r="E49" i="6"/>
  <c r="M49" i="6"/>
  <c r="K68" i="6"/>
  <c r="S61" i="6"/>
  <c r="K59" i="6"/>
  <c r="T3" i="5"/>
  <c r="R3" i="7" s="1"/>
  <c r="E3" i="5"/>
  <c r="C3" i="7" s="1"/>
  <c r="G33" i="5"/>
  <c r="O33" i="5"/>
  <c r="F49" i="6"/>
  <c r="N49" i="6"/>
  <c r="G3" i="5"/>
  <c r="E3" i="7" s="1"/>
  <c r="I3" i="5"/>
  <c r="G3" i="7" s="1"/>
  <c r="G49" i="6"/>
  <c r="O49" i="6"/>
  <c r="F3" i="5"/>
  <c r="D3" i="7" s="1"/>
  <c r="K3" i="5"/>
  <c r="I3" i="7" s="1"/>
  <c r="O3" i="5"/>
  <c r="M3" i="7" s="1"/>
  <c r="S49" i="6"/>
  <c r="H36" i="2"/>
  <c r="H40" i="2"/>
  <c r="I38" i="5"/>
  <c r="Q38" i="5"/>
  <c r="H49" i="6"/>
  <c r="P49" i="6"/>
  <c r="E60" i="6"/>
  <c r="G75" i="6"/>
  <c r="O75" i="6"/>
  <c r="E74" i="6"/>
  <c r="M74" i="6"/>
  <c r="K73" i="6"/>
  <c r="S73" i="6"/>
  <c r="E17" i="7"/>
  <c r="Q3" i="5"/>
  <c r="O3" i="7" s="1"/>
  <c r="L3" i="5"/>
  <c r="J3" i="7" s="1"/>
  <c r="K49" i="6"/>
  <c r="F31" i="5"/>
  <c r="N31" i="5"/>
  <c r="I49" i="6"/>
  <c r="Q49" i="6"/>
  <c r="F60" i="6"/>
  <c r="N60" i="6"/>
  <c r="H75" i="6"/>
  <c r="P75" i="6"/>
  <c r="F74" i="6"/>
  <c r="N74" i="6"/>
  <c r="D73" i="6"/>
  <c r="C19" i="7" s="1"/>
  <c r="L73" i="6"/>
  <c r="T73" i="6"/>
  <c r="P3" i="5"/>
  <c r="N3" i="7" s="1"/>
  <c r="H3" i="5"/>
  <c r="F3" i="7" s="1"/>
  <c r="H49" i="2"/>
  <c r="M3" i="5"/>
  <c r="K3" i="7" s="1"/>
  <c r="K33" i="5"/>
  <c r="S33" i="5"/>
  <c r="J49" i="6"/>
  <c r="R49" i="6"/>
  <c r="H69" i="6"/>
  <c r="P69" i="6"/>
  <c r="H61" i="6"/>
  <c r="P68" i="6"/>
  <c r="H66" i="6"/>
  <c r="P66" i="6"/>
  <c r="H76" i="6"/>
  <c r="P76" i="6"/>
  <c r="E73" i="6"/>
  <c r="M73" i="6"/>
  <c r="R3" i="5"/>
  <c r="P3" i="7" s="1"/>
  <c r="B3" i="7"/>
  <c r="H16" i="7" s="1"/>
  <c r="R34" i="5"/>
  <c r="D34" i="5"/>
  <c r="M5" i="4"/>
  <c r="I43" i="4" s="1"/>
  <c r="D6" i="6" s="1"/>
  <c r="L38" i="5"/>
  <c r="T38" i="5"/>
  <c r="E38" i="5"/>
  <c r="D32" i="5"/>
  <c r="D21" i="7" s="1"/>
  <c r="L32" i="5"/>
  <c r="T32" i="5"/>
  <c r="I31" i="5"/>
  <c r="Q31" i="5"/>
  <c r="G30" i="5"/>
  <c r="O30" i="5"/>
  <c r="D38" i="5"/>
  <c r="C52" i="5" s="1"/>
  <c r="C58" i="5" s="1"/>
  <c r="M38" i="5"/>
  <c r="F33" i="5"/>
  <c r="N33" i="5"/>
  <c r="D30" i="5"/>
  <c r="D19" i="7" s="1"/>
  <c r="L30" i="5"/>
  <c r="T30" i="5"/>
  <c r="J31" i="5"/>
  <c r="R31" i="5"/>
  <c r="E30" i="5"/>
  <c r="M30" i="5"/>
  <c r="K31" i="5"/>
  <c r="S31" i="5"/>
  <c r="G32" i="5"/>
  <c r="O32" i="5"/>
  <c r="D31" i="5"/>
  <c r="D20" i="7" s="1"/>
  <c r="L31" i="5"/>
  <c r="T31" i="5"/>
  <c r="H32" i="5"/>
  <c r="P32" i="5"/>
  <c r="J33" i="5"/>
  <c r="R33" i="5"/>
  <c r="I32" i="5"/>
  <c r="Q32" i="5"/>
  <c r="D4" i="6"/>
  <c r="I2" i="4"/>
  <c r="E31" i="5"/>
  <c r="M31" i="5"/>
  <c r="J32" i="5"/>
  <c r="R32" i="5"/>
  <c r="D33" i="5"/>
  <c r="C63" i="5" s="1"/>
  <c r="L33" i="5"/>
  <c r="T33" i="5"/>
  <c r="F38" i="5"/>
  <c r="N38" i="5"/>
  <c r="H30" i="5"/>
  <c r="P30" i="5"/>
  <c r="I30" i="5"/>
  <c r="Q30" i="5"/>
  <c r="H33" i="5"/>
  <c r="P33" i="5"/>
  <c r="F30" i="5"/>
  <c r="N30" i="5"/>
  <c r="G61" i="6"/>
  <c r="O68" i="6"/>
  <c r="K57" i="6"/>
  <c r="I68" i="6"/>
  <c r="Q68" i="6"/>
  <c r="E71" i="6"/>
  <c r="M71" i="6"/>
  <c r="M80" i="6" s="1"/>
  <c r="I71" i="6"/>
  <c r="S57" i="6"/>
  <c r="Q72" i="6"/>
  <c r="I57" i="6"/>
  <c r="Q71" i="6"/>
  <c r="K69" i="6"/>
  <c r="S69" i="6"/>
  <c r="I66" i="6"/>
  <c r="Q66" i="6"/>
  <c r="R57" i="6"/>
  <c r="I58" i="6"/>
  <c r="J66" i="6"/>
  <c r="R66" i="6"/>
  <c r="K71" i="6"/>
  <c r="S71" i="6"/>
  <c r="H73" i="6"/>
  <c r="P73" i="6"/>
  <c r="D68" i="6"/>
  <c r="B21" i="7" s="1"/>
  <c r="L68" i="6"/>
  <c r="T61" i="6"/>
  <c r="D57" i="6"/>
  <c r="L71" i="6"/>
  <c r="L80" i="6" s="1"/>
  <c r="T57" i="6"/>
  <c r="T71" i="6"/>
  <c r="T80" i="6" s="1"/>
  <c r="I454" i="4"/>
  <c r="P6" i="6" s="1"/>
  <c r="P62" i="6" s="1"/>
  <c r="I430" i="4"/>
  <c r="L6" i="6" s="1"/>
  <c r="L3" i="6" s="1"/>
  <c r="J4" i="7" s="1"/>
  <c r="I86" i="4"/>
  <c r="G6" i="6" s="1"/>
  <c r="G62" i="6" s="1"/>
  <c r="G70" i="6" s="1"/>
  <c r="G81" i="6" s="1"/>
  <c r="I645" i="4"/>
  <c r="N6" i="6" s="1"/>
  <c r="N51" i="6" s="1"/>
  <c r="I301" i="4"/>
  <c r="J6" i="6" s="1"/>
  <c r="J62" i="6" s="1"/>
  <c r="I688" i="4"/>
  <c r="M6" i="6" s="1"/>
  <c r="M51" i="6" s="1"/>
  <c r="I304" i="4"/>
  <c r="H6" i="6" s="1"/>
  <c r="H51" i="6" s="1"/>
  <c r="I215" i="4"/>
  <c r="O6" i="6" s="1"/>
  <c r="O62" i="6" s="1"/>
  <c r="I516" i="4"/>
  <c r="S6" i="6" s="1"/>
  <c r="S62" i="6" s="1"/>
  <c r="I172" i="4"/>
  <c r="K6" i="6" s="1"/>
  <c r="K51" i="6" s="1"/>
  <c r="I129" i="4"/>
  <c r="R6" i="6" s="1"/>
  <c r="R51" i="6" s="1"/>
  <c r="I691" i="4"/>
  <c r="T6" i="6" s="1"/>
  <c r="T62" i="6" s="1"/>
  <c r="I387" i="4"/>
  <c r="Q6" i="6" s="1"/>
  <c r="Q51" i="6" s="1"/>
  <c r="I562" i="4"/>
  <c r="E6" i="6" s="1"/>
  <c r="E62" i="6" s="1"/>
  <c r="E70" i="6" s="1"/>
  <c r="E81" i="6" s="1"/>
  <c r="I258" i="4"/>
  <c r="I6" i="6" s="1"/>
  <c r="I51" i="6" s="1"/>
  <c r="I559" i="4"/>
  <c r="F6" i="6" s="1"/>
  <c r="F62" i="6" s="1"/>
  <c r="F70" i="6" s="1"/>
  <c r="F81" i="6" s="1"/>
  <c r="D23" i="7"/>
  <c r="B12" i="7"/>
  <c r="C64" i="5"/>
  <c r="D18" i="7"/>
  <c r="C59" i="5"/>
  <c r="Q64" i="6"/>
  <c r="Q55" i="6"/>
  <c r="K28" i="5"/>
  <c r="K35" i="5" s="1"/>
  <c r="S28" i="5"/>
  <c r="S36" i="5" s="1"/>
  <c r="D62" i="6"/>
  <c r="D51" i="6"/>
  <c r="L51" i="6"/>
  <c r="L62" i="6"/>
  <c r="K55" i="6"/>
  <c r="K64" i="6"/>
  <c r="S55" i="6"/>
  <c r="S64" i="6"/>
  <c r="J56" i="6"/>
  <c r="J65" i="6"/>
  <c r="R65" i="6"/>
  <c r="R56" i="6"/>
  <c r="P65" i="6"/>
  <c r="P56" i="6"/>
  <c r="F49" i="2"/>
  <c r="D28" i="5"/>
  <c r="L28" i="5"/>
  <c r="T28" i="5"/>
  <c r="T36" i="5" s="1"/>
  <c r="D55" i="6"/>
  <c r="L55" i="6"/>
  <c r="T55" i="6"/>
  <c r="P5" i="8"/>
  <c r="P9" i="8"/>
  <c r="I55" i="6"/>
  <c r="I64" i="6"/>
  <c r="H35" i="2"/>
  <c r="H41" i="2" s="1"/>
  <c r="E28" i="5"/>
  <c r="E35" i="5" s="1"/>
  <c r="M28" i="5"/>
  <c r="M35" i="5" s="1"/>
  <c r="E64" i="6"/>
  <c r="M64" i="6"/>
  <c r="H65" i="6"/>
  <c r="H56" i="6"/>
  <c r="F28" i="5"/>
  <c r="F35" i="5" s="1"/>
  <c r="N28" i="5"/>
  <c r="N36" i="5" s="1"/>
  <c r="F55" i="6"/>
  <c r="N55" i="6"/>
  <c r="J61" i="6"/>
  <c r="R61" i="6"/>
  <c r="P4" i="8"/>
  <c r="P8" i="8"/>
  <c r="P12" i="8"/>
  <c r="Q28" i="5"/>
  <c r="G41" i="2"/>
  <c r="G28" i="5"/>
  <c r="G36" i="5" s="1"/>
  <c r="O28" i="5"/>
  <c r="O35" i="5" s="1"/>
  <c r="P70" i="6"/>
  <c r="P81" i="6" s="1"/>
  <c r="P77" i="6"/>
  <c r="P82" i="6" s="1"/>
  <c r="G64" i="6"/>
  <c r="O64" i="6"/>
  <c r="H28" i="5"/>
  <c r="H36" i="5" s="1"/>
  <c r="P28" i="5"/>
  <c r="P36" i="5" s="1"/>
  <c r="H64" i="6"/>
  <c r="P64" i="6"/>
  <c r="P7" i="8"/>
  <c r="P11" i="8"/>
  <c r="E68" i="6"/>
  <c r="E61" i="6"/>
  <c r="M68" i="6"/>
  <c r="M61" i="6"/>
  <c r="D66" i="6"/>
  <c r="B19" i="7" s="1"/>
  <c r="D59" i="6"/>
  <c r="L66" i="6"/>
  <c r="L59" i="6"/>
  <c r="T66" i="6"/>
  <c r="T59" i="6"/>
  <c r="K67" i="6"/>
  <c r="K60" i="6"/>
  <c r="S67" i="6"/>
  <c r="S60" i="6"/>
  <c r="I28" i="5"/>
  <c r="I36" i="5" s="1"/>
  <c r="J28" i="5"/>
  <c r="J36" i="5" s="1"/>
  <c r="R28" i="5"/>
  <c r="S51" i="6"/>
  <c r="J55" i="6"/>
  <c r="J64" i="6"/>
  <c r="R55" i="6"/>
  <c r="R64" i="6"/>
  <c r="P6" i="8"/>
  <c r="P10" i="8"/>
  <c r="J74" i="6"/>
  <c r="J80" i="6" s="1"/>
  <c r="R74" i="6"/>
  <c r="O51" i="6"/>
  <c r="E55" i="6"/>
  <c r="M55" i="6"/>
  <c r="K56" i="6"/>
  <c r="S56" i="6"/>
  <c r="Q57" i="6"/>
  <c r="G58" i="6"/>
  <c r="O58" i="6"/>
  <c r="E59" i="6"/>
  <c r="M59" i="6"/>
  <c r="I61" i="6"/>
  <c r="Q61" i="6"/>
  <c r="K66" i="6"/>
  <c r="D67" i="6"/>
  <c r="B20" i="7" s="1"/>
  <c r="N67" i="6"/>
  <c r="G68" i="6"/>
  <c r="S68" i="6"/>
  <c r="D71" i="6"/>
  <c r="R71" i="6"/>
  <c r="K74" i="6"/>
  <c r="S74" i="6"/>
  <c r="P51" i="6"/>
  <c r="D56" i="6"/>
  <c r="L56" i="6"/>
  <c r="T56" i="6"/>
  <c r="J57" i="6"/>
  <c r="H58" i="6"/>
  <c r="P58" i="6"/>
  <c r="F59" i="6"/>
  <c r="N59" i="6"/>
  <c r="L60" i="6"/>
  <c r="T60" i="6"/>
  <c r="E67" i="6"/>
  <c r="O67" i="6"/>
  <c r="H68" i="6"/>
  <c r="T68" i="6"/>
  <c r="H71" i="6"/>
  <c r="G55" i="6"/>
  <c r="O55" i="6"/>
  <c r="E56" i="6"/>
  <c r="M56" i="6"/>
  <c r="G59" i="6"/>
  <c r="O59" i="6"/>
  <c r="M60" i="6"/>
  <c r="K61" i="6"/>
  <c r="T64" i="6"/>
  <c r="F67" i="6"/>
  <c r="P67" i="6"/>
  <c r="F71" i="6"/>
  <c r="N71" i="6"/>
  <c r="N80" i="6" s="1"/>
  <c r="H55" i="6"/>
  <c r="P55" i="6"/>
  <c r="F56" i="6"/>
  <c r="N56" i="6"/>
  <c r="L57" i="6"/>
  <c r="J58" i="6"/>
  <c r="R58" i="6"/>
  <c r="H59" i="6"/>
  <c r="P59" i="6"/>
  <c r="D61" i="6"/>
  <c r="L61" i="6"/>
  <c r="L64" i="6"/>
  <c r="G67" i="6"/>
  <c r="Q67" i="6"/>
  <c r="G71" i="6"/>
  <c r="G80" i="6" s="1"/>
  <c r="O71" i="6"/>
  <c r="O80" i="6" s="1"/>
  <c r="G56" i="6"/>
  <c r="O56" i="6"/>
  <c r="E57" i="6"/>
  <c r="M57" i="6"/>
  <c r="K58" i="6"/>
  <c r="S58" i="6"/>
  <c r="I59" i="6"/>
  <c r="Q59" i="6"/>
  <c r="D64" i="6"/>
  <c r="H67" i="6"/>
  <c r="I69" i="6"/>
  <c r="Q69" i="6"/>
  <c r="F57" i="6"/>
  <c r="N57" i="6"/>
  <c r="D58" i="6"/>
  <c r="L58" i="6"/>
  <c r="T58" i="6"/>
  <c r="J59" i="6"/>
  <c r="R59" i="6"/>
  <c r="F61" i="6"/>
  <c r="N61" i="6"/>
  <c r="I67" i="6"/>
  <c r="I56" i="6"/>
  <c r="Q56" i="6"/>
  <c r="G57" i="6"/>
  <c r="O57" i="6"/>
  <c r="E58" i="6"/>
  <c r="M58" i="6"/>
  <c r="S59" i="6"/>
  <c r="O61" i="6"/>
  <c r="P71" i="6"/>
  <c r="P80" i="6" s="1"/>
  <c r="O70" i="6"/>
  <c r="O81" i="6" s="1"/>
  <c r="O77" i="6"/>
  <c r="O82" i="6" s="1"/>
  <c r="F64" i="6"/>
  <c r="N64" i="6"/>
  <c r="J68" i="6"/>
  <c r="R68" i="6"/>
  <c r="K75" i="6"/>
  <c r="S75" i="6"/>
  <c r="F51" i="6"/>
  <c r="F58" i="6"/>
  <c r="N58" i="6"/>
  <c r="J60" i="6"/>
  <c r="R60" i="6"/>
  <c r="P61" i="6"/>
  <c r="E80" i="6" l="1"/>
  <c r="J6" i="7"/>
  <c r="J7" i="7"/>
  <c r="F80" i="6"/>
  <c r="H3" i="6"/>
  <c r="F4" i="7" s="1"/>
  <c r="F7" i="7" s="1"/>
  <c r="R3" i="6"/>
  <c r="P4" i="7" s="1"/>
  <c r="N3" i="6"/>
  <c r="L4" i="7" s="1"/>
  <c r="K3" i="6"/>
  <c r="I4" i="7" s="1"/>
  <c r="T3" i="6"/>
  <c r="R4" i="7" s="1"/>
  <c r="J3" i="6"/>
  <c r="H4" i="7" s="1"/>
  <c r="O3" i="6"/>
  <c r="M4" i="7" s="1"/>
  <c r="F3" i="6"/>
  <c r="D4" i="7" s="1"/>
  <c r="Q3" i="6"/>
  <c r="O4" i="7" s="1"/>
  <c r="O7" i="7" s="1"/>
  <c r="M3" i="6"/>
  <c r="K4" i="7" s="1"/>
  <c r="K7" i="7" s="1"/>
  <c r="G3" i="6"/>
  <c r="E4" i="7" s="1"/>
  <c r="D49" i="6"/>
  <c r="C11" i="7" s="1"/>
  <c r="G11" i="7" s="1"/>
  <c r="K11" i="7" s="1"/>
  <c r="D3" i="6"/>
  <c r="I80" i="6"/>
  <c r="B4" i="7"/>
  <c r="B6" i="7" s="1"/>
  <c r="I3" i="6"/>
  <c r="G4" i="7" s="1"/>
  <c r="G7" i="7" s="1"/>
  <c r="P3" i="6"/>
  <c r="N4" i="7" s="1"/>
  <c r="N7" i="7" s="1"/>
  <c r="S3" i="6"/>
  <c r="Q4" i="7" s="1"/>
  <c r="E3" i="6"/>
  <c r="C4" i="7" s="1"/>
  <c r="C7" i="7" s="1"/>
  <c r="H80" i="6"/>
  <c r="B7" i="7"/>
  <c r="R36" i="5"/>
  <c r="D36" i="5"/>
  <c r="N62" i="6"/>
  <c r="N70" i="6" s="1"/>
  <c r="N81" i="6" s="1"/>
  <c r="Q36" i="5"/>
  <c r="F79" i="6"/>
  <c r="L36" i="5"/>
  <c r="O36" i="5"/>
  <c r="K36" i="5"/>
  <c r="F36" i="5"/>
  <c r="M36" i="5"/>
  <c r="E36" i="5"/>
  <c r="P35" i="5"/>
  <c r="J35" i="5"/>
  <c r="T35" i="5"/>
  <c r="I35" i="5"/>
  <c r="C60" i="5"/>
  <c r="D22" i="7"/>
  <c r="C62" i="5"/>
  <c r="D35" i="5"/>
  <c r="C61" i="5"/>
  <c r="H35" i="5"/>
  <c r="R35" i="5"/>
  <c r="G35" i="5"/>
  <c r="L35" i="5"/>
  <c r="Q35" i="5"/>
  <c r="N35" i="5"/>
  <c r="S35" i="5"/>
  <c r="J51" i="6"/>
  <c r="T51" i="6"/>
  <c r="L79" i="6"/>
  <c r="F77" i="6"/>
  <c r="F82" i="6" s="1"/>
  <c r="E51" i="6"/>
  <c r="M62" i="6"/>
  <c r="M70" i="6" s="1"/>
  <c r="M81" i="6" s="1"/>
  <c r="E77" i="6"/>
  <c r="E82" i="6" s="1"/>
  <c r="N79" i="6"/>
  <c r="K62" i="6"/>
  <c r="K70" i="6" s="1"/>
  <c r="K81" i="6" s="1"/>
  <c r="H62" i="6"/>
  <c r="H70" i="6" s="1"/>
  <c r="H81" i="6" s="1"/>
  <c r="I62" i="6"/>
  <c r="I70" i="6" s="1"/>
  <c r="I81" i="6" s="1"/>
  <c r="R62" i="6"/>
  <c r="R77" i="6" s="1"/>
  <c r="R82" i="6" s="1"/>
  <c r="Q62" i="6"/>
  <c r="Q77" i="6" s="1"/>
  <c r="Q82" i="6" s="1"/>
  <c r="G77" i="6"/>
  <c r="G82" i="6" s="1"/>
  <c r="G51" i="6"/>
  <c r="I45" i="4"/>
  <c r="M79" i="6"/>
  <c r="Q80" i="6"/>
  <c r="S79" i="6"/>
  <c r="S80" i="6"/>
  <c r="K80" i="6"/>
  <c r="E79" i="6"/>
  <c r="I79" i="6"/>
  <c r="D77" i="6"/>
  <c r="D82" i="6" s="1"/>
  <c r="D70" i="6"/>
  <c r="D81" i="6" s="1"/>
  <c r="T79" i="6"/>
  <c r="R80" i="6"/>
  <c r="J77" i="6"/>
  <c r="J82" i="6" s="1"/>
  <c r="J70" i="6"/>
  <c r="J81" i="6" s="1"/>
  <c r="K79" i="6"/>
  <c r="B17" i="7"/>
  <c r="D4" i="9" s="1"/>
  <c r="D17" i="9" s="1"/>
  <c r="D20" i="9" s="1"/>
  <c r="D79" i="6"/>
  <c r="D80" i="6"/>
  <c r="C17" i="7"/>
  <c r="D6" i="9" s="1"/>
  <c r="C23" i="7"/>
  <c r="B23" i="7"/>
  <c r="C12" i="7"/>
  <c r="R79" i="6"/>
  <c r="T70" i="6"/>
  <c r="T81" i="6" s="1"/>
  <c r="T77" i="6"/>
  <c r="T82" i="6" s="1"/>
  <c r="S70" i="6"/>
  <c r="S81" i="6" s="1"/>
  <c r="S77" i="6"/>
  <c r="S82" i="6" s="1"/>
  <c r="N77" i="6"/>
  <c r="N82" i="6" s="1"/>
  <c r="J79" i="6"/>
  <c r="P79" i="6"/>
  <c r="P84" i="6" s="1"/>
  <c r="O79" i="6"/>
  <c r="O84" i="6" s="1"/>
  <c r="B11" i="7"/>
  <c r="D17" i="7"/>
  <c r="L70" i="6"/>
  <c r="L81" i="6" s="1"/>
  <c r="L77" i="6"/>
  <c r="L82" i="6" s="1"/>
  <c r="J12" i="7"/>
  <c r="F12" i="7"/>
  <c r="H79" i="6"/>
  <c r="G79" i="6"/>
  <c r="Q79" i="6"/>
  <c r="P6" i="7" l="1"/>
  <c r="P7" i="7"/>
  <c r="M6" i="7"/>
  <c r="M7" i="7"/>
  <c r="G6" i="7"/>
  <c r="D6" i="7"/>
  <c r="D7" i="7"/>
  <c r="H17" i="7"/>
  <c r="H6" i="7"/>
  <c r="H7" i="7"/>
  <c r="R7" i="7"/>
  <c r="R6" i="7"/>
  <c r="E6" i="7"/>
  <c r="E7" i="7"/>
  <c r="I7" i="7"/>
  <c r="I6" i="7"/>
  <c r="K6" i="7"/>
  <c r="Q6" i="7"/>
  <c r="Q7" i="7"/>
  <c r="O6" i="7"/>
  <c r="N6" i="7"/>
  <c r="L6" i="7"/>
  <c r="L7" i="7"/>
  <c r="F6" i="7"/>
  <c r="C6" i="7"/>
  <c r="F84" i="6"/>
  <c r="E84" i="6"/>
  <c r="F85" i="6"/>
  <c r="I77" i="6"/>
  <c r="I82" i="6" s="1"/>
  <c r="I85" i="6" s="1"/>
  <c r="H77" i="6"/>
  <c r="H82" i="6" s="1"/>
  <c r="M77" i="6"/>
  <c r="M82" i="6" s="1"/>
  <c r="M84" i="6" s="1"/>
  <c r="G84" i="6"/>
  <c r="K77" i="6"/>
  <c r="K82" i="6" s="1"/>
  <c r="K84" i="6" s="1"/>
  <c r="R70" i="6"/>
  <c r="R81" i="6" s="1"/>
  <c r="R85" i="6" s="1"/>
  <c r="Q70" i="6"/>
  <c r="Q81" i="6" s="1"/>
  <c r="Q85" i="6" s="1"/>
  <c r="D24" i="7"/>
  <c r="C4" i="9"/>
  <c r="C17" i="9" s="1"/>
  <c r="C20" i="9" s="1"/>
  <c r="E85" i="6"/>
  <c r="D12" i="7"/>
  <c r="H12" i="7" s="1"/>
  <c r="T85" i="6"/>
  <c r="J84" i="6"/>
  <c r="L85" i="6"/>
  <c r="G85" i="6"/>
  <c r="L84" i="6"/>
  <c r="J85" i="6"/>
  <c r="S84" i="6"/>
  <c r="H84" i="6"/>
  <c r="N85" i="6"/>
  <c r="D84" i="6"/>
  <c r="S85" i="6"/>
  <c r="N84" i="6"/>
  <c r="D11" i="7"/>
  <c r="H11" i="7" s="1"/>
  <c r="L11" i="7" s="1"/>
  <c r="B24" i="7"/>
  <c r="C24" i="7"/>
  <c r="C13" i="7"/>
  <c r="F11" i="7"/>
  <c r="J11" i="7" s="1"/>
  <c r="B13" i="7"/>
  <c r="D85" i="6"/>
  <c r="T84" i="6"/>
  <c r="P85" i="6"/>
  <c r="H85" i="6"/>
  <c r="G12" i="7"/>
  <c r="K12" i="7"/>
  <c r="O85" i="6"/>
  <c r="I84" i="6" l="1"/>
  <c r="K85" i="6"/>
  <c r="R84" i="6"/>
  <c r="U84" i="6" s="1"/>
  <c r="M85" i="6"/>
  <c r="Q84" i="6"/>
  <c r="L12" i="7"/>
  <c r="D13" i="7"/>
  <c r="U8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LOUBET</author>
  </authors>
  <commentList>
    <comment ref="G67" authorId="0" shapeId="0" xr:uid="{00000000-0006-0000-0000-000001000000}">
      <text>
        <r>
          <rPr>
            <b/>
            <sz val="9"/>
            <rFont val="Tahoma"/>
          </rPr>
          <t>Philippe LOUBET:</t>
        </r>
        <r>
          <rPr>
            <sz val="9"/>
            <rFont val="Tahoma"/>
          </rPr>
          <t xml:space="preserve">
Philippe LOUBET:
mass g</t>
        </r>
      </text>
    </comment>
  </commentList>
</comments>
</file>

<file path=xl/sharedStrings.xml><?xml version="1.0" encoding="utf-8"?>
<sst xmlns="http://schemas.openxmlformats.org/spreadsheetml/2006/main" count="6457" uniqueCount="1049">
  <si>
    <t>Components</t>
  </si>
  <si>
    <t>Elements</t>
  </si>
  <si>
    <t>Quantity</t>
  </si>
  <si>
    <t>Unit</t>
  </si>
  <si>
    <t>Source of data</t>
  </si>
  <si>
    <t>ecoinvent process</t>
  </si>
  <si>
    <t>Number</t>
  </si>
  <si>
    <t>Unitary mass</t>
  </si>
  <si>
    <t>Source for unitary mass</t>
  </si>
  <si>
    <t>Motherboard</t>
  </si>
  <si>
    <t>Processor</t>
  </si>
  <si>
    <t>g</t>
  </si>
  <si>
    <t>Quantification of the number/area of the elements: Dotdotgoose
Unitary mass: rough estimation based on documentation and size of sub-components (see SI)</t>
  </si>
  <si>
    <t>market for integrated circuit, logic type | integrated circuit, logic type | GLO</t>
  </si>
  <si>
    <t>Wafer (8*8mm area)</t>
  </si>
  <si>
    <t>mm2</t>
  </si>
  <si>
    <t>market for wafer, fabricated, for integrated circuit | GLO</t>
  </si>
  <si>
    <t>1*die of approx. 8mm*8mm area</t>
  </si>
  <si>
    <t>42*electrolytic capacitors</t>
  </si>
  <si>
    <t>market for capacitor, electrolyte type, &lt; 2cm height | GLO</t>
  </si>
  <si>
    <t>1064*SMD, mainly capacitors</t>
  </si>
  <si>
    <t>market for capacitor, for surface-mounting | GLO</t>
  </si>
  <si>
    <t>9*inductors</t>
  </si>
  <si>
    <t>market for inductor, low value multilayer chip |GLO</t>
  </si>
  <si>
    <t>weight calculated on volume and density of copper</t>
  </si>
  <si>
    <t>137* Integrated Circuits</t>
  </si>
  <si>
    <t>market for integrated circuit, logic type | GLO</t>
  </si>
  <si>
    <t>weight roughly estimated</t>
  </si>
  <si>
    <t>1*printed circuit board (259*259mm area)</t>
  </si>
  <si>
    <t>market for printed wiring board, for surface mounting, Pb free surface | GLO
market for mounting, surface mount technology, Pb-free solder | GLO</t>
  </si>
  <si>
    <t>3.26kg/m2</t>
  </si>
  <si>
    <t>3*PCIE + 7*RAM slots</t>
  </si>
  <si>
    <t>market for electric connector, peripheral component interconnect buss | GLO</t>
  </si>
  <si>
    <t>26*remaining connectors</t>
  </si>
  <si>
    <t>market for electric connector, peripheral type buss | GLO</t>
  </si>
  <si>
    <t>GPU</t>
  </si>
  <si>
    <t>4*electrolytic capacitors</t>
  </si>
  <si>
    <t>258*SMD, mainly capacitors</t>
  </si>
  <si>
    <t>2*inductors</t>
  </si>
  <si>
    <t>market for inductor, low value multilayer chip | GLO</t>
  </si>
  <si>
    <t>24*ICs</t>
  </si>
  <si>
    <t>weight rougly estimated</t>
  </si>
  <si>
    <t>4*memory ICs</t>
  </si>
  <si>
    <t>market for integrated circuit, memory type | GLO</t>
  </si>
  <si>
    <t>1*die of approx. 9mm*9mm area</t>
  </si>
  <si>
    <t>1*PCB of 152*68mm area</t>
  </si>
  <si>
    <t>3*connectors</t>
  </si>
  <si>
    <t>RAM</t>
  </si>
  <si>
    <t>Integrated circuits</t>
  </si>
  <si>
    <t>1*printed circuit board</t>
  </si>
  <si>
    <t>DELL 3620</t>
  </si>
  <si>
    <t>Source of data 1</t>
  </si>
  <si>
    <t>unit</t>
  </si>
  <si>
    <t>Computer disassembly and DELL Factsheet</t>
  </si>
  <si>
    <t>see Table 1</t>
  </si>
  <si>
    <t>HDD</t>
  </si>
  <si>
    <t>market for hard disk drive, for desktop computer | GLO</t>
  </si>
  <si>
    <t>Disk drive</t>
  </si>
  <si>
    <t>market for disk drive, CD/DVD, ROM, for desktop computer | GLO</t>
  </si>
  <si>
    <t>Power supply unit</t>
  </si>
  <si>
    <t>market for power supply unit, for desktop computer | GLO</t>
  </si>
  <si>
    <t>Chassis</t>
  </si>
  <si>
    <t>steel, low-alloyed, hot rolled</t>
  </si>
  <si>
    <t>kg</t>
  </si>
  <si>
    <t>educated guesses and of values averaged over a few models of the relevant subsystems when possible</t>
  </si>
  <si>
    <t>market for steel, low-alloyed, hot rolled | APOS, U - GLO</t>
  </si>
  <si>
    <t>sheet rolling, steel</t>
  </si>
  <si>
    <t>market for sheet rolling, steel | APOS, U - GLO</t>
  </si>
  <si>
    <t>powder coat, steel</t>
  </si>
  <si>
    <t>m2</t>
  </si>
  <si>
    <t>market for powder coat, steel | APOS, U - GLO</t>
  </si>
  <si>
    <t>acrylonitrile-butadiene-styrene copolymer</t>
  </si>
  <si>
    <t>market for acrylonitrile-butadiene-styrene copolymer | APOS, U - GLO</t>
  </si>
  <si>
    <t>stretch blow moulding</t>
  </si>
  <si>
    <t>market for stretch blow moulding | APOS, U - GLO</t>
  </si>
  <si>
    <t>cable, ribbon cable, 20-pin, with plugs</t>
  </si>
  <si>
    <t>market for cable, ribbon cable, 20-pin, with plugs | APOS, U - GLO</t>
  </si>
  <si>
    <t>cable, connector for computer, without plugs</t>
  </si>
  <si>
    <t>m</t>
  </si>
  <si>
    <t>market for cable, connector for computer, without plugs | APOS, U - GLO</t>
  </si>
  <si>
    <t>plug, inlet and outlet, for computer cable</t>
  </si>
  <si>
    <t>market for plug, inlet and outlet, for computer cable | APOS, U - GLO</t>
  </si>
  <si>
    <t>cable, network cable, category 5, without plugs</t>
  </si>
  <si>
    <t>market for cable, network cable, category 5, without plugs | APOS, U - GLO</t>
  </si>
  <si>
    <t>plug, inlet and outlet, for network cable</t>
  </si>
  <si>
    <t>market for plug, inlet and outlet, for network cable | APOS, U - GLO</t>
  </si>
  <si>
    <t>Desktop 120 mm air-cooling system</t>
  </si>
  <si>
    <t>See Table S1.7</t>
  </si>
  <si>
    <t>120 mm diameter fan</t>
  </si>
  <si>
    <t>See Table S1.6</t>
  </si>
  <si>
    <t>Assembly</t>
  </si>
  <si>
    <t>Electricity</t>
  </si>
  <si>
    <t>kWh</t>
  </si>
  <si>
    <t>ecoinvent report: proxy based on mass</t>
  </si>
  <si>
    <t>market group for electricity, medium voltage | CN</t>
  </si>
  <si>
    <t>Production of tap water</t>
  </si>
  <si>
    <t>m3</t>
  </si>
  <si>
    <t>market for tap water | RoW</t>
  </si>
  <si>
    <t>Treatment of waste water</t>
  </si>
  <si>
    <t>market for wastewater, unpolluted | RoW</t>
  </si>
  <si>
    <t>Packaging</t>
  </si>
  <si>
    <t>Corrugated board box</t>
  </si>
  <si>
    <t>Estimation</t>
  </si>
  <si>
    <t>market for corrugated board box | RoW</t>
  </si>
  <si>
    <t>Polypropylene</t>
  </si>
  <si>
    <t>market for polypropylene, granulate | GLO</t>
  </si>
  <si>
    <t>Polymer foaming</t>
  </si>
  <si>
    <t>market for polymer foaming | GLO</t>
  </si>
  <si>
    <t>Transport</t>
  </si>
  <si>
    <t>Transport, lorry</t>
  </si>
  <si>
    <t>11*2000</t>
  </si>
  <si>
    <t>tkm</t>
  </si>
  <si>
    <t>estimation: 1000km in France + 1000km in China</t>
  </si>
  <si>
    <t>transport, freight, lorry 16-32 metric ton, EURO5 | RoW</t>
  </si>
  <si>
    <t>Transport, ship</t>
  </si>
  <si>
    <t>11*15000</t>
  </si>
  <si>
    <t>estimation: distance between China and France</t>
  </si>
  <si>
    <t>transport, freight, sea, transoceanic ship | GLO</t>
  </si>
  <si>
    <t>Use</t>
  </si>
  <si>
    <t>Electricity, FR</t>
  </si>
  <si>
    <t xml:space="preserve">see section </t>
  </si>
  <si>
    <t>market for electricity, low voltage | FR</t>
  </si>
  <si>
    <t>End-of-life</t>
  </si>
  <si>
    <t>End-of-life of the computer</t>
  </si>
  <si>
    <t>mass of device</t>
  </si>
  <si>
    <t>market for used desktop computer | GLO</t>
  </si>
  <si>
    <t>End-of-life packaging</t>
  </si>
  <si>
    <t>mass of packaging</t>
  </si>
  <si>
    <t>market for waste packaging paper | FR</t>
  </si>
  <si>
    <t>market for waste polypropylene | FR</t>
  </si>
  <si>
    <t>Raspberry Pi 4 Rev B</t>
  </si>
  <si>
    <t>95*capacitors</t>
  </si>
  <si>
    <t>Quantification of the number/area of the elements: https://elinux.org/RPi_Partial_BOM_Rev2.0_ModelB
Unitary mass: rough estimation based on documentation and size of sub-components (see SI)</t>
  </si>
  <si>
    <t>10*diode, glass-, for surface-mounting</t>
  </si>
  <si>
    <t>market for diode, glass-, for surface-mounting | APOS, U - GLO</t>
  </si>
  <si>
    <t>7 BAV99 https://www.rectron.com/data_sheets/bav99.pdf  8mg</t>
  </si>
  <si>
    <t>9*electric connector, peripheral type buss</t>
  </si>
  <si>
    <t>market for electric connector, peripheral type buss | APOS, U - GLO</t>
  </si>
  <si>
    <t>8*inductor, low value multilayer chip</t>
  </si>
  <si>
    <t>market for inductor, low value multilayer chip | APOS, U - GLO</t>
  </si>
  <si>
    <t>https://www.murata.com/en-eu/api/pdfdownloadapi?cate=cgsubChipFerriBead&amp;partno=BLM15AG601SH1%23  1.6mg</t>
  </si>
  <si>
    <t>1*integrated circuit, logic type (processor)</t>
  </si>
  <si>
    <t>market for integrated circuit, logic type | APOS, U - GLO</t>
  </si>
  <si>
    <t>3*integrated circuit, memory type</t>
  </si>
  <si>
    <t>market for integrated circuit, memory type | APOS, U - GLO</t>
  </si>
  <si>
    <t>5*light emitting diode</t>
  </si>
  <si>
    <t>market for light emitting diode | APOS, U - GLO</t>
  </si>
  <si>
    <t>39*resistor, surface-mounted</t>
  </si>
  <si>
    <t>resistor production, surface-mounted | APOS, U - GLO</t>
  </si>
  <si>
    <t>https://www.modelithics.com/models/Vendor/Panasonic/ERJ2GE0R00X.pdf</t>
  </si>
  <si>
    <t>market for transistor, surface-mounted | APOS, U - GLO</t>
  </si>
  <si>
    <t>printed wiring board, for surface mounting, Pb containing surface</t>
  </si>
  <si>
    <t>market for printed wiring board, for surface mounting, Pb containing surface | GLO
mounting, surface mount technology, Pb-free solder | GLO</t>
  </si>
  <si>
    <t>market for acrylonitrile-butadiene-styrene copolymer | GLO</t>
  </si>
  <si>
    <t>electricity, low voltage</t>
  </si>
  <si>
    <t>market group for electricity, low voltage | CN</t>
  </si>
  <si>
    <t>market for cable, network cable, category 5, without plugs | GLO</t>
  </si>
  <si>
    <t>market for plug, inlet and outlet, for network cable | GLO</t>
  </si>
  <si>
    <t>External 15 W power supply</t>
  </si>
  <si>
    <t>See Table S1.5</t>
  </si>
  <si>
    <t>L</t>
  </si>
  <si>
    <t>0.068*2000</t>
  </si>
  <si>
    <t>kgkm</t>
  </si>
  <si>
    <t>0.068*15000</t>
  </si>
  <si>
    <t>mass of the device</t>
  </si>
  <si>
    <t>mass of the packaging</t>
  </si>
  <si>
    <t>Server DELL 7920</t>
  </si>
  <si>
    <t>units</t>
  </si>
  <si>
    <t>2*Processors (2* 36.4mm*29.4mm)</t>
  </si>
  <si>
    <t>2*SSD</t>
  </si>
  <si>
    <t>40.0</t>
  </si>
  <si>
    <t>market for integrated circuit, logic type |  GLO</t>
  </si>
  <si>
    <t>3*HDD</t>
  </si>
  <si>
    <t>market for steel, low-alloyed, hot rolled | GLO</t>
  </si>
  <si>
    <t>market for sheet rolling, steel | GLO</t>
  </si>
  <si>
    <t>market for powder coat, steel | GLO</t>
  </si>
  <si>
    <t>market for stretch blow moulding | GLO</t>
  </si>
  <si>
    <t>market for cable, ribbon cable, 20-pin, with plugs | GLO</t>
  </si>
  <si>
    <t>market for cable, connector for computer, without plugs | GLO</t>
  </si>
  <si>
    <t>market for plug, inlet and outlet, for computer cable | GLO</t>
  </si>
  <si>
    <t>Server 140 mm air-cooling system</t>
  </si>
  <si>
    <t>140 mm diameter fan</t>
  </si>
  <si>
    <t>30*2000</t>
  </si>
  <si>
    <t>30*15000</t>
  </si>
  <si>
    <t>External power supplies</t>
  </si>
  <si>
    <t>printed wiring board, for power supply unit, desktop computer, Pb free</t>
  </si>
  <si>
    <t>market for printed wiring board, for power supply unit, desktop computer, Pb free | GLO</t>
  </si>
  <si>
    <t>External15 W power supply</t>
  </si>
  <si>
    <t>aluminium, wrought alloy</t>
  </si>
  <si>
    <t>market for aluminium, wrought alloy | GLO</t>
  </si>
  <si>
    <t xml:space="preserve"> </t>
  </si>
  <si>
    <t>section bar extrusion, aluminium</t>
  </si>
  <si>
    <t>market for section bar extrusion, aluminium | GLO</t>
  </si>
  <si>
    <t>copper</t>
  </si>
  <si>
    <t>market for copper | GLO</t>
  </si>
  <si>
    <t>wire drawing, copper</t>
  </si>
  <si>
    <t>market for wire drawing, copper | GLO</t>
  </si>
  <si>
    <t>polyethylene, high density, granulate</t>
  </si>
  <si>
    <t>market for polyethylene, high density, granulate | GLO</t>
  </si>
  <si>
    <t>polyvinylchloride, suspension polymerised</t>
  </si>
  <si>
    <t>market for polyvinylchloride, suspension polymerised | GLO</t>
  </si>
  <si>
    <t>extrusion, plastic pipes</t>
  </si>
  <si>
    <t>market for extrusion, plastic pipes | GLO</t>
  </si>
  <si>
    <t>Fans</t>
  </si>
  <si>
    <t>injection moulding</t>
  </si>
  <si>
    <t>market for injection moulding | GLO</t>
  </si>
  <si>
    <t>120 mm diameter</t>
  </si>
  <si>
    <t>CPU air-cooling systems</t>
  </si>
  <si>
    <t>Table S2.1 - Mid Tower Chassis</t>
  </si>
  <si>
    <t>Table S2.3 - 120-mm Fans</t>
  </si>
  <si>
    <t>Sample #</t>
  </si>
  <si>
    <t>Mass (kg)</t>
  </si>
  <si>
    <t>Materials</t>
  </si>
  <si>
    <t>Fans (diameter)</t>
  </si>
  <si>
    <t>Model name</t>
  </si>
  <si>
    <t>Mass (g)</t>
  </si>
  <si>
    <t>steel &amp; plastic</t>
  </si>
  <si>
    <t>1 (120 mm)</t>
  </si>
  <si>
    <t>Cooler Master Elite 500 ODD</t>
  </si>
  <si>
    <t>Rosewill RFA-120-BL</t>
  </si>
  <si>
    <t>steel</t>
  </si>
  <si>
    <t>Corsair 110Q</t>
  </si>
  <si>
    <t>Noctua NF-P12 redux-1700 PWM</t>
  </si>
  <si>
    <t>Antec GX200</t>
  </si>
  <si>
    <t>Arctic P12-120 mm</t>
  </si>
  <si>
    <t>Bitfenix Nova</t>
  </si>
  <si>
    <t>Arctic BioniX P120</t>
  </si>
  <si>
    <t>steel &amp; plastic &amp; tempered glass</t>
  </si>
  <si>
    <t>Zalman T8</t>
  </si>
  <si>
    <t>Arctic BioniX F120</t>
  </si>
  <si>
    <t>Average</t>
  </si>
  <si>
    <t>Corsair ML120 120mm PWM</t>
  </si>
  <si>
    <t>Cooler Master SickleFlow 120 (MFX-B2NN-18NPK)</t>
  </si>
  <si>
    <t>Cooler Master SF120R (MFX-B2NN-20NPK-R1)</t>
  </si>
  <si>
    <t>Table S2.2 - Full Tower Chassis</t>
  </si>
  <si>
    <t>Kingwin 120mm Silent Fan</t>
  </si>
  <si>
    <t>be quiet! Silent Wings 3 120mm PWM</t>
  </si>
  <si>
    <t>3 (140 mm)</t>
  </si>
  <si>
    <t>Fractal Design Define XL R2</t>
  </si>
  <si>
    <t>Corsair Air Series AF120 LED</t>
  </si>
  <si>
    <t>steel and aluminium and plastic</t>
  </si>
  <si>
    <t>Corsair Obsidian 750D Airflow</t>
  </si>
  <si>
    <t>Noiseblocker NB-BlackSilentPro PLPS 120mm</t>
  </si>
  <si>
    <t>steel and plastic</t>
  </si>
  <si>
    <t>be quiet! Silent Base 802</t>
  </si>
  <si>
    <t>steel and aluminium ?</t>
  </si>
  <si>
    <t>Fractal Design Define 7 XL</t>
  </si>
  <si>
    <t>1 (140 mm)  + 1 (200 mm)</t>
  </si>
  <si>
    <t>Phanteks Enthoo Pro</t>
  </si>
  <si>
    <t>Table S2.4 - 140-mm Fans</t>
  </si>
  <si>
    <t>Scythe Kaze Flex14 (KF1425FD1xS-P)</t>
  </si>
  <si>
    <t>Arctic BioniX P140</t>
  </si>
  <si>
    <t>Noctua NF-A14</t>
  </si>
  <si>
    <t>Corsair ML140 140mm PWM</t>
  </si>
  <si>
    <t>Cooler Master Silent Fan 140MM (R4-S4S-10AK-GP)</t>
  </si>
  <si>
    <t>Cooler Master MasterFan Pro 140 Air Flow</t>
  </si>
  <si>
    <t>Corsair Air Series AF140 LED</t>
  </si>
  <si>
    <t>Corsair iCUE ML140 RGB ELITE Premium 140mm PWM</t>
  </si>
  <si>
    <t>Table S2.5 - Premium size air-cooling systems</t>
  </si>
  <si>
    <t>Element</t>
  </si>
  <si>
    <t>Estimated mass (g)</t>
  </si>
  <si>
    <t>Material</t>
  </si>
  <si>
    <t>Source</t>
  </si>
  <si>
    <t>Total mass (g)</t>
  </si>
  <si>
    <t>Heat pipes</t>
  </si>
  <si>
    <t>140-mm fans</t>
  </si>
  <si>
    <t>120-mm fans</t>
  </si>
  <si>
    <t>Plastic mass (g)</t>
  </si>
  <si>
    <t>Copper mass (g)</t>
  </si>
  <si>
    <t>Aluminium mass (g)</t>
  </si>
  <si>
    <t>Heat pipe (premium)</t>
  </si>
  <si>
    <t>Copper</t>
  </si>
  <si>
    <t>Total length  ~ 35 cm, ext. diameter ~ 5 mm, wall thickness ~ 1.1 mm ?, copper volumic mass = 8.96 g/cm3</t>
  </si>
  <si>
    <t>Noctua NH-D15</t>
  </si>
  <si>
    <t>Heat pipe (medium)</t>
  </si>
  <si>
    <t>Total length  ~ 35 cm, ext. diameter ~ 4 mm to 5 mm, wall thickness ~ 1 mm ?, copper volumic mass = 8.96 g/cm3</t>
  </si>
  <si>
    <t>Cooler Master MasterAir MA624 Stealth</t>
  </si>
  <si>
    <t>140-mm diameter fan</t>
  </si>
  <si>
    <t>Plastic</t>
  </si>
  <si>
    <t>See Fans sheet</t>
  </si>
  <si>
    <t>Arctic Freezer 50 TR</t>
  </si>
  <si>
    <t>120-mm diameter fan</t>
  </si>
  <si>
    <t>Deepcool Assassin III</t>
  </si>
  <si>
    <t>Cooler Master MasterAir MA410M</t>
  </si>
  <si>
    <t>Noctua NH-U14S</t>
  </si>
  <si>
    <t>Table S2.6 - Medium size air-cooling systems</t>
  </si>
  <si>
    <t>Zalman CNPS10x Performa Black</t>
  </si>
  <si>
    <t>be quiet! Shadow Rock Slim 2</t>
  </si>
  <si>
    <t>Cooler Master Hyper 212 Black</t>
  </si>
  <si>
    <t>Contribution</t>
  </si>
  <si>
    <t>Process</t>
  </si>
  <si>
    <t>Amount</t>
  </si>
  <si>
    <t>100.00%</t>
  </si>
  <si>
    <t>Use of computer DELL T1700/3620 at ENSEIRB-MATMECA - FR</t>
  </si>
  <si>
    <t>kg CO2 eq</t>
  </si>
  <si>
    <t>GW</t>
  </si>
  <si>
    <t>78.60%</t>
  </si>
  <si>
    <t>Computer DELL T1700/3620 - CN</t>
  </si>
  <si>
    <t>31.81%</t>
  </si>
  <si>
    <t>Motherboard, DELL Precision T1700/3620 - CN</t>
  </si>
  <si>
    <t>10.43%</t>
  </si>
  <si>
    <t>market for power supply unit, for desktop computer | power supply unit, for desktop computer | APOS, U - GLO</t>
  </si>
  <si>
    <t>07.63%</t>
  </si>
  <si>
    <t>GPU, DELL Precision T1700/3620 - CN</t>
  </si>
  <si>
    <t>07.49%</t>
  </si>
  <si>
    <t>chassis_tour_bureau_moyen</t>
  </si>
  <si>
    <t>06.18%</t>
  </si>
  <si>
    <t>market for disk drive, CD/DVD, ROM, for desktop computer | disk drive, CD/DVD, ROM, for desktop computer | APOS, U - GLO</t>
  </si>
  <si>
    <t>04.31%</t>
  </si>
  <si>
    <t>market for hard disk drive, for desktop computer | hard disk drive, for desktop computer | APOS, U - GLO</t>
  </si>
  <si>
    <t>03.44%</t>
  </si>
  <si>
    <t>RAM - CN</t>
  </si>
  <si>
    <t>02.45%</t>
  </si>
  <si>
    <t>market for integrated circuit, logic type | integrated circuit, logic type | APOS, U - GLO</t>
  </si>
  <si>
    <t>01.25%</t>
  </si>
  <si>
    <t>market for used desktop computer | used desktop computer | APOS, U - GLO</t>
  </si>
  <si>
    <t>00.98%</t>
  </si>
  <si>
    <t>transport, freight, lorry 16-32 metric ton, EURO5 | transport, freight, lorry 16-32 metric ton, EURO5 | APOS, U - RoW</t>
  </si>
  <si>
    <t>00.78%</t>
  </si>
  <si>
    <t>market group for electricity, medium voltage | electricity, medium voltage | APOS, U - CN</t>
  </si>
  <si>
    <t>00.50%</t>
  </si>
  <si>
    <t>transport, freight, sea, transoceanic ship | transport, freight, sea, transoceanic ship | APOS, U - GLO</t>
  </si>
  <si>
    <t>00.41%</t>
  </si>
  <si>
    <t>market for corrugated board box | corrugated board box | APOS, U - RoW</t>
  </si>
  <si>
    <t>00.31%</t>
  </si>
  <si>
    <t>market for waste packaging paper | waste packaging paper | APOS, U - FR</t>
  </si>
  <si>
    <t>00.30%</t>
  </si>
  <si>
    <t>market for tap water | tap water | APOS, U - RoW</t>
  </si>
  <si>
    <t>00.13%</t>
  </si>
  <si>
    <t>market for wastewater, unpolluted | wastewater, unpolluted | APOS, U - RoW</t>
  </si>
  <si>
    <t>00.09%</t>
  </si>
  <si>
    <t>market for polypropylene, granulate | polypropylene, granulate | APOS, U - GLO</t>
  </si>
  <si>
    <t>00.07%</t>
  </si>
  <si>
    <t>market for waste polypropylene | waste polypropylene | APOS, U - FR</t>
  </si>
  <si>
    <t>00.04%</t>
  </si>
  <si>
    <t>market for polymer foaming | polymer foaming | APOS, U - GLO</t>
  </si>
  <si>
    <t>21.40%</t>
  </si>
  <si>
    <t>market for electricity, low voltage | electricity, low voltage | APOS, U - FR</t>
  </si>
  <si>
    <t>kg PM2.5 eq</t>
  </si>
  <si>
    <t>FPMF</t>
  </si>
  <si>
    <t>82.42%</t>
  </si>
  <si>
    <t>36.44%</t>
  </si>
  <si>
    <t>11.15%</t>
  </si>
  <si>
    <t>08.51%</t>
  </si>
  <si>
    <t>08.03%</t>
  </si>
  <si>
    <t>06.10%</t>
  </si>
  <si>
    <t>03.90%</t>
  </si>
  <si>
    <t>03.21%</t>
  </si>
  <si>
    <t>02.10%</t>
  </si>
  <si>
    <t>01.06%</t>
  </si>
  <si>
    <t>00.46%</t>
  </si>
  <si>
    <t>00.42%</t>
  </si>
  <si>
    <t>00.33%</t>
  </si>
  <si>
    <t>00.26%</t>
  </si>
  <si>
    <t>00.03%</t>
  </si>
  <si>
    <t>00.02%</t>
  </si>
  <si>
    <t>00.00%</t>
  </si>
  <si>
    <t>17.58%</t>
  </si>
  <si>
    <t>kg oil eq</t>
  </si>
  <si>
    <t>FRS</t>
  </si>
  <si>
    <t>78.48%</t>
  </si>
  <si>
    <t>32.20%</t>
  </si>
  <si>
    <t>10.80%</t>
  </si>
  <si>
    <t>07.65%</t>
  </si>
  <si>
    <t>07.45%</t>
  </si>
  <si>
    <t>06.38%</t>
  </si>
  <si>
    <t>04.09%</t>
  </si>
  <si>
    <t>03.33%</t>
  </si>
  <si>
    <t>02.46%</t>
  </si>
  <si>
    <t>01.33%</t>
  </si>
  <si>
    <t>00.62%</t>
  </si>
  <si>
    <t>00.59%</t>
  </si>
  <si>
    <t>00.45%</t>
  </si>
  <si>
    <t>00.29%</t>
  </si>
  <si>
    <t>00.11%</t>
  </si>
  <si>
    <t>21.52%</t>
  </si>
  <si>
    <t>kg 1,4-DCB</t>
  </si>
  <si>
    <t>FE</t>
  </si>
  <si>
    <t>78.63%</t>
  </si>
  <si>
    <t>45.08%</t>
  </si>
  <si>
    <t>07.62%</t>
  </si>
  <si>
    <t>06.64%</t>
  </si>
  <si>
    <t>04.21%</t>
  </si>
  <si>
    <t>03.18%</t>
  </si>
  <si>
    <t>03.13%</t>
  </si>
  <si>
    <t>03.12%</t>
  </si>
  <si>
    <t>01.38%</t>
  </si>
  <si>
    <t>00.01%</t>
  </si>
  <si>
    <t>21.37%</t>
  </si>
  <si>
    <t>kg P eq</t>
  </si>
  <si>
    <t>FEut</t>
  </si>
  <si>
    <t>93.33%</t>
  </si>
  <si>
    <t>54.23%</t>
  </si>
  <si>
    <t>09.57%</t>
  </si>
  <si>
    <t>08.17%</t>
  </si>
  <si>
    <t>05.96%</t>
  </si>
  <si>
    <t>04.87%</t>
  </si>
  <si>
    <t>04.03%</t>
  </si>
  <si>
    <t>04.00%</t>
  </si>
  <si>
    <t>02.09%</t>
  </si>
  <si>
    <t>00.08%</t>
  </si>
  <si>
    <t>00.06%</t>
  </si>
  <si>
    <t>06.67%</t>
  </si>
  <si>
    <t>HCT</t>
  </si>
  <si>
    <t>83.40%</t>
  </si>
  <si>
    <t>33.03%</t>
  </si>
  <si>
    <t>18.35%</t>
  </si>
  <si>
    <t>09.39%</t>
  </si>
  <si>
    <t>06.80%</t>
  </si>
  <si>
    <t>06.09%</t>
  </si>
  <si>
    <t>04.07%</t>
  </si>
  <si>
    <t>02.78%</t>
  </si>
  <si>
    <t>01.58%</t>
  </si>
  <si>
    <t>00.36%</t>
  </si>
  <si>
    <t>00.34%</t>
  </si>
  <si>
    <t>00.14%</t>
  </si>
  <si>
    <t>16.60%</t>
  </si>
  <si>
    <t>HNCT</t>
  </si>
  <si>
    <t>95.21%</t>
  </si>
  <si>
    <t>56.84%</t>
  </si>
  <si>
    <t>08.36%</t>
  </si>
  <si>
    <t>05.38%</t>
  </si>
  <si>
    <t>05.14%</t>
  </si>
  <si>
    <t>03.98%</t>
  </si>
  <si>
    <t>03.88%</t>
  </si>
  <si>
    <t>01.71%</t>
  </si>
  <si>
    <t>00.17%</t>
  </si>
  <si>
    <t>00.05%</t>
  </si>
  <si>
    <t>04.79%</t>
  </si>
  <si>
    <t>kBq Co-60 eq</t>
  </si>
  <si>
    <t>IR</t>
  </si>
  <si>
    <t>96.97%</t>
  </si>
  <si>
    <t>03.03%</t>
  </si>
  <si>
    <t>01.32%</t>
  </si>
  <si>
    <t>00.43%</t>
  </si>
  <si>
    <t>00.32%</t>
  </si>
  <si>
    <t>00.25%</t>
  </si>
  <si>
    <t>00.22%</t>
  </si>
  <si>
    <t>00.18%</t>
  </si>
  <si>
    <t>00.16%</t>
  </si>
  <si>
    <t>00.10%</t>
  </si>
  <si>
    <t>m2a crop eq</t>
  </si>
  <si>
    <t>LU</t>
  </si>
  <si>
    <t>89.99%</t>
  </si>
  <si>
    <t>45.13%</t>
  </si>
  <si>
    <t>12.97%</t>
  </si>
  <si>
    <t>08.54%</t>
  </si>
  <si>
    <t>06.82%</t>
  </si>
  <si>
    <t>03.79%</t>
  </si>
  <si>
    <t>03.77%</t>
  </si>
  <si>
    <t>03.63%</t>
  </si>
  <si>
    <t>01.95%</t>
  </si>
  <si>
    <t>00.37%</t>
  </si>
  <si>
    <t>-00.01%</t>
  </si>
  <si>
    <t>10.01%</t>
  </si>
  <si>
    <t>ME</t>
  </si>
  <si>
    <t>80.91%</t>
  </si>
  <si>
    <t>46.70%</t>
  </si>
  <si>
    <t>07.93%</t>
  </si>
  <si>
    <t>06.79%</t>
  </si>
  <si>
    <t>04.52%</t>
  </si>
  <si>
    <t>04.15%</t>
  </si>
  <si>
    <t>03.30%</t>
  </si>
  <si>
    <t>03.20%</t>
  </si>
  <si>
    <t>02.70%</t>
  </si>
  <si>
    <t>01.41%</t>
  </si>
  <si>
    <t>19.09%</t>
  </si>
  <si>
    <t>kg N eq</t>
  </si>
  <si>
    <t>MEut</t>
  </si>
  <si>
    <t>57.82%</t>
  </si>
  <si>
    <t>27.39%</t>
  </si>
  <si>
    <t>06.55%</t>
  </si>
  <si>
    <t>04.73%</t>
  </si>
  <si>
    <t>04.39%</t>
  </si>
  <si>
    <t>02.58%</t>
  </si>
  <si>
    <t>02.13%</t>
  </si>
  <si>
    <t>01.68%</t>
  </si>
  <si>
    <t>01.49%</t>
  </si>
  <si>
    <t>00.97%</t>
  </si>
  <si>
    <t>00.20%</t>
  </si>
  <si>
    <t>42.18%</t>
  </si>
  <si>
    <t>kg Cu eq</t>
  </si>
  <si>
    <t>MRS</t>
  </si>
  <si>
    <t>86.81%</t>
  </si>
  <si>
    <t>41.98%</t>
  </si>
  <si>
    <t>15.03%</t>
  </si>
  <si>
    <t>08.39%</t>
  </si>
  <si>
    <t>07.55%</t>
  </si>
  <si>
    <t>06.23%</t>
  </si>
  <si>
    <t>02.84%</t>
  </si>
  <si>
    <t>01.15%</t>
  </si>
  <si>
    <t>00.15%</t>
  </si>
  <si>
    <t>13.19%</t>
  </si>
  <si>
    <t>kg NOx eq</t>
  </si>
  <si>
    <t>OF</t>
  </si>
  <si>
    <t>82.78%</t>
  </si>
  <si>
    <t>36.38%</t>
  </si>
  <si>
    <t>10.87%</t>
  </si>
  <si>
    <t>07.92%</t>
  </si>
  <si>
    <t>06.57%</t>
  </si>
  <si>
    <t>06.27%</t>
  </si>
  <si>
    <t>04.08%</t>
  </si>
  <si>
    <t>02.68%</t>
  </si>
  <si>
    <t>01.00%</t>
  </si>
  <si>
    <t>00.70%</t>
  </si>
  <si>
    <t>00.49%</t>
  </si>
  <si>
    <t>00.24%</t>
  </si>
  <si>
    <t>17.22%</t>
  </si>
  <si>
    <t>kg CFC11 eq</t>
  </si>
  <si>
    <t>OD</t>
  </si>
  <si>
    <t>53.17%</t>
  </si>
  <si>
    <t>23.91%</t>
  </si>
  <si>
    <t>06.92%</t>
  </si>
  <si>
    <t>05.23%</t>
  </si>
  <si>
    <t>02.47%</t>
  </si>
  <si>
    <t>01.84%</t>
  </si>
  <si>
    <t>01.73%</t>
  </si>
  <si>
    <t>00.83%</t>
  </si>
  <si>
    <t>00.80%</t>
  </si>
  <si>
    <t>00.52%</t>
  </si>
  <si>
    <t>00.27%</t>
  </si>
  <si>
    <t>00.19%</t>
  </si>
  <si>
    <t>46.83%</t>
  </si>
  <si>
    <t>kg SO2 eq</t>
  </si>
  <si>
    <t>Ac</t>
  </si>
  <si>
    <t>81.45%</t>
  </si>
  <si>
    <t>37.24%</t>
  </si>
  <si>
    <t>10.55%</t>
  </si>
  <si>
    <t>08.47%</t>
  </si>
  <si>
    <t>08.15%</t>
  </si>
  <si>
    <t>05.65%</t>
  </si>
  <si>
    <t>02.69%</t>
  </si>
  <si>
    <t>01.75%</t>
  </si>
  <si>
    <t>01.48%</t>
  </si>
  <si>
    <t>00.47%</t>
  </si>
  <si>
    <t>18.55%</t>
  </si>
  <si>
    <t>TE</t>
  </si>
  <si>
    <t>78.83%</t>
  </si>
  <si>
    <t>27.79%</t>
  </si>
  <si>
    <t>16.82%</t>
  </si>
  <si>
    <t>14.43%</t>
  </si>
  <si>
    <t>06.86%</t>
  </si>
  <si>
    <t>04.68%</t>
  </si>
  <si>
    <t>02.87%</t>
  </si>
  <si>
    <t>02.80%</t>
  </si>
  <si>
    <t>00.65%</t>
  </si>
  <si>
    <t>00.48%</t>
  </si>
  <si>
    <t>21.17%</t>
  </si>
  <si>
    <t>WC</t>
  </si>
  <si>
    <t>63.65%</t>
  </si>
  <si>
    <t>36.35%</t>
  </si>
  <si>
    <t>20.83%</t>
  </si>
  <si>
    <t>13.69%</t>
  </si>
  <si>
    <t>05.30%</t>
  </si>
  <si>
    <t>03.15%</t>
  </si>
  <si>
    <t>02.73%</t>
  </si>
  <si>
    <t>01.90%</t>
  </si>
  <si>
    <t>01.21%</t>
  </si>
  <si>
    <t>01.01%</t>
  </si>
  <si>
    <t>00.28%</t>
  </si>
  <si>
    <t>-18.63%</t>
  </si>
  <si>
    <t>NEW LCIA</t>
  </si>
  <si>
    <t>new elec</t>
  </si>
  <si>
    <t>Use of Raspberry + Server at ENSEIRB-MATMECA - FR</t>
  </si>
  <si>
    <t>48.13%</t>
  </si>
  <si>
    <t>Raspberry Pi 4 Rev B - CN</t>
  </si>
  <si>
    <t>22.60%</t>
  </si>
  <si>
    <t>Raspberry</t>
  </si>
  <si>
    <t>09.04%</t>
  </si>
  <si>
    <t>chassis_client_leger_sbc-impression_3d_abs</t>
  </si>
  <si>
    <t>06.66%</t>
  </si>
  <si>
    <t>market for printed wiring board, for surface mounting, Pb containing surface | printed wiring board, for surface mounting, Pb containing surface | APOS, U - GLO</t>
  </si>
  <si>
    <t>05.92%</t>
  </si>
  <si>
    <t>market for integrated circuit, memory type | integrated circuit, memory type | APOS, U - GLO</t>
  </si>
  <si>
    <t>01.18%</t>
  </si>
  <si>
    <t>market for transistor, surface-mounted | transistor, surface-mounted | APOS, U - GLO</t>
  </si>
  <si>
    <t>00.69%</t>
  </si>
  <si>
    <t>market for light emitting diode | light emitting diode | APOS, U - GLO</t>
  </si>
  <si>
    <t>market for electric connector, peripheral type buss | electric connector, peripheral type buss | APOS, U - GLO</t>
  </si>
  <si>
    <t>00.58%</t>
  </si>
  <si>
    <t>market for capacitor, for surface-mounting | capacitor, for surface-mounting | APOS, U - GLO</t>
  </si>
  <si>
    <t>resistor production, surface-mounted | resistor, surface-mounted | APOS, U - GLO</t>
  </si>
  <si>
    <t>mounting, surface mount technology, Pb-free solder | mounting, surface mount technology, Pb-free solder | APOS, U - GLO</t>
  </si>
  <si>
    <t>market for diode, glass-, for surface-mounting | diode, glass-, for surface-mounting | APOS, U - GLO</t>
  </si>
  <si>
    <t>market for inductor, low value multilayer chip | inductor, low value multilayer chip | APOS, U - GLO</t>
  </si>
  <si>
    <t>35.82%</t>
  </si>
  <si>
    <t>Server 48 cores - CN</t>
  </si>
  <si>
    <t>Server</t>
  </si>
  <si>
    <t>10.63%</t>
  </si>
  <si>
    <t>09.55%</t>
  </si>
  <si>
    <t>03.70%</t>
  </si>
  <si>
    <t>02.64%</t>
  </si>
  <si>
    <t>chassis_tour_serveur_moyen</t>
  </si>
  <si>
    <t>02.55%</t>
  </si>
  <si>
    <t>02.30%</t>
  </si>
  <si>
    <t>02.16%</t>
  </si>
  <si>
    <t>00.67%</t>
  </si>
  <si>
    <t>00.23%</t>
  </si>
  <si>
    <t>treatment of wastewater, unpolluted, capacity 5E9l/year | wastewater, unpolluted | APOS, U - RoW</t>
  </si>
  <si>
    <t>16.06%</t>
  </si>
  <si>
    <t>52.31%</t>
  </si>
  <si>
    <t>19.20%</t>
  </si>
  <si>
    <t>14.53%</t>
  </si>
  <si>
    <t>06.70%</t>
  </si>
  <si>
    <t>05.26%</t>
  </si>
  <si>
    <t>02.50%</t>
  </si>
  <si>
    <t>01.64%</t>
  </si>
  <si>
    <t>00.82%</t>
  </si>
  <si>
    <t>00.63%</t>
  </si>
  <si>
    <t>34.66%</t>
  </si>
  <si>
    <t>12.03%</t>
  </si>
  <si>
    <t>08.11%</t>
  </si>
  <si>
    <t>02.81%</t>
  </si>
  <si>
    <t>02.42%</t>
  </si>
  <si>
    <t>02.12%</t>
  </si>
  <si>
    <t>01.93%</t>
  </si>
  <si>
    <t>13.03%</t>
  </si>
  <si>
    <t>48.57%</t>
  </si>
  <si>
    <t>22.68%</t>
  </si>
  <si>
    <t>09.71%</t>
  </si>
  <si>
    <t>06.65%</t>
  </si>
  <si>
    <t>05.64%</t>
  </si>
  <si>
    <t>00.60%</t>
  </si>
  <si>
    <t>35.35%</t>
  </si>
  <si>
    <t>10.72%</t>
  </si>
  <si>
    <t>09.58%</t>
  </si>
  <si>
    <t>03.81%</t>
  </si>
  <si>
    <t>02.63%</t>
  </si>
  <si>
    <t>02.22%</t>
  </si>
  <si>
    <t>02.04%</t>
  </si>
  <si>
    <t>16.09%</t>
  </si>
  <si>
    <t>48.67%</t>
  </si>
  <si>
    <t>34.55%</t>
  </si>
  <si>
    <t>07.39%</t>
  </si>
  <si>
    <t>02.24%</t>
  </si>
  <si>
    <t>01.74%</t>
  </si>
  <si>
    <t>01.16%</t>
  </si>
  <si>
    <t>36.69%</t>
  </si>
  <si>
    <t>14.60%</t>
  </si>
  <si>
    <t>13.76%</t>
  </si>
  <si>
    <t>02.33%</t>
  </si>
  <si>
    <t>01.52%</t>
  </si>
  <si>
    <t>01.43%</t>
  </si>
  <si>
    <t>01.36%</t>
  </si>
  <si>
    <t>00.84%</t>
  </si>
  <si>
    <t>00.75%</t>
  </si>
  <si>
    <t>14.65%</t>
  </si>
  <si>
    <t>55.41%</t>
  </si>
  <si>
    <t>38.49%</t>
  </si>
  <si>
    <t>07.94%</t>
  </si>
  <si>
    <t>03.17%</t>
  </si>
  <si>
    <t>02.76%</t>
  </si>
  <si>
    <t>01.20%</t>
  </si>
  <si>
    <t>00.38%</t>
  </si>
  <si>
    <t>40.31%</t>
  </si>
  <si>
    <t>16.26%</t>
  </si>
  <si>
    <t>15.50%</t>
  </si>
  <si>
    <t>02.74%</t>
  </si>
  <si>
    <t>01.81%</t>
  </si>
  <si>
    <t>01.72%</t>
  </si>
  <si>
    <t>00.94%</t>
  </si>
  <si>
    <t>04.28%</t>
  </si>
  <si>
    <t>47.68%</t>
  </si>
  <si>
    <t>26.56%</t>
  </si>
  <si>
    <t>12.02%</t>
  </si>
  <si>
    <t>03.14%</t>
  </si>
  <si>
    <t>00.89%</t>
  </si>
  <si>
    <t>00.64%</t>
  </si>
  <si>
    <t>00.35%</t>
  </si>
  <si>
    <t>00.12%</t>
  </si>
  <si>
    <t>39.45%</t>
  </si>
  <si>
    <t>11.41%</t>
  </si>
  <si>
    <t>11.22%</t>
  </si>
  <si>
    <t>07.42%</t>
  </si>
  <si>
    <t>02.11%</t>
  </si>
  <si>
    <t>01.09%</t>
  </si>
  <si>
    <t>12.87%</t>
  </si>
  <si>
    <t>56.74%</t>
  </si>
  <si>
    <t>39.56%</t>
  </si>
  <si>
    <t>09.66%</t>
  </si>
  <si>
    <t>02.51%</t>
  </si>
  <si>
    <t>02.08%</t>
  </si>
  <si>
    <t>01.34%</t>
  </si>
  <si>
    <t>00.53%</t>
  </si>
  <si>
    <t>40.28%</t>
  </si>
  <si>
    <t>16.71%</t>
  </si>
  <si>
    <t>15.80%</t>
  </si>
  <si>
    <t>02.66%</t>
  </si>
  <si>
    <t>01.62%</t>
  </si>
  <si>
    <t>01.59%</t>
  </si>
  <si>
    <t>00.95%</t>
  </si>
  <si>
    <t>00.81%</t>
  </si>
  <si>
    <t>02.99%</t>
  </si>
  <si>
    <t>95.58%</t>
  </si>
  <si>
    <t>02.60%</t>
  </si>
  <si>
    <t>01.24%</t>
  </si>
  <si>
    <t>00.40%</t>
  </si>
  <si>
    <t>01.82%</t>
  </si>
  <si>
    <t>50.12%</t>
  </si>
  <si>
    <t>33.33%</t>
  </si>
  <si>
    <t>06.11%</t>
  </si>
  <si>
    <t>04.17%</t>
  </si>
  <si>
    <t>03.08%</t>
  </si>
  <si>
    <t>00.90%</t>
  </si>
  <si>
    <t>-00.00%</t>
  </si>
  <si>
    <t>42.41%</t>
  </si>
  <si>
    <t>15.00%</t>
  </si>
  <si>
    <t>14.08%</t>
  </si>
  <si>
    <t>04.57%</t>
  </si>
  <si>
    <t>01.88%</t>
  </si>
  <si>
    <t>01.30%</t>
  </si>
  <si>
    <t>07.47%</t>
  </si>
  <si>
    <t>49.70%</t>
  </si>
  <si>
    <t>34.89%</t>
  </si>
  <si>
    <t>07.85%</t>
  </si>
  <si>
    <t>02.26%</t>
  </si>
  <si>
    <t>01.86%</t>
  </si>
  <si>
    <t>37.28%</t>
  </si>
  <si>
    <t>14.74%</t>
  </si>
  <si>
    <t>14.19%</t>
  </si>
  <si>
    <t>02.41%</t>
  </si>
  <si>
    <t>01.46%</t>
  </si>
  <si>
    <t>01.45%</t>
  </si>
  <si>
    <t>01.31%</t>
  </si>
  <si>
    <t>00.86%</t>
  </si>
  <si>
    <t>00.77%</t>
  </si>
  <si>
    <t>13.02%</t>
  </si>
  <si>
    <t>41.30%</t>
  </si>
  <si>
    <t>20.15%</t>
  </si>
  <si>
    <t>11.03%</t>
  </si>
  <si>
    <t>04.46%</t>
  </si>
  <si>
    <t>02.57%</t>
  </si>
  <si>
    <t>00.96%</t>
  </si>
  <si>
    <t>32.46%</t>
  </si>
  <si>
    <t>26.24%</t>
  </si>
  <si>
    <t>08.52%</t>
  </si>
  <si>
    <t>02.38%</t>
  </si>
  <si>
    <t>01.85%</t>
  </si>
  <si>
    <t>01.14%</t>
  </si>
  <si>
    <t>50.86%</t>
  </si>
  <si>
    <t>26.74%</t>
  </si>
  <si>
    <t>14.85%</t>
  </si>
  <si>
    <t>02.29%</t>
  </si>
  <si>
    <t>01.80%</t>
  </si>
  <si>
    <t>01.57%</t>
  </si>
  <si>
    <t>01.02%</t>
  </si>
  <si>
    <t>39.06%</t>
  </si>
  <si>
    <t>14.30%</t>
  </si>
  <si>
    <t>11.30%</t>
  </si>
  <si>
    <t>05.42%</t>
  </si>
  <si>
    <t>02.83%</t>
  </si>
  <si>
    <t>10.08%</t>
  </si>
  <si>
    <t>49.73%</t>
  </si>
  <si>
    <t>24.62%</t>
  </si>
  <si>
    <t>10.21%</t>
  </si>
  <si>
    <t>06.04%</t>
  </si>
  <si>
    <t>04.62%</t>
  </si>
  <si>
    <t>01.19%</t>
  </si>
  <si>
    <t>00.74%</t>
  </si>
  <si>
    <t>00.61%</t>
  </si>
  <si>
    <t>37.41%</t>
  </si>
  <si>
    <t>12.09%</t>
  </si>
  <si>
    <t>10.40%</t>
  </si>
  <si>
    <t>03.83%</t>
  </si>
  <si>
    <t>02.18%</t>
  </si>
  <si>
    <t>01.89%</t>
  </si>
  <si>
    <t>12.86%</t>
  </si>
  <si>
    <t>38.13%</t>
  </si>
  <si>
    <t>36.02%</t>
  </si>
  <si>
    <t>17.32%</t>
  </si>
  <si>
    <t>07.73%</t>
  </si>
  <si>
    <t>04.85%</t>
  </si>
  <si>
    <t>03.09%</t>
  </si>
  <si>
    <t>00.85%</t>
  </si>
  <si>
    <t>00.55%</t>
  </si>
  <si>
    <t>00.44%</t>
  </si>
  <si>
    <t>25.84%</t>
  </si>
  <si>
    <t>08.67%</t>
  </si>
  <si>
    <t>07.32%</t>
  </si>
  <si>
    <t>01.35%</t>
  </si>
  <si>
    <t>52.95%</t>
  </si>
  <si>
    <t>18.31%</t>
  </si>
  <si>
    <t>16.14%</t>
  </si>
  <si>
    <t>06.44%</t>
  </si>
  <si>
    <t>04.19%</t>
  </si>
  <si>
    <t>01.67%</t>
  </si>
  <si>
    <t>33.18%</t>
  </si>
  <si>
    <t>12.41%</t>
  </si>
  <si>
    <t>03.73%</t>
  </si>
  <si>
    <t>02.82%</t>
  </si>
  <si>
    <t>01.79%</t>
  </si>
  <si>
    <t>13.88%</t>
  </si>
  <si>
    <t>65.62%</t>
  </si>
  <si>
    <t>42.71%</t>
  </si>
  <si>
    <t>14.34%</t>
  </si>
  <si>
    <t>03.61%</t>
  </si>
  <si>
    <t>21.41%</t>
  </si>
  <si>
    <t>07.58%</t>
  </si>
  <si>
    <t>02.62%</t>
  </si>
  <si>
    <t>01.53%</t>
  </si>
  <si>
    <t>01.28%</t>
  </si>
  <si>
    <t>55.65%</t>
  </si>
  <si>
    <t>25.52%</t>
  </si>
  <si>
    <t>10.85%</t>
  </si>
  <si>
    <t>06.72%</t>
  </si>
  <si>
    <t>02.19%</t>
  </si>
  <si>
    <t>-01.63%</t>
  </si>
  <si>
    <t>18.84%</t>
  </si>
  <si>
    <t>12.67%</t>
  </si>
  <si>
    <t>05.33%</t>
  </si>
  <si>
    <t>04.58%</t>
  </si>
  <si>
    <t>01.23%</t>
  </si>
  <si>
    <t>01.11%</t>
  </si>
  <si>
    <t>-11.34%</t>
  </si>
  <si>
    <t>Table S3.1. Results per proces (scenario 1 and for the FU)</t>
  </si>
  <si>
    <t>Category</t>
  </si>
  <si>
    <t>Sub-category</t>
  </si>
  <si>
    <t>Motherboard (incl. Processor)</t>
  </si>
  <si>
    <t>Power supply</t>
  </si>
  <si>
    <t>EOL</t>
  </si>
  <si>
    <t>Use - electricity</t>
  </si>
  <si>
    <t>Table S3.2. Results per and sub category category (scenario 1 and for the FU)</t>
  </si>
  <si>
    <t>ODP</t>
  </si>
  <si>
    <t>% Uise</t>
  </si>
  <si>
    <t>Components sub-category</t>
  </si>
  <si>
    <t>Table S3.3. Results per component (for one computer DELL)</t>
  </si>
  <si>
    <t>For 1 computer DELL</t>
  </si>
  <si>
    <t>1 desktop computer (5 years)</t>
  </si>
  <si>
    <t>Integrated circuits (incl. Processor)</t>
  </si>
  <si>
    <t>Printed wiring board (incl. Mounting)</t>
  </si>
  <si>
    <t>Capacitors</t>
  </si>
  <si>
    <t>Connectors</t>
  </si>
  <si>
    <t>Inductors</t>
  </si>
  <si>
    <t>Table S3.4 Extraction of results for the components contribution</t>
  </si>
  <si>
    <t>market for printed wiring board, for surface mounting, Pb free surface | printed wiring board, for surface mounting, Pb free surface | APOS, U - GLO</t>
  </si>
  <si>
    <t>market for electric connector, peripheral component interconnect buss | electric connector, peripheral component interconnect buss | APOS, U - GLO</t>
  </si>
  <si>
    <t>market for capacitor, electrolyte type, &lt; 2cm height | capacitor, electrolyte type, &lt; 2cm height | APOS, U - GLO</t>
  </si>
  <si>
    <t>market for wafer, fabricated, for integrated circuit | wafer, fabricated, for integrated circuit | APOS, U - GLO</t>
  </si>
  <si>
    <t>market for mounting, surface mount technology, Pb-free solder | mounting, surface mount technology, Pb-free solder | APOS, U - GLO</t>
  </si>
  <si>
    <t>Table S4.1. Results per proces (scenario 2 and for the FU)</t>
  </si>
  <si>
    <t>600 Raspberry</t>
  </si>
  <si>
    <t>6 Servers</t>
  </si>
  <si>
    <t>Table S4.2. Results per category (scenario 2 and FU)</t>
  </si>
  <si>
    <t>Table S4.3. Results per category and sub category (scenario 2 and FU)</t>
  </si>
  <si>
    <t>Raspberry devices</t>
  </si>
  <si>
    <t>Server devices</t>
  </si>
  <si>
    <t>Raspberry use</t>
  </si>
  <si>
    <t>Server use</t>
  </si>
  <si>
    <t>Absolute comp</t>
  </si>
  <si>
    <t>GW (kg CO2 eq)</t>
  </si>
  <si>
    <t>OD (kg CFC11 eq)</t>
  </si>
  <si>
    <t>OF (kg Nox eq)</t>
  </si>
  <si>
    <t>FPMF (kg PM2.5 eq)</t>
  </si>
  <si>
    <t>IR (kg Co-60 eq)</t>
  </si>
  <si>
    <t>HCT (kg 1-4DCB eq)</t>
  </si>
  <si>
    <t>HNCT (kg 1-4DCB eq)</t>
  </si>
  <si>
    <t>FE (kg 1-4DCB eq)</t>
  </si>
  <si>
    <t>ME (kg 1-4DCB eq)</t>
  </si>
  <si>
    <t>TE (kg 1-4DCB eq)</t>
  </si>
  <si>
    <t>Ac (kg SO2 eq)</t>
  </si>
  <si>
    <t>Feut (kg P eq)</t>
  </si>
  <si>
    <t>Meut (kg N eq)</t>
  </si>
  <si>
    <t>LU (m2a crop eq)</t>
  </si>
  <si>
    <t>FRS (kg oil eq)</t>
  </si>
  <si>
    <t>MRS (kg Cu eq)</t>
  </si>
  <si>
    <t>WC (m3)</t>
  </si>
  <si>
    <t>Scenario 1 (600 desktop computers)</t>
  </si>
  <si>
    <t>Scenario 2 (600 SBC + 6 Servers)</t>
  </si>
  <si>
    <t>Relative comp</t>
  </si>
  <si>
    <t>France</t>
  </si>
  <si>
    <t>Europe</t>
  </si>
  <si>
    <t>Poland</t>
  </si>
  <si>
    <t>GW absolute (per functional unit)</t>
  </si>
  <si>
    <t>Scenario 1</t>
  </si>
  <si>
    <t>Scenario 2 (best case)</t>
  </si>
  <si>
    <t>Scenario 2 (worst case)</t>
  </si>
  <si>
    <t>gCO2 eq/kWh</t>
  </si>
  <si>
    <t>Devices</t>
  </si>
  <si>
    <t>FR mix</t>
  </si>
  <si>
    <t>RER mix</t>
  </si>
  <si>
    <t>reduction compared to sc1</t>
  </si>
  <si>
    <t>PL mix</t>
  </si>
  <si>
    <t>GW absolute (for one device)</t>
  </si>
  <si>
    <t>1 SBC</t>
  </si>
  <si>
    <t xml:space="preserve">1 server </t>
  </si>
  <si>
    <t>1 DELL 3620 (this study)</t>
  </si>
  <si>
    <t>1 DELL 3620 (DELL factsheet)</t>
  </si>
  <si>
    <t>DELL factsheet %</t>
  </si>
  <si>
    <t>total</t>
  </si>
  <si>
    <t>Table S6.1 Cost comparison between scenario 1 and 2</t>
  </si>
  <si>
    <t>Scenario</t>
  </si>
  <si>
    <t>Desktop computers</t>
  </si>
  <si>
    <t>Thin clients</t>
  </si>
  <si>
    <t>Servers</t>
  </si>
  <si>
    <t>Unit price (€)</t>
  </si>
  <si>
    <t>Subtotal (k€)</t>
  </si>
  <si>
    <t>Quantity (kWh)</t>
  </si>
  <si>
    <t>Subtotal(k€)</t>
  </si>
  <si>
    <t>Total infra (k€)</t>
  </si>
  <si>
    <t>Total infra + elec (k€)</t>
  </si>
  <si>
    <t>Comments</t>
  </si>
  <si>
    <t>Upper grade reasonable desktop computers</t>
  </si>
  <si>
    <t>Reasonable grade desktop computers</t>
  </si>
  <si>
    <t>Minimalistic desktop computers</t>
  </si>
  <si>
    <t>Generous servers (incl. 2 spare units) and short-lived thin clients (with upper grade cases)</t>
  </si>
  <si>
    <t>Generous servers (incl. 2 spare units) and thin clients (with upper grade cases)</t>
  </si>
  <si>
    <t>Reasonable servers (incl. 2 spare units) and short-lived thin clients (with in-house 3d-printed cases)</t>
  </si>
  <si>
    <t>Reasonable servers (incl. 2 spare units) and thin clients (with in-house 3d-printed cases)</t>
  </si>
  <si>
    <t>Minimalistic servers (incl. 2 spare units) and short-lived thin clients (with in-house 3d-printed cases)</t>
  </si>
  <si>
    <t>Minimalistic servers (incl. 2 spare units) and thin clients (with in-house 3d-printed cases)</t>
  </si>
  <si>
    <t>Unit price are roughly derived from the tables down</t>
  </si>
  <si>
    <t>Table S6.2. Thin client unit cost</t>
  </si>
  <si>
    <t>Price (€)</t>
  </si>
  <si>
    <t>SBC</t>
  </si>
  <si>
    <t>Raspberry Pi 4 Model B (4 GB)</t>
  </si>
  <si>
    <t>Ext. power supply</t>
  </si>
  <si>
    <t>Official retailer price</t>
  </si>
  <si>
    <t>Case (scenario 1)</t>
  </si>
  <si>
    <t>In-house 3d-printed: 0.375 kWh at 0.2 €/kWh and 50 g of ABS filament at 30 €/kg</t>
  </si>
  <si>
    <t>Case (scenario 2)</t>
  </si>
  <si>
    <t>Third-party off-the-shelf case</t>
  </si>
  <si>
    <t>NB: all prices exclude taxes</t>
  </si>
  <si>
    <t>Total</t>
  </si>
  <si>
    <t>Scenario 2</t>
  </si>
  <si>
    <t>Table S6.3. Full tower 7920T server unit cost</t>
  </si>
  <si>
    <t>CPU</t>
  </si>
  <si>
    <t>SSD</t>
  </si>
  <si>
    <t>OS</t>
  </si>
  <si>
    <t>Minimalistic</t>
  </si>
  <si>
    <t>Intel Dual Xeon 8268</t>
  </si>
  <si>
    <t>8 × 16 GB</t>
  </si>
  <si>
    <t>Nvidia RTX A600</t>
  </si>
  <si>
    <t>2 × 1 TB</t>
  </si>
  <si>
    <t>3 × 8 TB</t>
  </si>
  <si>
    <t>Ubuntu</t>
  </si>
  <si>
    <t>Reasonable</t>
  </si>
  <si>
    <t>8 × 64 GB</t>
  </si>
  <si>
    <t>Generous</t>
  </si>
  <si>
    <t>Nvidia GV100</t>
  </si>
  <si>
    <t>2 × 2 TB</t>
  </si>
  <si>
    <t>3 × 12 TB</t>
  </si>
  <si>
    <t>Retail prices from the official Dell website</t>
  </si>
  <si>
    <t>NB: all prices exclude taxes and include premium 5-year warranty</t>
  </si>
  <si>
    <t>Table S6.4. Mid-sized Precision 3650 Tower unit cost</t>
  </si>
  <si>
    <t>Intel I3-10105</t>
  </si>
  <si>
    <t>1 × 8 GB</t>
  </si>
  <si>
    <t>Intel IGPU</t>
  </si>
  <si>
    <t>None</t>
  </si>
  <si>
    <t>1 × 2 TB</t>
  </si>
  <si>
    <t>Reasonable 1</t>
  </si>
  <si>
    <t>Intel I5-11500</t>
  </si>
  <si>
    <t>1 × 4 TB</t>
  </si>
  <si>
    <t>Reasonable 2</t>
  </si>
  <si>
    <t>2 × 16 GB</t>
  </si>
  <si>
    <t>Generous 1</t>
  </si>
  <si>
    <t>1 × 512 GB</t>
  </si>
  <si>
    <t>Generous 2</t>
  </si>
  <si>
    <t>1 × 8 TB</t>
  </si>
  <si>
    <t>NB2: Precision 3620 Tower is no longer available for sell so Precision 3650 Tower is used as a proxy</t>
  </si>
  <si>
    <t>Table S1.1. Inventory data for the key components Motherboard, GPU, RAM, and their associated ecoinvent 3.5. processes</t>
  </si>
  <si>
    <t>Table S1.2. Inventory data for the DELL 3620 desktop computer life cycle, and their associated ecoinvent 3.5 processes</t>
  </si>
  <si>
    <t>Table S1.3. Inventory data for the Raspberry Pi 4 single-board computer life cycle, and their associated ecoinvent 3.5 processes</t>
  </si>
  <si>
    <t>Table S1.4. Inventory data for the server life cycle, and their associated ecoinvent 3.5 processes</t>
  </si>
  <si>
    <t>Table S1.5. Inventory data for the external 15 W power suuply unit, and their associated ecoinvent 3.5 processes</t>
  </si>
  <si>
    <t>Table S1.6. Inventory data for the fans, and their associated ecoinvent 3.5 processes</t>
  </si>
  <si>
    <t>Table S1.7. Inventory data for the air-cooling systems, and their associated ecoinvent 3.5 processes</t>
  </si>
  <si>
    <t>Table S5.1. Comparison between scenario 1 and 2 (all impact categories)</t>
  </si>
  <si>
    <t>Table S5.2. Results of sensitivity analysis</t>
  </si>
  <si>
    <t>Table S5.3. Global warming impact of each device</t>
  </si>
  <si>
    <t>4*transistor, surface-mounted</t>
  </si>
  <si>
    <t>Number of computers</t>
  </si>
  <si>
    <t>Number of servers</t>
  </si>
  <si>
    <t>Electricity use of computers+servers (kWh)</t>
  </si>
  <si>
    <t>Electricity use of monitors (kWh)</t>
  </si>
  <si>
    <t>Total electricity use (kWh)</t>
  </si>
  <si>
    <t>GW of 1 kWh FR (gCO2eq)</t>
  </si>
  <si>
    <t>GW of one monitor (kgCO2eq)</t>
  </si>
  <si>
    <t>GW of a server (kgCO2eq)</t>
  </si>
  <si>
    <t>GW of the elec usage over 5 yrs (kgCO2eq)</t>
  </si>
  <si>
    <t>Total GW (kgCO2eq)</t>
  </si>
  <si>
    <t>GW of one keyboard (kgCO2eq)</t>
  </si>
  <si>
    <t>GW of one mouse (kgCO2eq)</t>
  </si>
  <si>
    <t>GW of the devices over 5 yrs (kgCO2eq)</t>
  </si>
  <si>
    <t>GW of the monitors/peripherials (kgCO2eq)</t>
  </si>
  <si>
    <t>devices</t>
  </si>
  <si>
    <t>monitors/peripherials</t>
  </si>
  <si>
    <t xml:space="preserve">S3_Laptop </t>
  </si>
  <si>
    <t>S2_extended</t>
  </si>
  <si>
    <t>S1_extended</t>
  </si>
  <si>
    <t>Sources</t>
  </si>
  <si>
    <t>GW of one device (kgCO2eq)</t>
  </si>
  <si>
    <t>Type of usage</t>
  </si>
  <si>
    <t>Usage pattern</t>
  </si>
  <si>
    <t>Number of hours per year</t>
  </si>
  <si>
    <t>% of power usage</t>
  </si>
  <si>
    <t>Max power of 1 DC (W)</t>
  </si>
  <si>
    <t>Energy use of 600 DC (kWh/yr)</t>
  </si>
  <si>
    <t>Total energy use for 5 years (kWh)</t>
  </si>
  <si>
    <t>Max power of 1 SBC (W)</t>
  </si>
  <si>
    <t>Energy use of 600 SBCs (kWh/yr)</t>
  </si>
  <si>
    <t>Max power of 1 server (W)</t>
  </si>
  <si>
    <t>Energy use of 6 servers (kWh/yr)</t>
  </si>
  <si>
    <t>Full load</t>
  </si>
  <si>
    <t>6h/day - 182days/yr (teaching days)</t>
  </si>
  <si>
    <t>Idle</t>
  </si>
  <si>
    <t>18h/day - 182days/yr (teaching days)</t>
  </si>
  <si>
    <t>Off</t>
  </si>
  <si>
    <t>183 days/yr (vacations and weekends)</t>
  </si>
  <si>
    <t>-</t>
  </si>
  <si>
    <t>Sleep</t>
  </si>
  <si>
    <t>E (kWh/FU)</t>
  </si>
  <si>
    <t>Etec one device (kWh)</t>
  </si>
  <si>
    <t>https://i.dell.com/sites/csdocuments/CorpComm_Docs/en/carbon-footprint-E2216H-monitor.pdf</t>
  </si>
  <si>
    <t>https://i.dell.com/sites/csdocuments/Shared-Content_data-Sheets_Documents/en/E2219HN-Monitor.pdf</t>
  </si>
  <si>
    <t>Dell E2219HN Monitor</t>
  </si>
  <si>
    <t>Dell E2216H Monitor</t>
  </si>
  <si>
    <t>Etec of one server (kWh)</t>
  </si>
  <si>
    <t>Etec of one monitor (kWh)</t>
  </si>
  <si>
    <t>Dell Latitude 5400</t>
  </si>
  <si>
    <t>https://www.delltechnologies.com/asset/en-us/products/laptops-and-2-in-1s/technical-support/latitude-5400.pdf</t>
  </si>
  <si>
    <t>ETEC (kWh/year/device)</t>
  </si>
  <si>
    <t>reference elec</t>
  </si>
  <si>
    <t>ELEC MODIF TOOL</t>
  </si>
  <si>
    <t>SBCs</t>
  </si>
  <si>
    <t>servers</t>
  </si>
  <si>
    <t>N (new)</t>
  </si>
  <si>
    <t>reference N</t>
  </si>
  <si>
    <t>%chassis</t>
  </si>
  <si>
    <t>OLD DATA</t>
  </si>
  <si>
    <t>use (electricity)</t>
  </si>
  <si>
    <t>PC</t>
  </si>
  <si>
    <t>P* (W)</t>
  </si>
  <si>
    <t>P** (W)</t>
  </si>
  <si>
    <t>P*** (W)</t>
  </si>
  <si>
    <t>S3-1</t>
  </si>
  <si>
    <t>Pd_dell_3620_Components</t>
  </si>
  <si>
    <t>Pd_dell_3620_Chassis</t>
  </si>
  <si>
    <t>Packaging_of_computer</t>
  </si>
  <si>
    <t>Assembly_of_computer</t>
  </si>
  <si>
    <t>Transport_for_computer_production</t>
  </si>
  <si>
    <t>Use_of_computer</t>
  </si>
  <si>
    <t>End-of-life_of_computer</t>
  </si>
  <si>
    <t>Raspberry_Pi4_RevB_Components</t>
  </si>
  <si>
    <t>Raspberry_Pi4_RevB_Chassis</t>
  </si>
  <si>
    <t>Raspberry_Pi4_RevB_Assembly</t>
  </si>
  <si>
    <t>Raspberry_Pi4_RevB_Packaging</t>
  </si>
  <si>
    <t>Raspberry_Pi4_RevB_Transport</t>
  </si>
  <si>
    <t>Raspberry_Pi4_RevB_Use</t>
  </si>
  <si>
    <t>Raspberry_Pi4_RevB_End-of-life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</si>
</sst>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"/>
    <numFmt numFmtId="166" formatCode="_-* #,##0.0000\ _€_-;\-* #,##0.0000\ _€_-;_-* &quot;-&quot;??\ _€_-;_-@_-"/>
    <numFmt numFmtId="167" formatCode="0.000"/>
    <numFmt numFmtId="168" formatCode="_-* #,##0.000\ _€_-;\-* #,##0.000\ _€_-;_-* &quot;-&quot;??\ _€_-;_-@_-"/>
    <numFmt numFmtId="169" formatCode="_-* #,##0\ _€_-;\-* #,##0\ _€_-;_-* &quot;-&quot;??\ _€_-;_-@_-"/>
  </numFmts>
  <fonts count="45" x14ac:knownFonts="1">
    <font>
      <sz val="10"/>
      <color indexed="64"/>
      <name val="Arial"/>
      <scheme val="minor"/>
    </font>
    <font>
      <sz val="11"/>
      <color rgb="FF3F3F76"/>
      <name val="Arial"/>
      <scheme val="minor"/>
    </font>
    <font>
      <sz val="11"/>
      <color rgb="FF9C0006"/>
      <name val="Arial"/>
      <scheme val="minor"/>
    </font>
    <font>
      <u/>
      <sz val="10"/>
      <color theme="10"/>
      <name val="Arial"/>
      <scheme val="minor"/>
    </font>
    <font>
      <b/>
      <sz val="8"/>
      <color theme="1"/>
      <name val="Arial"/>
      <scheme val="major"/>
    </font>
    <font>
      <b/>
      <sz val="8"/>
      <color indexed="64"/>
      <name val="Arial"/>
      <scheme val="major"/>
    </font>
    <font>
      <sz val="8"/>
      <color indexed="64"/>
      <name val="Arial"/>
      <scheme val="major"/>
    </font>
    <font>
      <sz val="8"/>
      <color theme="1"/>
      <name val="Arial"/>
      <scheme val="major"/>
    </font>
    <font>
      <sz val="8"/>
      <color indexed="64"/>
      <name val="Arial"/>
      <scheme val="minor"/>
    </font>
    <font>
      <sz val="8"/>
      <name val="Arial"/>
      <scheme val="major"/>
    </font>
    <font>
      <sz val="8"/>
      <color rgb="FF9C0006"/>
      <name val="Arial"/>
      <scheme val="minor"/>
    </font>
    <font>
      <b/>
      <sz val="8"/>
      <name val="Arial"/>
      <scheme val="major"/>
    </font>
    <font>
      <b/>
      <sz val="8"/>
      <color indexed="64"/>
      <name val="Arial"/>
      <scheme val="minor"/>
    </font>
    <font>
      <sz val="8"/>
      <color rgb="FF3F3F76"/>
      <name val="Arial"/>
      <scheme val="minor"/>
    </font>
    <font>
      <sz val="8"/>
      <color theme="1"/>
      <name val="Arial"/>
    </font>
    <font>
      <b/>
      <sz val="8"/>
      <color theme="1"/>
      <name val="Arial"/>
    </font>
    <font>
      <sz val="8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indexed="64"/>
      <name val="Arial"/>
      <scheme val="minor"/>
    </font>
    <font>
      <b/>
      <sz val="10"/>
      <color theme="0"/>
      <name val="Arial"/>
      <scheme val="minor"/>
    </font>
    <font>
      <sz val="10"/>
      <color theme="0"/>
      <name val="Arial"/>
      <scheme val="minor"/>
    </font>
    <font>
      <sz val="10"/>
      <color indexed="2"/>
      <name val="Arial"/>
      <scheme val="minor"/>
    </font>
    <font>
      <i/>
      <sz val="8"/>
      <color theme="1"/>
      <name val="Arial"/>
    </font>
    <font>
      <sz val="8"/>
      <color theme="1" tint="0.34998626667073579"/>
      <name val="Arial"/>
    </font>
    <font>
      <sz val="8"/>
      <color indexed="64"/>
      <name val="Arial"/>
    </font>
    <font>
      <b/>
      <sz val="8"/>
      <color indexed="64"/>
      <name val="Arial"/>
    </font>
    <font>
      <sz val="10"/>
      <color indexed="64"/>
      <name val="Arial"/>
      <scheme val="minor"/>
    </font>
    <font>
      <b/>
      <sz val="9"/>
      <name val="Tahoma"/>
    </font>
    <font>
      <sz val="9"/>
      <name val="Tahoma"/>
    </font>
    <font>
      <b/>
      <sz val="10"/>
      <color indexed="64"/>
      <name val="Arial"/>
      <family val="2"/>
      <scheme val="minor"/>
    </font>
    <font>
      <b/>
      <sz val="8"/>
      <color indexed="64"/>
      <name val="Arial"/>
      <family val="2"/>
      <scheme val="minor"/>
    </font>
    <font>
      <b/>
      <sz val="8"/>
      <color theme="1"/>
      <name val="Arial"/>
      <family val="2"/>
      <scheme val="major"/>
    </font>
    <font>
      <b/>
      <sz val="8"/>
      <color indexed="64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10"/>
      <color indexed="64"/>
      <name val="Arial"/>
      <family val="2"/>
      <scheme val="minor"/>
    </font>
    <font>
      <sz val="10"/>
      <color indexed="64"/>
      <name val="Times New Roman"/>
      <family val="1"/>
    </font>
    <font>
      <b/>
      <sz val="8"/>
      <color rgb="FF000000"/>
      <name val="Arial"/>
      <family val="2"/>
    </font>
    <font>
      <b/>
      <sz val="7"/>
      <color rgb="FF000000"/>
      <name val="Arial"/>
      <family val="2"/>
    </font>
    <font>
      <sz val="8"/>
      <color rgb="FF000000"/>
      <name val="Arial"/>
      <family val="2"/>
    </font>
    <font>
      <i/>
      <sz val="10"/>
      <color theme="1"/>
      <name val="Arial"/>
      <family val="2"/>
      <scheme val="minor"/>
    </font>
    <font>
      <b/>
      <sz val="12"/>
      <color indexed="64"/>
      <name val="Times New Roman"/>
      <family val="1"/>
    </font>
    <font>
      <i/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5" tint="0.79998168889431442"/>
        <bgColor indexed="64"/>
      </patternFill>
    </fill>
  </fills>
  <borders count="9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/>
    <xf numFmtId="0" fontId="2" fillId="3" borderId="0" applyNumberFormat="0" applyBorder="0"/>
    <xf numFmtId="0" fontId="3" fillId="0" borderId="0" applyNumberFormat="0" applyFill="0" applyBorder="0"/>
    <xf numFmtId="164" fontId="27" fillId="0" borderId="0" applyFont="0" applyFill="0" applyBorder="0"/>
    <xf numFmtId="9" fontId="27" fillId="0" borderId="0" applyFont="0" applyFill="0" applyBorder="0"/>
  </cellStyleXfs>
  <cellXfs count="385">
    <xf numFmtId="0" fontId="0" fillId="0" borderId="0" xfId="0"/>
    <xf numFmtId="0" fontId="0" fillId="0" borderId="0" xfId="0"/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2" xfId="0" applyFont="1" applyBorder="1"/>
    <xf numFmtId="0" fontId="4" fillId="0" borderId="2" xfId="0" applyFont="1" applyBorder="1" applyAlignment="1">
      <alignment horizontal="left" vertical="top"/>
    </xf>
    <xf numFmtId="0" fontId="5" fillId="0" borderId="2" xfId="0" applyFont="1" applyBorder="1"/>
    <xf numFmtId="0" fontId="6" fillId="0" borderId="0" xfId="0" applyFont="1"/>
    <xf numFmtId="0" fontId="7" fillId="0" borderId="2" xfId="0" applyFont="1" applyBorder="1" applyAlignment="1">
      <alignment vertical="top"/>
    </xf>
    <xf numFmtId="165" fontId="6" fillId="0" borderId="2" xfId="0" applyNumberFormat="1" applyFont="1" applyBorder="1" applyAlignment="1">
      <alignment vertical="top"/>
    </xf>
    <xf numFmtId="0" fontId="7" fillId="0" borderId="2" xfId="0" applyFont="1" applyBorder="1"/>
    <xf numFmtId="0" fontId="7" fillId="0" borderId="2" xfId="0" applyFont="1" applyBorder="1" applyAlignment="1">
      <alignment horizontal="left" vertical="top"/>
    </xf>
    <xf numFmtId="166" fontId="7" fillId="0" borderId="2" xfId="4" applyNumberFormat="1" applyFont="1" applyBorder="1"/>
    <xf numFmtId="0" fontId="6" fillId="0" borderId="2" xfId="0" applyFont="1" applyBorder="1"/>
    <xf numFmtId="0" fontId="7" fillId="0" borderId="2" xfId="0" applyFont="1" applyBorder="1" applyAlignment="1">
      <alignment wrapText="1"/>
    </xf>
    <xf numFmtId="165" fontId="7" fillId="0" borderId="2" xfId="0" applyNumberFormat="1" applyFont="1" applyBorder="1" applyAlignment="1">
      <alignment vertical="top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0" borderId="2" xfId="0" applyFont="1" applyBorder="1" applyAlignment="1">
      <alignment vertical="top"/>
    </xf>
    <xf numFmtId="2" fontId="6" fillId="0" borderId="2" xfId="0" applyNumberFormat="1" applyFont="1" applyBorder="1" applyAlignment="1">
      <alignment vertical="top"/>
    </xf>
    <xf numFmtId="2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vertical="center" wrapText="1"/>
    </xf>
    <xf numFmtId="0" fontId="10" fillId="0" borderId="0" xfId="2" applyFont="1" applyFill="1"/>
    <xf numFmtId="0" fontId="11" fillId="0" borderId="3" xfId="0" applyFont="1" applyBorder="1"/>
    <xf numFmtId="2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3" applyFont="1"/>
    <xf numFmtId="167" fontId="6" fillId="0" borderId="2" xfId="0" applyNumberFormat="1" applyFont="1" applyBorder="1" applyAlignment="1">
      <alignment vertical="top"/>
    </xf>
    <xf numFmtId="168" fontId="7" fillId="0" borderId="2" xfId="4" applyNumberFormat="1" applyFont="1" applyBorder="1"/>
    <xf numFmtId="0" fontId="6" fillId="0" borderId="2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4" fillId="0" borderId="2" xfId="0" applyFont="1" applyBorder="1" applyAlignment="1">
      <alignment vertical="center"/>
    </xf>
    <xf numFmtId="0" fontId="7" fillId="0" borderId="0" xfId="0" applyFont="1" applyAlignment="1">
      <alignment horizontal="right"/>
    </xf>
    <xf numFmtId="167" fontId="7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top"/>
    </xf>
    <xf numFmtId="0" fontId="6" fillId="0" borderId="2" xfId="0" applyFont="1" applyBorder="1" applyAlignment="1">
      <alignment horizontal="right" vertical="top"/>
    </xf>
    <xf numFmtId="0" fontId="6" fillId="0" borderId="8" xfId="0" applyFont="1" applyBorder="1"/>
    <xf numFmtId="0" fontId="8" fillId="0" borderId="0" xfId="0" applyFont="1"/>
    <xf numFmtId="0" fontId="14" fillId="0" borderId="0" xfId="0" applyFont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0" fontId="14" fillId="0" borderId="0" xfId="0" applyFont="1"/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30" xfId="0" applyFont="1" applyBorder="1"/>
    <xf numFmtId="2" fontId="14" fillId="0" borderId="27" xfId="0" applyNumberFormat="1" applyFont="1" applyBorder="1" applyAlignment="1">
      <alignment horizontal="center"/>
    </xf>
    <xf numFmtId="0" fontId="14" fillId="0" borderId="31" xfId="0" applyFont="1" applyBorder="1"/>
    <xf numFmtId="0" fontId="14" fillId="0" borderId="32" xfId="0" applyFont="1" applyBorder="1"/>
    <xf numFmtId="0" fontId="15" fillId="0" borderId="8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7" fillId="0" borderId="0" xfId="0" applyFont="1"/>
    <xf numFmtId="11" fontId="17" fillId="0" borderId="0" xfId="0" applyNumberFormat="1" applyFont="1"/>
    <xf numFmtId="0" fontId="18" fillId="0" borderId="39" xfId="0" applyFont="1" applyBorder="1"/>
    <xf numFmtId="0" fontId="18" fillId="0" borderId="40" xfId="0" applyFont="1" applyBorder="1"/>
    <xf numFmtId="0" fontId="18" fillId="0" borderId="41" xfId="0" applyFont="1" applyBorder="1"/>
    <xf numFmtId="0" fontId="17" fillId="0" borderId="42" xfId="0" applyFont="1" applyBorder="1"/>
    <xf numFmtId="0" fontId="0" fillId="0" borderId="2" xfId="0" applyBorder="1"/>
    <xf numFmtId="0" fontId="17" fillId="0" borderId="2" xfId="0" applyFont="1" applyBorder="1"/>
    <xf numFmtId="0" fontId="17" fillId="0" borderId="43" xfId="0" applyFont="1" applyBorder="1"/>
    <xf numFmtId="0" fontId="17" fillId="0" borderId="44" xfId="0" applyFont="1" applyBorder="1"/>
    <xf numFmtId="0" fontId="17" fillId="0" borderId="45" xfId="0" applyFont="1" applyBorder="1"/>
    <xf numFmtId="0" fontId="0" fillId="0" borderId="45" xfId="0" applyBorder="1"/>
    <xf numFmtId="0" fontId="17" fillId="0" borderId="46" xfId="0" applyFont="1" applyBorder="1"/>
    <xf numFmtId="9" fontId="17" fillId="0" borderId="45" xfId="5" applyNumberFormat="1" applyFont="1" applyBorder="1"/>
    <xf numFmtId="9" fontId="17" fillId="0" borderId="46" xfId="5" applyNumberFormat="1" applyFont="1" applyBorder="1"/>
    <xf numFmtId="0" fontId="0" fillId="0" borderId="3" xfId="0" applyBorder="1"/>
    <xf numFmtId="0" fontId="0" fillId="0" borderId="40" xfId="0" applyBorder="1"/>
    <xf numFmtId="0" fontId="0" fillId="0" borderId="41" xfId="0" applyBorder="1"/>
    <xf numFmtId="0" fontId="18" fillId="0" borderId="42" xfId="0" applyFont="1" applyBorder="1"/>
    <xf numFmtId="0" fontId="0" fillId="0" borderId="42" xfId="0" applyBorder="1"/>
    <xf numFmtId="164" fontId="0" fillId="0" borderId="43" xfId="4" applyNumberFormat="1" applyFont="1" applyBorder="1"/>
    <xf numFmtId="10" fontId="17" fillId="0" borderId="0" xfId="0" applyNumberFormat="1" applyFont="1"/>
    <xf numFmtId="164" fontId="17" fillId="0" borderId="43" xfId="4" applyNumberFormat="1" applyFont="1" applyBorder="1"/>
    <xf numFmtId="164" fontId="0" fillId="0" borderId="0" xfId="0" applyNumberFormat="1"/>
    <xf numFmtId="164" fontId="17" fillId="0" borderId="46" xfId="4" applyNumberFormat="1" applyFont="1" applyBorder="1"/>
    <xf numFmtId="0" fontId="19" fillId="0" borderId="39" xfId="0" applyFont="1" applyBorder="1"/>
    <xf numFmtId="0" fontId="19" fillId="0" borderId="40" xfId="0" applyFont="1" applyBorder="1"/>
    <xf numFmtId="0" fontId="19" fillId="0" borderId="41" xfId="0" applyFont="1" applyBorder="1"/>
    <xf numFmtId="11" fontId="0" fillId="0" borderId="2" xfId="0" applyNumberFormat="1" applyBorder="1"/>
    <xf numFmtId="0" fontId="0" fillId="0" borderId="43" xfId="0" applyBorder="1"/>
    <xf numFmtId="10" fontId="0" fillId="0" borderId="0" xfId="0" applyNumberFormat="1"/>
    <xf numFmtId="0" fontId="0" fillId="0" borderId="44" xfId="0" applyBorder="1"/>
    <xf numFmtId="0" fontId="0" fillId="0" borderId="46" xfId="0" applyBorder="1"/>
    <xf numFmtId="0" fontId="20" fillId="0" borderId="0" xfId="0" applyFont="1"/>
    <xf numFmtId="0" fontId="21" fillId="0" borderId="0" xfId="0" applyFont="1"/>
    <xf numFmtId="0" fontId="0" fillId="0" borderId="39" xfId="0" applyBorder="1"/>
    <xf numFmtId="0" fontId="17" fillId="0" borderId="40" xfId="0" applyFont="1" applyBorder="1"/>
    <xf numFmtId="0" fontId="17" fillId="0" borderId="41" xfId="0" applyFont="1" applyBorder="1"/>
    <xf numFmtId="164" fontId="22" fillId="0" borderId="2" xfId="0" applyNumberFormat="1" applyFont="1" applyBorder="1"/>
    <xf numFmtId="164" fontId="22" fillId="0" borderId="43" xfId="0" applyNumberFormat="1" applyFont="1" applyBorder="1"/>
    <xf numFmtId="164" fontId="22" fillId="0" borderId="45" xfId="0" applyNumberFormat="1" applyFont="1" applyBorder="1"/>
    <xf numFmtId="164" fontId="22" fillId="0" borderId="46" xfId="0" applyNumberFormat="1" applyFont="1" applyBorder="1"/>
    <xf numFmtId="164" fontId="0" fillId="0" borderId="2" xfId="0" applyNumberFormat="1" applyBorder="1"/>
    <xf numFmtId="164" fontId="0" fillId="0" borderId="43" xfId="0" applyNumberFormat="1" applyBorder="1"/>
    <xf numFmtId="9" fontId="0" fillId="0" borderId="2" xfId="5" applyNumberFormat="1" applyFont="1" applyBorder="1"/>
    <xf numFmtId="9" fontId="0" fillId="0" borderId="43" xfId="5" applyNumberFormat="1" applyFont="1" applyBorder="1"/>
    <xf numFmtId="9" fontId="0" fillId="0" borderId="47" xfId="0" applyNumberFormat="1" applyBorder="1"/>
    <xf numFmtId="9" fontId="0" fillId="0" borderId="45" xfId="5" applyNumberFormat="1" applyFont="1" applyBorder="1"/>
    <xf numFmtId="9" fontId="0" fillId="0" borderId="46" xfId="5" applyNumberFormat="1" applyFont="1" applyBorder="1"/>
    <xf numFmtId="169" fontId="17" fillId="0" borderId="2" xfId="4" applyNumberFormat="1" applyFont="1" applyBorder="1"/>
    <xf numFmtId="164" fontId="17" fillId="0" borderId="2" xfId="4" applyNumberFormat="1" applyFont="1" applyBorder="1"/>
    <xf numFmtId="169" fontId="17" fillId="0" borderId="43" xfId="4" applyNumberFormat="1" applyFont="1" applyBorder="1"/>
    <xf numFmtId="9" fontId="17" fillId="0" borderId="2" xfId="0" applyNumberFormat="1" applyFont="1" applyBorder="1"/>
    <xf numFmtId="9" fontId="17" fillId="0" borderId="43" xfId="0" applyNumberFormat="1" applyFont="1" applyBorder="1"/>
    <xf numFmtId="9" fontId="17" fillId="0" borderId="45" xfId="0" applyNumberFormat="1" applyFont="1" applyBorder="1"/>
    <xf numFmtId="9" fontId="17" fillId="0" borderId="46" xfId="0" applyNumberFormat="1" applyFont="1" applyBorder="1"/>
    <xf numFmtId="9" fontId="17" fillId="0" borderId="0" xfId="0" applyNumberFormat="1" applyFont="1"/>
    <xf numFmtId="0" fontId="0" fillId="0" borderId="50" xfId="0" applyBorder="1"/>
    <xf numFmtId="0" fontId="0" fillId="0" borderId="51" xfId="0" applyBorder="1"/>
    <xf numFmtId="0" fontId="19" fillId="0" borderId="2" xfId="0" applyFont="1" applyBorder="1"/>
    <xf numFmtId="169" fontId="0" fillId="0" borderId="2" xfId="4" applyNumberFormat="1" applyFont="1" applyBorder="1"/>
    <xf numFmtId="0" fontId="0" fillId="0" borderId="52" xfId="0" applyBorder="1"/>
    <xf numFmtId="9" fontId="0" fillId="0" borderId="0" xfId="5" applyNumberFormat="1" applyFont="1"/>
    <xf numFmtId="0" fontId="19" fillId="4" borderId="41" xfId="0" applyFont="1" applyFill="1" applyBorder="1"/>
    <xf numFmtId="0" fontId="0" fillId="0" borderId="42" xfId="0" applyBorder="1" applyAlignment="1">
      <alignment horizontal="left"/>
    </xf>
    <xf numFmtId="164" fontId="0" fillId="0" borderId="2" xfId="4" applyNumberFormat="1" applyFont="1" applyBorder="1"/>
    <xf numFmtId="0" fontId="0" fillId="4" borderId="43" xfId="0" applyFill="1" applyBorder="1"/>
    <xf numFmtId="164" fontId="0" fillId="0" borderId="45" xfId="0" applyNumberFormat="1" applyBorder="1"/>
    <xf numFmtId="0" fontId="2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4" fillId="5" borderId="5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24" fillId="5" borderId="20" xfId="0" applyFont="1" applyFill="1" applyBorder="1" applyAlignment="1">
      <alignment horizontal="center" vertical="center"/>
    </xf>
    <xf numFmtId="0" fontId="24" fillId="5" borderId="58" xfId="0" applyFont="1" applyFill="1" applyBorder="1" applyAlignment="1">
      <alignment horizontal="center" vertical="center"/>
    </xf>
    <xf numFmtId="0" fontId="24" fillId="5" borderId="59" xfId="0" applyFont="1" applyFill="1" applyBorder="1" applyAlignment="1">
      <alignment horizontal="center" vertical="center"/>
    </xf>
    <xf numFmtId="169" fontId="24" fillId="5" borderId="59" xfId="4" applyNumberFormat="1" applyFont="1" applyFill="1" applyBorder="1" applyAlignment="1">
      <alignment horizontal="center" vertical="center"/>
    </xf>
    <xf numFmtId="0" fontId="14" fillId="5" borderId="60" xfId="0" applyFont="1" applyFill="1" applyBorder="1" applyAlignment="1">
      <alignment horizontal="center" vertical="center"/>
    </xf>
    <xf numFmtId="1" fontId="14" fillId="5" borderId="60" xfId="0" applyNumberFormat="1" applyFont="1" applyFill="1" applyBorder="1" applyAlignment="1">
      <alignment horizontal="center" vertical="center"/>
    </xf>
    <xf numFmtId="0" fontId="14" fillId="5" borderId="61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169" fontId="24" fillId="0" borderId="35" xfId="4" applyNumberFormat="1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1" fontId="14" fillId="0" borderId="63" xfId="0" applyNumberFormat="1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5" borderId="65" xfId="0" applyFont="1" applyFill="1" applyBorder="1" applyAlignment="1">
      <alignment horizontal="center" vertical="center"/>
    </xf>
    <xf numFmtId="0" fontId="14" fillId="5" borderId="66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67" xfId="0" applyFont="1" applyFill="1" applyBorder="1" applyAlignment="1">
      <alignment horizontal="center" vertical="center"/>
    </xf>
    <xf numFmtId="0" fontId="24" fillId="5" borderId="66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67" xfId="0" applyFont="1" applyFill="1" applyBorder="1" applyAlignment="1">
      <alignment horizontal="center" vertical="center"/>
    </xf>
    <xf numFmtId="0" fontId="24" fillId="5" borderId="68" xfId="0" applyFont="1" applyFill="1" applyBorder="1" applyAlignment="1">
      <alignment horizontal="center" vertical="center"/>
    </xf>
    <xf numFmtId="0" fontId="24" fillId="5" borderId="69" xfId="0" applyFont="1" applyFill="1" applyBorder="1" applyAlignment="1">
      <alignment horizontal="center" vertical="center"/>
    </xf>
    <xf numFmtId="169" fontId="24" fillId="5" borderId="69" xfId="4" applyNumberFormat="1" applyFont="1" applyFill="1" applyBorder="1" applyAlignment="1">
      <alignment horizontal="center" vertical="center"/>
    </xf>
    <xf numFmtId="0" fontId="14" fillId="5" borderId="70" xfId="0" applyFont="1" applyFill="1" applyBorder="1" applyAlignment="1">
      <alignment horizontal="center" vertical="center"/>
    </xf>
    <xf numFmtId="1" fontId="14" fillId="5" borderId="70" xfId="0" applyNumberFormat="1" applyFont="1" applyFill="1" applyBorder="1" applyAlignment="1">
      <alignment horizontal="center" vertical="center"/>
    </xf>
    <xf numFmtId="0" fontId="14" fillId="5" borderId="71" xfId="0" applyFont="1" applyFill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169" fontId="14" fillId="0" borderId="74" xfId="4" applyNumberFormat="1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1" fontId="14" fillId="0" borderId="75" xfId="0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5" borderId="62" xfId="0" applyFont="1" applyFill="1" applyBorder="1" applyAlignment="1">
      <alignment horizontal="center" vertical="center"/>
    </xf>
    <xf numFmtId="0" fontId="24" fillId="5" borderId="21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14" fillId="5" borderId="36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/>
    </xf>
    <xf numFmtId="169" fontId="14" fillId="5" borderId="35" xfId="4" applyNumberFormat="1" applyFont="1" applyFill="1" applyBorder="1" applyAlignment="1">
      <alignment horizontal="center" vertical="center"/>
    </xf>
    <xf numFmtId="0" fontId="14" fillId="5" borderId="63" xfId="0" applyFont="1" applyFill="1" applyBorder="1" applyAlignment="1">
      <alignment horizontal="center" vertical="center"/>
    </xf>
    <xf numFmtId="1" fontId="14" fillId="5" borderId="63" xfId="0" applyNumberFormat="1" applyFont="1" applyFill="1" applyBorder="1" applyAlignment="1">
      <alignment horizontal="center" vertical="center"/>
    </xf>
    <xf numFmtId="0" fontId="14" fillId="5" borderId="64" xfId="0" applyFont="1" applyFill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169" fontId="14" fillId="0" borderId="35" xfId="4" applyNumberFormat="1" applyFont="1" applyBorder="1" applyAlignment="1">
      <alignment horizontal="center" vertical="center"/>
    </xf>
    <xf numFmtId="0" fontId="14" fillId="5" borderId="77" xfId="0" applyFont="1" applyFill="1" applyBorder="1" applyAlignment="1">
      <alignment horizontal="center" vertical="center"/>
    </xf>
    <xf numFmtId="0" fontId="24" fillId="5" borderId="23" xfId="0" applyFont="1" applyFill="1" applyBorder="1" applyAlignment="1">
      <alignment horizontal="center" vertical="center"/>
    </xf>
    <xf numFmtId="0" fontId="24" fillId="5" borderId="24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0" fontId="14" fillId="5" borderId="78" xfId="0" applyFont="1" applyFill="1" applyBorder="1" applyAlignment="1">
      <alignment horizontal="center" vertical="center"/>
    </xf>
    <xf numFmtId="0" fontId="14" fillId="5" borderId="79" xfId="0" applyFont="1" applyFill="1" applyBorder="1" applyAlignment="1">
      <alignment horizontal="center" vertical="center"/>
    </xf>
    <xf numFmtId="169" fontId="14" fillId="5" borderId="79" xfId="4" applyNumberFormat="1" applyFont="1" applyFill="1" applyBorder="1" applyAlignment="1">
      <alignment horizontal="center" vertical="center"/>
    </xf>
    <xf numFmtId="0" fontId="14" fillId="5" borderId="80" xfId="0" applyFont="1" applyFill="1" applyBorder="1" applyAlignment="1">
      <alignment horizontal="center" vertical="center"/>
    </xf>
    <xf numFmtId="1" fontId="14" fillId="5" borderId="80" xfId="0" applyNumberFormat="1" applyFont="1" applyFill="1" applyBorder="1" applyAlignment="1">
      <alignment horizontal="center" vertical="center"/>
    </xf>
    <xf numFmtId="0" fontId="14" fillId="5" borderId="81" xfId="0" applyFont="1" applyFill="1" applyBorder="1" applyAlignment="1">
      <alignment horizontal="center" vertical="center"/>
    </xf>
    <xf numFmtId="0" fontId="15" fillId="0" borderId="33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2" fontId="14" fillId="0" borderId="11" xfId="0" applyNumberFormat="1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2" fontId="14" fillId="0" borderId="8" xfId="0" applyNumberFormat="1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2" fontId="14" fillId="0" borderId="24" xfId="0" applyNumberFormat="1" applyFont="1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14" fillId="0" borderId="72" xfId="0" applyFont="1" applyBorder="1" applyAlignment="1">
      <alignment vertical="center"/>
    </xf>
    <xf numFmtId="2" fontId="14" fillId="0" borderId="76" xfId="0" applyNumberFormat="1" applyFont="1" applyBorder="1" applyAlignment="1">
      <alignment vertical="center"/>
    </xf>
    <xf numFmtId="0" fontId="14" fillId="0" borderId="77" xfId="0" applyFont="1" applyBorder="1" applyAlignment="1">
      <alignment vertical="center"/>
    </xf>
    <xf numFmtId="2" fontId="14" fillId="0" borderId="81" xfId="0" applyNumberFormat="1" applyFont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26" fillId="6" borderId="24" xfId="0" applyFont="1" applyFill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6" fillId="0" borderId="0" xfId="0" applyFont="1" applyFill="1"/>
    <xf numFmtId="0" fontId="13" fillId="0" borderId="1" xfId="1" applyFont="1" applyFill="1" applyBorder="1"/>
    <xf numFmtId="0" fontId="13" fillId="0" borderId="0" xfId="1" applyFont="1" applyFill="1" applyBorder="1"/>
    <xf numFmtId="0" fontId="32" fillId="0" borderId="2" xfId="0" applyFont="1" applyBorder="1" applyAlignment="1">
      <alignment vertical="top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4" fillId="0" borderId="39" xfId="0" applyFont="1" applyBorder="1"/>
    <xf numFmtId="0" fontId="34" fillId="0" borderId="48" xfId="0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" fillId="0" borderId="0" xfId="3"/>
    <xf numFmtId="164" fontId="0" fillId="0" borderId="0" xfId="4" applyFont="1"/>
    <xf numFmtId="169" fontId="0" fillId="0" borderId="0" xfId="4" applyNumberFormat="1" applyFont="1"/>
    <xf numFmtId="168" fontId="0" fillId="0" borderId="0" xfId="4" applyNumberFormat="1" applyFont="1"/>
    <xf numFmtId="169" fontId="0" fillId="0" borderId="0" xfId="0" applyNumberFormat="1"/>
    <xf numFmtId="0" fontId="37" fillId="0" borderId="0" xfId="0" applyFont="1"/>
    <xf numFmtId="164" fontId="17" fillId="0" borderId="0" xfId="4" applyFont="1"/>
    <xf numFmtId="0" fontId="0" fillId="0" borderId="48" xfId="0" applyBorder="1"/>
    <xf numFmtId="0" fontId="0" fillId="0" borderId="83" xfId="0" applyBorder="1"/>
    <xf numFmtId="164" fontId="0" fillId="0" borderId="0" xfId="0" applyNumberFormat="1" applyBorder="1"/>
    <xf numFmtId="0" fontId="0" fillId="0" borderId="84" xfId="0" applyBorder="1"/>
    <xf numFmtId="0" fontId="17" fillId="0" borderId="83" xfId="0" applyFont="1" applyBorder="1"/>
    <xf numFmtId="0" fontId="0" fillId="0" borderId="0" xfId="0" applyBorder="1"/>
    <xf numFmtId="0" fontId="17" fillId="0" borderId="0" xfId="0" applyFont="1" applyBorder="1"/>
    <xf numFmtId="0" fontId="17" fillId="0" borderId="84" xfId="0" applyFont="1" applyBorder="1"/>
    <xf numFmtId="0" fontId="0" fillId="0" borderId="85" xfId="0" applyBorder="1"/>
    <xf numFmtId="0" fontId="0" fillId="0" borderId="86" xfId="0" applyBorder="1"/>
    <xf numFmtId="0" fontId="42" fillId="0" borderId="0" xfId="0" applyFont="1" applyBorder="1"/>
    <xf numFmtId="0" fontId="37" fillId="0" borderId="3" xfId="0" applyFont="1" applyBorder="1"/>
    <xf numFmtId="9" fontId="0" fillId="0" borderId="3" xfId="5" applyFont="1" applyBorder="1"/>
    <xf numFmtId="11" fontId="0" fillId="0" borderId="0" xfId="0" applyNumberFormat="1"/>
    <xf numFmtId="0" fontId="38" fillId="8" borderId="0" xfId="0" applyFont="1" applyFill="1" applyBorder="1" applyAlignment="1">
      <alignment horizontal="left" vertical="center"/>
    </xf>
    <xf numFmtId="0" fontId="40" fillId="8" borderId="0" xfId="0" applyFont="1" applyFill="1" applyBorder="1" applyAlignment="1">
      <alignment horizontal="left" vertical="center" wrapText="1"/>
    </xf>
    <xf numFmtId="0" fontId="39" fillId="8" borderId="0" xfId="0" applyFont="1" applyFill="1" applyBorder="1" applyAlignment="1">
      <alignment horizontal="left" vertical="center"/>
    </xf>
    <xf numFmtId="0" fontId="41" fillId="8" borderId="0" xfId="0" applyFont="1" applyFill="1" applyBorder="1" applyAlignment="1">
      <alignment horizontal="left" vertical="center" wrapText="1"/>
    </xf>
    <xf numFmtId="3" fontId="41" fillId="8" borderId="0" xfId="0" applyNumberFormat="1" applyFont="1" applyFill="1" applyBorder="1" applyAlignment="1">
      <alignment horizontal="right" vertical="center"/>
    </xf>
    <xf numFmtId="9" fontId="41" fillId="8" borderId="0" xfId="0" applyNumberFormat="1" applyFont="1" applyFill="1" applyBorder="1" applyAlignment="1">
      <alignment horizontal="right" vertical="center"/>
    </xf>
    <xf numFmtId="0" fontId="41" fillId="8" borderId="0" xfId="0" applyFont="1" applyFill="1" applyBorder="1" applyAlignment="1">
      <alignment horizontal="right" vertical="center"/>
    </xf>
    <xf numFmtId="0" fontId="43" fillId="8" borderId="0" xfId="0" applyFont="1" applyFill="1" applyBorder="1" applyAlignment="1">
      <alignment horizontal="left" vertical="center"/>
    </xf>
    <xf numFmtId="164" fontId="24" fillId="5" borderId="11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0" fontId="44" fillId="0" borderId="0" xfId="0" applyFont="1" applyFill="1" applyBorder="1" applyAlignment="1">
      <alignment horizontal="left" vertical="center"/>
    </xf>
    <xf numFmtId="0" fontId="37" fillId="0" borderId="2" xfId="0" applyFont="1" applyBorder="1"/>
    <xf numFmtId="0" fontId="39" fillId="0" borderId="2" xfId="0" applyFont="1" applyFill="1" applyBorder="1" applyAlignment="1">
      <alignment horizontal="left" vertical="center"/>
    </xf>
    <xf numFmtId="9" fontId="0" fillId="0" borderId="2" xfId="0" applyNumberFormat="1" applyBorder="1"/>
    <xf numFmtId="165" fontId="0" fillId="0" borderId="2" xfId="0" applyNumberFormat="1" applyBorder="1"/>
    <xf numFmtId="165" fontId="0" fillId="0" borderId="2" xfId="4" applyNumberFormat="1" applyFont="1" applyBorder="1"/>
    <xf numFmtId="0" fontId="0" fillId="0" borderId="91" xfId="0" applyBorder="1"/>
    <xf numFmtId="0" fontId="37" fillId="0" borderId="42" xfId="0" applyFont="1" applyBorder="1"/>
    <xf numFmtId="0" fontId="37" fillId="0" borderId="43" xfId="0" applyFont="1" applyBorder="1"/>
    <xf numFmtId="165" fontId="0" fillId="0" borderId="42" xfId="0" applyNumberFormat="1" applyBorder="1"/>
    <xf numFmtId="165" fontId="0" fillId="0" borderId="43" xfId="0" applyNumberFormat="1" applyBorder="1"/>
    <xf numFmtId="165" fontId="0" fillId="0" borderId="44" xfId="0" applyNumberFormat="1" applyBorder="1"/>
    <xf numFmtId="165" fontId="0" fillId="0" borderId="45" xfId="4" applyNumberFormat="1" applyFont="1" applyBorder="1"/>
    <xf numFmtId="165" fontId="0" fillId="0" borderId="46" xfId="0" applyNumberFormat="1" applyBorder="1"/>
    <xf numFmtId="165" fontId="0" fillId="0" borderId="43" xfId="4" applyNumberFormat="1" applyFont="1" applyBorder="1"/>
    <xf numFmtId="165" fontId="0" fillId="0" borderId="45" xfId="0" applyNumberFormat="1" applyBorder="1"/>
    <xf numFmtId="165" fontId="0" fillId="0" borderId="46" xfId="4" applyNumberFormat="1" applyFont="1" applyBorder="1"/>
    <xf numFmtId="0" fontId="7" fillId="0" borderId="4" xfId="0" applyFont="1" applyBorder="1" applyAlignment="1">
      <alignment vertical="center"/>
    </xf>
    <xf numFmtId="0" fontId="9" fillId="0" borderId="3" xfId="0" applyFont="1" applyBorder="1"/>
    <xf numFmtId="0" fontId="9" fillId="0" borderId="5" xfId="0" applyFont="1" applyBorder="1"/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top"/>
    </xf>
    <xf numFmtId="0" fontId="4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/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39" xfId="0" applyFont="1" applyBorder="1" applyAlignment="1">
      <alignment horizontal="center"/>
    </xf>
    <xf numFmtId="0" fontId="37" fillId="0" borderId="40" xfId="0" applyFont="1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37" fillId="0" borderId="42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91" xfId="0" applyBorder="1" applyAlignment="1">
      <alignment horizontal="center"/>
    </xf>
    <xf numFmtId="0" fontId="37" fillId="0" borderId="87" xfId="0" applyFont="1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0" xfId="0" applyBorder="1" applyAlignment="1">
      <alignment horizontal="center"/>
    </xf>
    <xf numFmtId="0" fontId="39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horizontal="right" vertical="center"/>
    </xf>
    <xf numFmtId="0" fontId="41" fillId="8" borderId="0" xfId="0" applyFont="1" applyFill="1" applyBorder="1" applyAlignment="1">
      <alignment horizontal="left" vertical="center"/>
    </xf>
    <xf numFmtId="3" fontId="41" fillId="8" borderId="0" xfId="0" applyNumberFormat="1" applyFont="1" applyFill="1" applyBorder="1" applyAlignment="1">
      <alignment horizontal="right" vertical="center"/>
    </xf>
    <xf numFmtId="0" fontId="0" fillId="0" borderId="49" xfId="0" applyBorder="1" applyAlignment="1">
      <alignment horizontal="center"/>
    </xf>
    <xf numFmtId="0" fontId="35" fillId="0" borderId="33" xfId="0" applyFont="1" applyBorder="1" applyAlignment="1">
      <alignment horizontal="center" vertical="center"/>
    </xf>
    <xf numFmtId="0" fontId="23" fillId="0" borderId="8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23" fillId="0" borderId="82" xfId="0" applyFont="1" applyBorder="1" applyAlignment="1">
      <alignment horizontal="left" vertical="center"/>
    </xf>
    <xf numFmtId="0" fontId="23" fillId="0" borderId="36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33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</cellXfs>
  <cellStyles count="6">
    <cellStyle name="Entrée" xfId="1" builtinId="20"/>
    <cellStyle name="Insatisfaisant" xfId="2" builtinId="27"/>
    <cellStyle name="Lien hypertexte" xfId="3" builtinId="8"/>
    <cellStyle name="Milliers" xfId="4" builtinId="3"/>
    <cellStyle name="Normal" xfId="0" builtinId="0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03826068133229E-2"/>
          <c:y val="3.9532794249775384E-2"/>
          <c:w val="0.72538683974847107"/>
          <c:h val="0.78948801211169362"/>
        </c:manualLayout>
      </c:layout>
      <c:barChart>
        <c:barDir val="col"/>
        <c:grouping val="percentStacked"/>
        <c:varyColors val="1"/>
        <c:ser>
          <c:idx val="0"/>
          <c:order val="0"/>
          <c:tx>
            <c:strRef>
              <c:f>'S4 - LCIA results scenario1'!$B$28</c:f>
              <c:strCache>
                <c:ptCount val="1"/>
                <c:pt idx="0">
                  <c:v>Components</c:v>
                </c:pt>
              </c:strCache>
            </c:strRef>
          </c:tx>
          <c:spPr>
            <a:prstGeom prst="rect">
              <a:avLst/>
            </a:prstGeom>
            <a:solidFill>
              <a:srgbClr val="56B4E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'S4 - LCIA results scenario1'!$D$27:$T$27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'S4 - LCIA results scenario1'!$D$28:$T$28</c:f>
              <c:numCache>
                <c:formatCode>General</c:formatCode>
                <c:ptCount val="17"/>
                <c:pt idx="0">
                  <c:v>148902.66798999999</c:v>
                </c:pt>
                <c:pt idx="1">
                  <c:v>9.218999999999998E-2</c:v>
                </c:pt>
                <c:pt idx="2">
                  <c:v>493.96915000000001</c:v>
                </c:pt>
                <c:pt idx="3">
                  <c:v>416.27496999999994</c:v>
                </c:pt>
                <c:pt idx="4">
                  <c:v>14986.907360000001</c:v>
                </c:pt>
                <c:pt idx="5">
                  <c:v>22390.019700000004</c:v>
                </c:pt>
                <c:pt idx="6">
                  <c:v>2528811.2000000002</c:v>
                </c:pt>
                <c:pt idx="7">
                  <c:v>73553.957170000009</c:v>
                </c:pt>
                <c:pt idx="8">
                  <c:v>105464.62742</c:v>
                </c:pt>
                <c:pt idx="9">
                  <c:v>1681299.5</c:v>
                </c:pt>
                <c:pt idx="10">
                  <c:v>889.24887000000001</c:v>
                </c:pt>
                <c:pt idx="11">
                  <c:v>453.11275999999998</c:v>
                </c:pt>
                <c:pt idx="12">
                  <c:v>13.584549999999997</c:v>
                </c:pt>
                <c:pt idx="13">
                  <c:v>2770.3398500000003</c:v>
                </c:pt>
                <c:pt idx="14">
                  <c:v>38623.895119999994</c:v>
                </c:pt>
                <c:pt idx="15">
                  <c:v>5289.1608699999997</c:v>
                </c:pt>
                <c:pt idx="16">
                  <c:v>1338.8085699999999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D53-4D2B-96F2-4184588FF92E}"/>
            </c:ext>
          </c:extLst>
        </c:ser>
        <c:ser>
          <c:idx val="1"/>
          <c:order val="1"/>
          <c:tx>
            <c:strRef>
              <c:f>'S4 - LCIA results scenario1'!$B$29</c:f>
              <c:strCache>
                <c:ptCount val="1"/>
                <c:pt idx="0">
                  <c:v>Chassis</c:v>
                </c:pt>
              </c:strCache>
            </c:strRef>
          </c:tx>
          <c:spPr>
            <a:prstGeom prst="rect">
              <a:avLst/>
            </a:prstGeom>
            <a:solidFill>
              <a:srgbClr val="D55E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'S4 - LCIA results scenario1'!$D$27:$T$27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'S4 - LCIA results scenario1'!$D$29:$T$29</c:f>
              <c:numCache>
                <c:formatCode>General</c:formatCode>
                <c:ptCount val="17"/>
                <c:pt idx="0">
                  <c:v>16845.3</c:v>
                </c:pt>
                <c:pt idx="1">
                  <c:v>7.5199999999999998E-3</c:v>
                </c:pt>
                <c:pt idx="2">
                  <c:v>45.687660000000001</c:v>
                </c:pt>
                <c:pt idx="3">
                  <c:v>46.822240000000001</c:v>
                </c:pt>
                <c:pt idx="4">
                  <c:v>1177.07583</c:v>
                </c:pt>
                <c:pt idx="5">
                  <c:v>6446.1836000000003</c:v>
                </c:pt>
                <c:pt idx="6">
                  <c:v>110763</c:v>
                </c:pt>
                <c:pt idx="7">
                  <c:v>3238.2011900000002</c:v>
                </c:pt>
                <c:pt idx="8">
                  <c:v>4664.7911000000004</c:v>
                </c:pt>
                <c:pt idx="9">
                  <c:v>389528</c:v>
                </c:pt>
                <c:pt idx="10">
                  <c:v>103.60393000000001</c:v>
                </c:pt>
                <c:pt idx="11">
                  <c:v>20.554410000000001</c:v>
                </c:pt>
                <c:pt idx="12">
                  <c:v>1.1837599999999999</c:v>
                </c:pt>
                <c:pt idx="13">
                  <c:v>126.83839999999999</c:v>
                </c:pt>
                <c:pt idx="14">
                  <c:v>4300.86121</c:v>
                </c:pt>
                <c:pt idx="15">
                  <c:v>569.38449000000003</c:v>
                </c:pt>
                <c:pt idx="16">
                  <c:v>202.63943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D53-4D2B-96F2-4184588FF92E}"/>
            </c:ext>
          </c:extLst>
        </c:ser>
        <c:ser>
          <c:idx val="2"/>
          <c:order val="2"/>
          <c:tx>
            <c:strRef>
              <c:f>'S4 - LCIA results scenario1'!$B$30</c:f>
              <c:strCache>
                <c:ptCount val="1"/>
                <c:pt idx="0">
                  <c:v>Assembly</c:v>
                </c:pt>
              </c:strCache>
            </c:strRef>
          </c:tx>
          <c:spPr>
            <a:prstGeom prst="rect">
              <a:avLst/>
            </a:prstGeom>
            <a:solidFill>
              <a:srgbClr val="CC79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'S4 - LCIA results scenario1'!$D$27:$T$27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'S4 - LCIA results scenario1'!$D$30:$T$30</c:f>
              <c:numCache>
                <c:formatCode>General</c:formatCode>
                <c:ptCount val="17"/>
                <c:pt idx="0">
                  <c:v>2732.1098299999994</c:v>
                </c:pt>
                <c:pt idx="1">
                  <c:v>9.3336780000000011E-4</c:v>
                </c:pt>
                <c:pt idx="2">
                  <c:v>7.2642400000000009</c:v>
                </c:pt>
                <c:pt idx="3">
                  <c:v>4.7451699999999999</c:v>
                </c:pt>
                <c:pt idx="4">
                  <c:v>85.458259999999996</c:v>
                </c:pt>
                <c:pt idx="5">
                  <c:v>215.47778</c:v>
                </c:pt>
                <c:pt idx="6">
                  <c:v>1193.19642</c:v>
                </c:pt>
                <c:pt idx="7">
                  <c:v>54.826830000000001</c:v>
                </c:pt>
                <c:pt idx="8">
                  <c:v>75.663889999999995</c:v>
                </c:pt>
                <c:pt idx="9">
                  <c:v>3713.5814200000004</c:v>
                </c:pt>
                <c:pt idx="10">
                  <c:v>9.2352899999999991</c:v>
                </c:pt>
                <c:pt idx="11">
                  <c:v>0.7222900000000001</c:v>
                </c:pt>
                <c:pt idx="12">
                  <c:v>5.6840000000000002E-2</c:v>
                </c:pt>
                <c:pt idx="13">
                  <c:v>16.543469999999999</c:v>
                </c:pt>
                <c:pt idx="14">
                  <c:v>571.80619999999999</c:v>
                </c:pt>
                <c:pt idx="15">
                  <c:v>10.63508</c:v>
                </c:pt>
                <c:pt idx="16">
                  <c:v>105.75145999999995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D53-4D2B-96F2-4184588FF92E}"/>
            </c:ext>
          </c:extLst>
        </c:ser>
        <c:ser>
          <c:idx val="3"/>
          <c:order val="3"/>
          <c:tx>
            <c:strRef>
              <c:f>'S4 - LCIA results scenario1'!$B$31</c:f>
              <c:strCache>
                <c:ptCount val="1"/>
                <c:pt idx="0">
                  <c:v>Packaging</c:v>
                </c:pt>
              </c:strCache>
            </c:strRef>
          </c:tx>
          <c:spPr>
            <a:prstGeom prst="rect">
              <a:avLst/>
            </a:prstGeom>
            <a:solidFill>
              <a:srgbClr val="009E7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'S4 - LCIA results scenario1'!$D$27:$T$27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'S4 - LCIA results scenario1'!$D$31:$T$31</c:f>
              <c:numCache>
                <c:formatCode>General</c:formatCode>
                <c:ptCount val="17"/>
                <c:pt idx="0">
                  <c:v>1203.55754</c:v>
                </c:pt>
                <c:pt idx="1">
                  <c:v>1.07237505E-3</c:v>
                </c:pt>
                <c:pt idx="2">
                  <c:v>3.3648799999999999</c:v>
                </c:pt>
                <c:pt idx="3">
                  <c:v>1.8847400000000001</c:v>
                </c:pt>
                <c:pt idx="4">
                  <c:v>50.692219999999999</c:v>
                </c:pt>
                <c:pt idx="5">
                  <c:v>44.850880000000004</c:v>
                </c:pt>
                <c:pt idx="6">
                  <c:v>1209.24028</c:v>
                </c:pt>
                <c:pt idx="7">
                  <c:v>38.097700000000003</c:v>
                </c:pt>
                <c:pt idx="8">
                  <c:v>53.705379999999998</c:v>
                </c:pt>
                <c:pt idx="9">
                  <c:v>3928.3225900000002</c:v>
                </c:pt>
                <c:pt idx="10">
                  <c:v>3.9779999999999998</c:v>
                </c:pt>
                <c:pt idx="11">
                  <c:v>0.46327000000000002</c:v>
                </c:pt>
                <c:pt idx="12">
                  <c:v>0.26494999999999996</c:v>
                </c:pt>
                <c:pt idx="13">
                  <c:v>11.832740000000001</c:v>
                </c:pt>
                <c:pt idx="14">
                  <c:v>429.32337000000001</c:v>
                </c:pt>
                <c:pt idx="15">
                  <c:v>3.66553</c:v>
                </c:pt>
                <c:pt idx="16">
                  <c:v>9.10867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D53-4D2B-96F2-4184588FF92E}"/>
            </c:ext>
          </c:extLst>
        </c:ser>
        <c:ser>
          <c:idx val="4"/>
          <c:order val="4"/>
          <c:tx>
            <c:strRef>
              <c:f>'S4 - LCIA results scenario1'!$B$32</c:f>
              <c:strCache>
                <c:ptCount val="1"/>
                <c:pt idx="0">
                  <c:v>Transport</c:v>
                </c:pt>
              </c:strCache>
            </c:strRef>
          </c:tx>
          <c:spPr>
            <a:prstGeom prst="rect">
              <a:avLst/>
            </a:prstGeom>
            <a:solidFill>
              <a:srgbClr val="F0E44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'S4 - LCIA results scenario1'!$D$27:$T$27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'S4 - LCIA results scenario1'!$D$32:$T$32</c:f>
              <c:numCache>
                <c:formatCode>General</c:formatCode>
                <c:ptCount val="17"/>
                <c:pt idx="0">
                  <c:v>3335.3605200000002</c:v>
                </c:pt>
                <c:pt idx="1">
                  <c:v>2.1299999999999999E-3</c:v>
                </c:pt>
                <c:pt idx="2">
                  <c:v>21.513950000000001</c:v>
                </c:pt>
                <c:pt idx="3">
                  <c:v>8.6115600000000008</c:v>
                </c:pt>
                <c:pt idx="4">
                  <c:v>84.440240000000003</c:v>
                </c:pt>
                <c:pt idx="5">
                  <c:v>68.148610000000005</c:v>
                </c:pt>
                <c:pt idx="6">
                  <c:v>1460.5444400000001</c:v>
                </c:pt>
                <c:pt idx="7">
                  <c:v>39.337959999999995</c:v>
                </c:pt>
                <c:pt idx="8">
                  <c:v>69.338729999999998</c:v>
                </c:pt>
                <c:pt idx="9">
                  <c:v>30826.920480000001</c:v>
                </c:pt>
                <c:pt idx="10">
                  <c:v>24.280500000000004</c:v>
                </c:pt>
                <c:pt idx="11">
                  <c:v>0.32291000000000003</c:v>
                </c:pt>
                <c:pt idx="12">
                  <c:v>2.5579999999999999E-2</c:v>
                </c:pt>
                <c:pt idx="13">
                  <c:v>72.616200000000006</c:v>
                </c:pt>
                <c:pt idx="14">
                  <c:v>1121.9485199999999</c:v>
                </c:pt>
                <c:pt idx="15">
                  <c:v>5.3553600000000001</c:v>
                </c:pt>
                <c:pt idx="16">
                  <c:v>9.4358700000000013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D53-4D2B-96F2-4184588FF92E}"/>
            </c:ext>
          </c:extLst>
        </c:ser>
        <c:ser>
          <c:idx val="5"/>
          <c:order val="5"/>
          <c:tx>
            <c:strRef>
              <c:f>'S4 - LCIA results scenario1'!$B$33</c:f>
              <c:strCache>
                <c:ptCount val="1"/>
                <c:pt idx="0">
                  <c:v>EOL</c:v>
                </c:pt>
              </c:strCache>
            </c:strRef>
          </c:tx>
          <c:spPr>
            <a:prstGeom prst="rect">
              <a:avLst/>
            </a:prstGeom>
            <a:solidFill>
              <a:srgbClr val="0072B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'S4 - LCIA results scenario1'!$D$27:$T$27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'S4 - LCIA results scenario1'!$D$33:$T$33</c:f>
              <c:numCache>
                <c:formatCode>General</c:formatCode>
                <c:ptCount val="17"/>
                <c:pt idx="0">
                  <c:v>3663.9250199999997</c:v>
                </c:pt>
                <c:pt idx="1">
                  <c:v>2.2822363000000001E-3</c:v>
                </c:pt>
                <c:pt idx="2">
                  <c:v>3.8811499999999999</c:v>
                </c:pt>
                <c:pt idx="3">
                  <c:v>2.0513599999999999</c:v>
                </c:pt>
                <c:pt idx="4">
                  <c:v>55.801310000000001</c:v>
                </c:pt>
                <c:pt idx="5">
                  <c:v>134.65631999999999</c:v>
                </c:pt>
                <c:pt idx="6">
                  <c:v>5732.0798299999997</c:v>
                </c:pt>
                <c:pt idx="7">
                  <c:v>3230.5977600000001</c:v>
                </c:pt>
                <c:pt idx="8">
                  <c:v>3880.2530400000001</c:v>
                </c:pt>
                <c:pt idx="9">
                  <c:v>18255.056349999999</c:v>
                </c:pt>
                <c:pt idx="10">
                  <c:v>4.6370799999999992</c:v>
                </c:pt>
                <c:pt idx="11">
                  <c:v>0.56681000000000015</c:v>
                </c:pt>
                <c:pt idx="12">
                  <c:v>0.45907999999999999</c:v>
                </c:pt>
                <c:pt idx="13">
                  <c:v>12.157830000000001</c:v>
                </c:pt>
                <c:pt idx="14">
                  <c:v>255.56911000000002</c:v>
                </c:pt>
                <c:pt idx="15">
                  <c:v>10.215960000000001</c:v>
                </c:pt>
                <c:pt idx="16">
                  <c:v>13.554209999999999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D53-4D2B-96F2-4184588FF92E}"/>
            </c:ext>
          </c:extLst>
        </c:ser>
        <c:ser>
          <c:idx val="6"/>
          <c:order val="6"/>
          <c:tx>
            <c:strRef>
              <c:f>'S4 - LCIA results scenario1'!$B$34</c:f>
              <c:strCache>
                <c:ptCount val="1"/>
                <c:pt idx="0">
                  <c:v>Use - electricity</c:v>
                </c:pt>
              </c:strCache>
            </c:strRef>
          </c:tx>
          <c:spPr>
            <a:prstGeom prst="rect">
              <a:avLst/>
            </a:prstGeom>
            <a:solidFill>
              <a:srgbClr val="E69F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'S4 - LCIA results scenario1'!$D$27:$T$27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'S4 - LCIA results scenario1'!$D$34:$T$34</c:f>
              <c:numCache>
                <c:formatCode>General</c:formatCode>
                <c:ptCount val="17"/>
                <c:pt idx="0">
                  <c:v>17875.947717661762</c:v>
                </c:pt>
                <c:pt idx="1">
                  <c:v>3.4733453783823531E-2</c:v>
                </c:pt>
                <c:pt idx="2">
                  <c:v>44.515324955355879</c:v>
                </c:pt>
                <c:pt idx="3">
                  <c:v>38.093530790236763</c:v>
                </c:pt>
                <c:pt idx="4">
                  <c:v>195281.83848970587</c:v>
                </c:pt>
                <c:pt idx="5">
                  <c:v>2166.5881540455816</c:v>
                </c:pt>
                <c:pt idx="6">
                  <c:v>49481.606789999998</c:v>
                </c:pt>
                <c:pt idx="7">
                  <c:v>8094.9461832132356</c:v>
                </c:pt>
                <c:pt idx="8">
                  <c:v>10017.02995835294</c:v>
                </c:pt>
                <c:pt idx="9">
                  <c:v>212296.99415029411</c:v>
                </c:pt>
                <c:pt idx="10">
                  <c:v>87.575163595021323</c:v>
                </c:pt>
                <c:pt idx="11">
                  <c:v>12.628137600919851</c:v>
                </c:pt>
                <c:pt idx="12">
                  <c:v>4.2226529344279413</c:v>
                </c:pt>
                <c:pt idx="13">
                  <c:v>124.48217492712131</c:v>
                </c:pt>
                <c:pt idx="14">
                  <c:v>4615.8032242720583</c:v>
                </c:pt>
                <c:pt idx="15">
                  <c:v>332.4020403522772</c:v>
                </c:pt>
                <c:pt idx="16">
                  <c:v>1092.7005009653712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D53-4D2B-96F2-4184588F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27245163"/>
        <c:axId val="547475317"/>
      </c:barChart>
      <c:catAx>
        <c:axId val="1027245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7475317"/>
        <c:crosses val="autoZero"/>
        <c:auto val="1"/>
        <c:lblAlgn val="ctr"/>
        <c:lblOffset val="100"/>
        <c:noMultiLvlLbl val="1"/>
      </c:catAx>
      <c:valAx>
        <c:axId val="547475317"/>
        <c:scaling>
          <c:orientation val="minMax"/>
        </c:scaling>
        <c:delete val="0"/>
        <c:axPos val="l"/>
        <c:minorGridlines>
          <c:spPr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24516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50042284149485"/>
          <c:y val="0.2656334231805930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xfrm>
      <a:off x="0" y="0"/>
      <a:ext cx="0" cy="0"/>
    </a:xfrm>
    <a:prstGeom prst="rect">
      <a:avLst/>
    </a:prstGeom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'S7 - Laptop Comparison'!$B$17</c:f>
              <c:strCache>
                <c:ptCount val="1"/>
                <c:pt idx="0">
                  <c:v>devices</c:v>
                </c:pt>
              </c:strCache>
            </c:strRef>
          </c:tx>
          <c:spPr>
            <a:prstGeom prst="rect">
              <a:avLst/>
            </a:prstGeom>
            <a:solidFill>
              <a:srgbClr val="56B4E9"/>
            </a:solidFill>
            <a:ln cmpd="sng">
              <a:noFill/>
            </a:ln>
          </c:spPr>
          <c:invertIfNegative val="1"/>
          <c:cat>
            <c:strRef>
              <c:f>'S7 - Laptop Comparison'!$C$1:$E$1</c:f>
              <c:strCache>
                <c:ptCount val="3"/>
                <c:pt idx="0">
                  <c:v>S1_extended</c:v>
                </c:pt>
                <c:pt idx="1">
                  <c:v>S2_extended</c:v>
                </c:pt>
                <c:pt idx="2">
                  <c:v>S3_Laptop </c:v>
                </c:pt>
              </c:strCache>
            </c:strRef>
          </c:cat>
          <c:val>
            <c:numRef>
              <c:f>'S7 - Laptop Comparison'!$C$17:$E$17</c:f>
              <c:numCache>
                <c:formatCode>_-* #\ ##0\ _€_-;\-* #\ ##0\ _€_-;_-* "-"??\ _€_-;_-@_-</c:formatCode>
                <c:ptCount val="3"/>
                <c:pt idx="0">
                  <c:v>176682.92089999997</c:v>
                </c:pt>
                <c:pt idx="1">
                  <c:v>8630.6397400000005</c:v>
                </c:pt>
                <c:pt idx="2">
                  <c:v>308400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D1-4159-B773-A63C8A086E20}"/>
            </c:ext>
          </c:extLst>
        </c:ser>
        <c:ser>
          <c:idx val="1"/>
          <c:order val="1"/>
          <c:tx>
            <c:strRef>
              <c:f>'S7 - Laptop Comparison'!$B$18</c:f>
              <c:strCache>
                <c:ptCount val="1"/>
                <c:pt idx="0">
                  <c:v>monitors/peripherials</c:v>
                </c:pt>
              </c:strCache>
            </c:strRef>
          </c:tx>
          <c:spPr>
            <a:prstGeom prst="rect">
              <a:avLst/>
            </a:prstGeom>
            <a:solidFill>
              <a:srgbClr val="D55E00"/>
            </a:solidFill>
            <a:ln cmpd="sng">
              <a:noFill/>
            </a:ln>
          </c:spPr>
          <c:invertIfNegative val="1"/>
          <c:cat>
            <c:strRef>
              <c:f>'S7 - Laptop Comparison'!$C$1:$E$1</c:f>
              <c:strCache>
                <c:ptCount val="3"/>
                <c:pt idx="0">
                  <c:v>S1_extended</c:v>
                </c:pt>
                <c:pt idx="1">
                  <c:v>S2_extended</c:v>
                </c:pt>
                <c:pt idx="2">
                  <c:v>S3_Laptop </c:v>
                </c:pt>
              </c:strCache>
            </c:strRef>
          </c:cat>
          <c:val>
            <c:numRef>
              <c:f>'S7 - Laptop Comparison'!$C$18:$E$18</c:f>
              <c:numCache>
                <c:formatCode>_-* #\ ##0\ _€_-;\-* #\ ##0\ _€_-;_-* "-"??\ _€_-;_-@_-</c:formatCode>
                <c:ptCount val="3"/>
                <c:pt idx="0">
                  <c:v>197850</c:v>
                </c:pt>
                <c:pt idx="1">
                  <c:v>197850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4D1-4159-B773-A63C8A086E20}"/>
            </c:ext>
          </c:extLst>
        </c:ser>
        <c:ser>
          <c:idx val="2"/>
          <c:order val="2"/>
          <c:tx>
            <c:strRef>
              <c:f>'S7 - Laptop Comparison'!$B$19</c:f>
              <c:strCache>
                <c:ptCount val="1"/>
                <c:pt idx="0">
                  <c:v>use (electricity)</c:v>
                </c:pt>
              </c:strCache>
            </c:strRef>
          </c:tx>
          <c:invertIfNegative val="0"/>
          <c:val>
            <c:numRef>
              <c:f>'S7 - Laptop Comparison'!$C$19:$E$19</c:f>
              <c:numCache>
                <c:formatCode>_-* #\ ##0\ _€_-;\-* #\ ##0\ _€_-;_-* "-"??\ _€_-;_-@_-</c:formatCode>
                <c:ptCount val="3"/>
                <c:pt idx="0">
                  <c:v>23562.790137000004</c:v>
                </c:pt>
                <c:pt idx="1">
                  <c:v>8664.773177699999</c:v>
                </c:pt>
                <c:pt idx="2">
                  <c:v>8647.9650000000001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D1-4159-B773-A63C8A08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100"/>
        <c:axId val="721940497"/>
        <c:axId val="709796748"/>
      </c:barChart>
      <c:catAx>
        <c:axId val="721940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796748"/>
        <c:crosses val="autoZero"/>
        <c:auto val="1"/>
        <c:lblAlgn val="ctr"/>
        <c:lblOffset val="100"/>
        <c:noMultiLvlLbl val="1"/>
      </c:catAx>
      <c:valAx>
        <c:axId val="709796748"/>
        <c:scaling>
          <c:orientation val="minMax"/>
        </c:scaling>
        <c:delete val="0"/>
        <c:axPos val="l"/>
        <c:minorGridlines>
          <c:spPr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kg CO2 eq/UF</a:t>
                </a:r>
                <a:r>
                  <a:rPr lang="fr-FR" b="0" baseline="0">
                    <a:solidFill>
                      <a:srgbClr val="000000"/>
                    </a:solidFill>
                    <a:latin typeface="+mn-lt"/>
                  </a:rPr>
                  <a:t> (5years)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13605444826950819"/>
              <c:y val="0.3097647598803969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1940497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1"/>
  </c:chart>
  <c:spPr>
    <a:xfrm>
      <a:off x="0" y="0"/>
      <a:ext cx="0" cy="0"/>
    </a:xfrm>
    <a:prstGeom prst="rect">
      <a:avLst/>
    </a:prstGeom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88894170287065"/>
          <c:y val="2.481796017330291E-2"/>
          <c:w val="0.55577473357986895"/>
          <c:h val="0.6709622740854444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'S4 - LCIA results scenario1'!$B$58</c:f>
              <c:strCache>
                <c:ptCount val="1"/>
                <c:pt idx="0">
                  <c:v>Components</c:v>
                </c:pt>
              </c:strCache>
            </c:strRef>
          </c:tx>
          <c:spPr>
            <a:prstGeom prst="rect">
              <a:avLst/>
            </a:prstGeom>
            <a:solidFill>
              <a:srgbClr val="56B4E9"/>
            </a:solidFill>
            <a:ln w="25400" cmpd="sng">
              <a:solidFill>
                <a:schemeClr val="accent2"/>
              </a:solidFill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scenario1'!$C$58</c:f>
              <c:numCache>
                <c:formatCode>_-* #\ ##0.00\ _€_-;\-* #\ ##0.00\ _€_-;_-* "-"??\ _€_-;_-@_-</c:formatCode>
                <c:ptCount val="1"/>
                <c:pt idx="0">
                  <c:v>248.17111331666666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w="25400" cmpd="sng">
                    <a:solidFill>
                      <a:schemeClr val="accent2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FF-40BA-BFDB-1B5045E63FC1}"/>
            </c:ext>
          </c:extLst>
        </c:ser>
        <c:ser>
          <c:idx val="1"/>
          <c:order val="1"/>
          <c:tx>
            <c:strRef>
              <c:f>'S4 - LCIA results scenario1'!$B$59</c:f>
              <c:strCache>
                <c:ptCount val="1"/>
                <c:pt idx="0">
                  <c:v>Chassis</c:v>
                </c:pt>
              </c:strCache>
            </c:strRef>
          </c:tx>
          <c:spPr>
            <a:prstGeom prst="rect">
              <a:avLst/>
            </a:prstGeom>
            <a:solidFill>
              <a:srgbClr val="D55E00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scenario1'!$C$59</c:f>
              <c:numCache>
                <c:formatCode>_-* #\ ##0.00\ _€_-;\-* #\ ##0.00\ _€_-;_-* "-"??\ _€_-;_-@_-</c:formatCode>
                <c:ptCount val="1"/>
                <c:pt idx="0">
                  <c:v>28.075499999999998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7FF-40BA-BFDB-1B5045E63FC1}"/>
            </c:ext>
          </c:extLst>
        </c:ser>
        <c:ser>
          <c:idx val="2"/>
          <c:order val="2"/>
          <c:tx>
            <c:strRef>
              <c:f>'S4 - LCIA results scenario1'!$B$60</c:f>
              <c:strCache>
                <c:ptCount val="1"/>
                <c:pt idx="0">
                  <c:v>Assembly</c:v>
                </c:pt>
              </c:strCache>
            </c:strRef>
          </c:tx>
          <c:spPr>
            <a:prstGeom prst="rect">
              <a:avLst/>
            </a:prstGeom>
            <a:solidFill>
              <a:srgbClr val="CC79A7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scenario1'!$C$60</c:f>
              <c:numCache>
                <c:formatCode>_-* #\ ##0.00\ _€_-;\-* #\ ##0.00\ _€_-;_-* "-"??\ _€_-;_-@_-</c:formatCode>
                <c:ptCount val="1"/>
                <c:pt idx="0">
                  <c:v>4.5535163833333323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7FF-40BA-BFDB-1B5045E63FC1}"/>
            </c:ext>
          </c:extLst>
        </c:ser>
        <c:ser>
          <c:idx val="3"/>
          <c:order val="3"/>
          <c:tx>
            <c:strRef>
              <c:f>'S4 - LCIA results scenario1'!$B$61</c:f>
              <c:strCache>
                <c:ptCount val="1"/>
                <c:pt idx="0">
                  <c:v>Packaging</c:v>
                </c:pt>
              </c:strCache>
            </c:strRef>
          </c:tx>
          <c:spPr>
            <a:prstGeom prst="rect">
              <a:avLst/>
            </a:prstGeom>
            <a:solidFill>
              <a:srgbClr val="34A853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scenario1'!$C$61</c:f>
              <c:numCache>
                <c:formatCode>_-* #\ ##0.00\ _€_-;\-* #\ ##0.00\ _€_-;_-* "-"??\ _€_-;_-@_-</c:formatCode>
                <c:ptCount val="1"/>
                <c:pt idx="0">
                  <c:v>2.0059292333333332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7FF-40BA-BFDB-1B5045E63FC1}"/>
            </c:ext>
          </c:extLst>
        </c:ser>
        <c:ser>
          <c:idx val="4"/>
          <c:order val="4"/>
          <c:tx>
            <c:strRef>
              <c:f>'S4 - LCIA results scenario1'!$B$62</c:f>
              <c:strCache>
                <c:ptCount val="1"/>
                <c:pt idx="0">
                  <c:v>Transport</c:v>
                </c:pt>
              </c:strCache>
            </c:strRef>
          </c:tx>
          <c:spPr>
            <a:prstGeom prst="rect">
              <a:avLst/>
            </a:prstGeom>
            <a:solidFill>
              <a:srgbClr val="F0E442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scenario1'!$C$62</c:f>
              <c:numCache>
                <c:formatCode>_-* #\ ##0.00\ _€_-;\-* #\ ##0.00\ _€_-;_-* "-"??\ _€_-;_-@_-</c:formatCode>
                <c:ptCount val="1"/>
                <c:pt idx="0">
                  <c:v>5.5589342000000004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7FF-40BA-BFDB-1B5045E63FC1}"/>
            </c:ext>
          </c:extLst>
        </c:ser>
        <c:ser>
          <c:idx val="5"/>
          <c:order val="5"/>
          <c:tx>
            <c:strRef>
              <c:f>'S4 - LCIA results scenario1'!$B$63</c:f>
              <c:strCache>
                <c:ptCount val="1"/>
                <c:pt idx="0">
                  <c:v>EOL</c:v>
                </c:pt>
              </c:strCache>
            </c:strRef>
          </c:tx>
          <c:spPr>
            <a:prstGeom prst="rect">
              <a:avLst/>
            </a:prstGeom>
            <a:solidFill>
              <a:srgbClr val="46BDC6"/>
            </a:solidFill>
            <a:ln cmpd="sng">
              <a:noFill/>
            </a:ln>
          </c:spPr>
          <c:invertIfNegative val="1"/>
          <c:dPt>
            <c:idx val="0"/>
            <c:invertIfNegative val="1"/>
            <c:bubble3D val="0"/>
            <c:spPr>
              <a:prstGeom prst="rect">
                <a:avLst/>
              </a:prstGeom>
              <a:solidFill>
                <a:srgbClr val="0072B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6-07FF-40BA-BFDB-1B5045E63FC1}"/>
              </c:ext>
            </c:extLst>
          </c:dPt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scenario1'!$C$63</c:f>
              <c:numCache>
                <c:formatCode>_-* #\ ##0.00\ _€_-;\-* #\ ##0.00\ _€_-;_-* "-"??\ _€_-;_-@_-</c:formatCode>
                <c:ptCount val="1"/>
                <c:pt idx="0">
                  <c:v>6.1065416999999993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07FF-40BA-BFDB-1B5045E63FC1}"/>
            </c:ext>
          </c:extLst>
        </c:ser>
        <c:ser>
          <c:idx val="6"/>
          <c:order val="6"/>
          <c:tx>
            <c:strRef>
              <c:f>'S4 - LCIA results scenario1'!$B$64</c:f>
              <c:strCache>
                <c:ptCount val="1"/>
                <c:pt idx="0">
                  <c:v>Use - electricity</c:v>
                </c:pt>
              </c:strCache>
            </c:strRef>
          </c:tx>
          <c:spPr>
            <a:prstGeom prst="rect">
              <a:avLst/>
            </a:prstGeom>
            <a:solidFill>
              <a:srgbClr val="E69F00"/>
            </a:solidFill>
          </c:spPr>
          <c:invertIfNegative val="0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scenario1'!$C$64</c:f>
              <c:numCache>
                <c:formatCode>_-* #\ ##0.00\ _€_-;\-* #\ ##0.00\ _€_-;_-* "-"??\ _€_-;_-@_-</c:formatCode>
                <c:ptCount val="1"/>
                <c:pt idx="0">
                  <c:v>29.793246196102938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FF-40BA-BFDB-1B5045E6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1988459"/>
        <c:axId val="1058420258"/>
      </c:barChart>
      <c:catAx>
        <c:axId val="421988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8420258"/>
        <c:crosses val="autoZero"/>
        <c:auto val="1"/>
        <c:lblAlgn val="ctr"/>
        <c:lblOffset val="100"/>
        <c:noMultiLvlLbl val="1"/>
      </c:catAx>
      <c:valAx>
        <c:axId val="1058420258"/>
        <c:scaling>
          <c:orientation val="minMax"/>
        </c:scaling>
        <c:delete val="0"/>
        <c:axPos val="l"/>
        <c:minorGridlines>
          <c:spPr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_-* #\ ##0.00\ _€_-;\-* #\ ##0.00\ _€_-;_-* &quot;-&quot;??\ _€_-;_-@_-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198845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561898514765204"/>
          <c:y val="0.72332007103230633"/>
          <c:w val="0.61772394976756562"/>
          <c:h val="0.26223505894842908"/>
        </c:manualLayout>
      </c:layout>
      <c:overlay val="0"/>
    </c:legend>
    <c:plotVisOnly val="1"/>
    <c:dispBlanksAs val="zero"/>
    <c:showDLblsOverMax val="1"/>
  </c:chart>
  <c:spPr>
    <a:xfrm>
      <a:off x="0" y="0"/>
      <a:ext cx="0" cy="0"/>
    </a:xfrm>
    <a:prstGeom prst="rect">
      <a:avLst/>
    </a:prstGeom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0706520089738"/>
          <c:y val="2.9084044143624796E-2"/>
          <c:w val="0.68869133635109359"/>
          <c:h val="0.60097732381408608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'S4 - LCIA results scenario1'!$B$52</c:f>
              <c:strCache>
                <c:ptCount val="1"/>
                <c:pt idx="0">
                  <c:v>Motherboard (incl. Processor)</c:v>
                </c:pt>
              </c:strCache>
            </c:strRef>
          </c:tx>
          <c:spPr>
            <a:prstGeom prst="rect">
              <a:avLst/>
            </a:prstGeom>
            <a:solidFill>
              <a:srgbClr val="206166"/>
            </a:solidFill>
            <a:ln w="25400" cmpd="sng">
              <a:solidFill>
                <a:schemeClr val="accent2"/>
              </a:solidFill>
            </a:ln>
          </c:spPr>
          <c:invertIfNegative val="1"/>
          <c:dPt>
            <c:idx val="0"/>
            <c:invertIfNegative val="1"/>
            <c:bubble3D val="0"/>
            <c:spPr>
              <a:prstGeom prst="rect">
                <a:avLst/>
              </a:prstGeom>
              <a:solidFill>
                <a:schemeClr val="accent6">
                  <a:lumMod val="50000"/>
                </a:schemeClr>
              </a:solidFill>
              <a:ln w="25400" cmpd="sng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E8A-4F50-A0C8-B927836C825F}"/>
              </c:ext>
            </c:extLst>
          </c:dPt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scenario1'!$C$52</c:f>
              <c:numCache>
                <c:formatCode>_-* #\ ##0.00\ _€_-;\-* #\ ##0.00\ _€_-;_-* "-"??\ _€_-;_-@_-</c:formatCode>
                <c:ptCount val="1"/>
                <c:pt idx="0">
                  <c:v>128.33727569999999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w="25400" cmpd="sng">
                    <a:solidFill>
                      <a:schemeClr val="accent2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E8A-4F50-A0C8-B927836C825F}"/>
            </c:ext>
          </c:extLst>
        </c:ser>
        <c:ser>
          <c:idx val="1"/>
          <c:order val="1"/>
          <c:tx>
            <c:strRef>
              <c:f>'S4 - LCIA results scenario1'!$B$53</c:f>
              <c:strCache>
                <c:ptCount val="1"/>
                <c:pt idx="0">
                  <c:v>RAM</c:v>
                </c:pt>
              </c:strCache>
            </c:strRef>
          </c:tx>
          <c:spPr>
            <a:prstGeom prst="rect">
              <a:avLst/>
            </a:prstGeom>
            <a:solidFill>
              <a:srgbClr val="2F929A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scenario1'!$C$53</c:f>
              <c:numCache>
                <c:formatCode>_-* #\ ##0.00\ _€_-;\-* #\ ##0.00\ _€_-;_-* "-"??\ _€_-;_-@_-</c:formatCode>
                <c:ptCount val="1"/>
                <c:pt idx="0">
                  <c:v>12.871122383333333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E8A-4F50-A0C8-B927836C825F}"/>
            </c:ext>
          </c:extLst>
        </c:ser>
        <c:ser>
          <c:idx val="2"/>
          <c:order val="2"/>
          <c:tx>
            <c:strRef>
              <c:f>'S4 - LCIA results scenario1'!$B$54</c:f>
              <c:strCache>
                <c:ptCount val="1"/>
                <c:pt idx="0">
                  <c:v>GPU</c:v>
                </c:pt>
              </c:strCache>
            </c:strRef>
          </c:tx>
          <c:spPr>
            <a:prstGeom prst="rect">
              <a:avLst/>
            </a:prstGeom>
            <a:solidFill>
              <a:srgbClr val="46BDC6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scenario1'!$C$54</c:f>
              <c:numCache>
                <c:formatCode>_-* #\ ##0.00\ _€_-;\-* #\ ##0.00\ _€_-;_-* "-"??\ _€_-;_-@_-</c:formatCode>
                <c:ptCount val="1"/>
                <c:pt idx="0">
                  <c:v>28.567166666666665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E8A-4F50-A0C8-B927836C825F}"/>
            </c:ext>
          </c:extLst>
        </c:ser>
        <c:ser>
          <c:idx val="3"/>
          <c:order val="3"/>
          <c:tx>
            <c:strRef>
              <c:f>'S4 - LCIA results scenario1'!$B$55</c:f>
              <c:strCache>
                <c:ptCount val="1"/>
                <c:pt idx="0">
                  <c:v>Power supply</c:v>
                </c:pt>
              </c:strCache>
            </c:strRef>
          </c:tx>
          <c:spPr>
            <a:prstGeom prst="rect">
              <a:avLst/>
            </a:prstGeom>
            <a:solidFill>
              <a:srgbClr val="90D7DD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scenario1'!$C$55</c:f>
              <c:numCache>
                <c:formatCode>_-* #\ ##0.00\ _€_-;\-* #\ ##0.00\ _€_-;_-* "-"??\ _€_-;_-@_-</c:formatCode>
                <c:ptCount val="1"/>
                <c:pt idx="0">
                  <c:v>39.082333333333338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E8A-4F50-A0C8-B927836C825F}"/>
            </c:ext>
          </c:extLst>
        </c:ser>
        <c:ser>
          <c:idx val="4"/>
          <c:order val="4"/>
          <c:tx>
            <c:strRef>
              <c:f>'S4 - LCIA results scenario1'!$B$56</c:f>
              <c:strCache>
                <c:ptCount val="1"/>
                <c:pt idx="0">
                  <c:v>Disk drive</c:v>
                </c:pt>
              </c:strCache>
            </c:strRef>
          </c:tx>
          <c:spPr>
            <a:prstGeom prst="rect">
              <a:avLst/>
            </a:prstGeom>
            <a:solidFill>
              <a:srgbClr val="B5E5E8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scenario1'!$C$56</c:f>
              <c:numCache>
                <c:formatCode>_-* #\ ##0.00\ _€_-;\-* #\ ##0.00\ _€_-;_-* "-"??\ _€_-;_-@_-</c:formatCode>
                <c:ptCount val="1"/>
                <c:pt idx="0">
                  <c:v>23.163499999999999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4E8A-4F50-A0C8-B927836C825F}"/>
            </c:ext>
          </c:extLst>
        </c:ser>
        <c:ser>
          <c:idx val="5"/>
          <c:order val="5"/>
          <c:tx>
            <c:strRef>
              <c:f>'S4 - LCIA results scenario1'!$B$57</c:f>
              <c:strCache>
                <c:ptCount val="1"/>
                <c:pt idx="0">
                  <c:v>HDD</c:v>
                </c:pt>
              </c:strCache>
            </c:strRef>
          </c:tx>
          <c:spPr>
            <a:prstGeom prst="rect">
              <a:avLst/>
            </a:prstGeom>
            <a:solidFill>
              <a:srgbClr val="DAF2F4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scenario1'!$C$57</c:f>
              <c:numCache>
                <c:formatCode>_-* #\ ##0.00\ _€_-;\-* #\ ##0.00\ _€_-;_-* "-"??\ _€_-;_-@_-</c:formatCode>
                <c:ptCount val="1"/>
                <c:pt idx="0">
                  <c:v>16.149715233333332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4E8A-4F50-A0C8-B927836C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1988459"/>
        <c:axId val="1058420258"/>
      </c:barChart>
      <c:catAx>
        <c:axId val="421988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8420258"/>
        <c:crosses val="autoZero"/>
        <c:auto val="1"/>
        <c:lblAlgn val="ctr"/>
        <c:lblOffset val="100"/>
        <c:noMultiLvlLbl val="1"/>
      </c:catAx>
      <c:valAx>
        <c:axId val="1058420258"/>
        <c:scaling>
          <c:orientation val="minMax"/>
        </c:scaling>
        <c:delete val="1"/>
        <c:axPos val="l"/>
        <c:minorGridlines>
          <c:spPr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_-* #\ ##0.00\ _€_-;\-* #\ ##0.00\ _€_-;_-* &quot;-&quot;??\ _€_-;_-@_-" sourceLinked="1"/>
        <c:majorTickMark val="out"/>
        <c:minorTickMark val="none"/>
        <c:tickLblPos val="nextTo"/>
        <c:crossAx val="421988459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spPr>
    <a:xfrm>
      <a:off x="0" y="0"/>
      <a:ext cx="0" cy="0"/>
    </a:xfrm>
    <a:prstGeom prst="rect">
      <a:avLst/>
    </a:prstGeom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7855995284768"/>
          <c:y val="4.4413344858972525E-2"/>
          <c:w val="0.57995059780145952"/>
          <c:h val="0.45955889950280582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'S4 - LCIA results scenario1'!$B$47</c:f>
              <c:strCache>
                <c:ptCount val="1"/>
                <c:pt idx="0">
                  <c:v>Integrated circuits (incl. Processor)</c:v>
                </c:pt>
              </c:strCache>
            </c:strRef>
          </c:tx>
          <c:spPr>
            <a:prstGeom prst="rect">
              <a:avLst/>
            </a:prstGeom>
            <a:solidFill>
              <a:srgbClr val="0D5BDC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scenario1'!$C$47</c:f>
              <c:numCache>
                <c:formatCode>_-* #\ ##0.00\ _€_-;\-* #\ ##0.00\ _€_-;_-* "-"??\ _€_-;_-@_-</c:formatCode>
                <c:ptCount val="1"/>
                <c:pt idx="0">
                  <c:v>76.716775699999999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D05-47B6-BA06-D5F09F5E370B}"/>
            </c:ext>
          </c:extLst>
        </c:ser>
        <c:ser>
          <c:idx val="1"/>
          <c:order val="1"/>
          <c:tx>
            <c:strRef>
              <c:f>'S4 - LCIA results scenario1'!$B$48</c:f>
              <c:strCache>
                <c:ptCount val="1"/>
                <c:pt idx="0">
                  <c:v>Printed wiring board (incl. Mounting)</c:v>
                </c:pt>
              </c:strCache>
            </c:strRef>
          </c:tx>
          <c:spPr>
            <a:prstGeom prst="rect">
              <a:avLst/>
            </a:prstGeom>
            <a:solidFill>
              <a:srgbClr val="4285F4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scenario1'!$C$48</c:f>
              <c:numCache>
                <c:formatCode>_-* #\ ##0.00\ _€_-;\-* #\ ##0.00\ _€_-;_-* "-"??\ _€_-;_-@_-</c:formatCode>
                <c:ptCount val="1"/>
                <c:pt idx="0">
                  <c:v>30.92888928333333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D05-47B6-BA06-D5F09F5E370B}"/>
            </c:ext>
          </c:extLst>
        </c:ser>
        <c:ser>
          <c:idx val="2"/>
          <c:order val="2"/>
          <c:tx>
            <c:strRef>
              <c:f>'S4 - LCIA results scenario1'!$B$49</c:f>
              <c:strCache>
                <c:ptCount val="1"/>
                <c:pt idx="0">
                  <c:v>Capacitors</c:v>
                </c:pt>
              </c:strCache>
            </c:strRef>
          </c:tx>
          <c:spPr>
            <a:prstGeom prst="rect">
              <a:avLst/>
            </a:prstGeom>
            <a:solidFill>
              <a:srgbClr val="8EB6F8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scenario1'!$C$49</c:f>
              <c:numCache>
                <c:formatCode>_-* #\ ##0.00\ _€_-;\-* #\ ##0.00\ _€_-;_-* "-"??\ _€_-;_-@_-</c:formatCode>
                <c:ptCount val="1"/>
                <c:pt idx="0">
                  <c:v>11.092569216666668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D05-47B6-BA06-D5F09F5E370B}"/>
            </c:ext>
          </c:extLst>
        </c:ser>
        <c:ser>
          <c:idx val="3"/>
          <c:order val="3"/>
          <c:tx>
            <c:strRef>
              <c:f>'S4 - LCIA results scenario1'!$B$50</c:f>
              <c:strCache>
                <c:ptCount val="1"/>
                <c:pt idx="0">
                  <c:v>Connectors</c:v>
                </c:pt>
              </c:strCache>
            </c:strRef>
          </c:tx>
          <c:spPr>
            <a:prstGeom prst="rect">
              <a:avLst/>
            </a:prstGeom>
            <a:solidFill>
              <a:srgbClr val="B3CEFB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scenario1'!$C$50</c:f>
              <c:numCache>
                <c:formatCode>_-* #\ ##0.00\ _€_-;\-* #\ ##0.00\ _€_-;_-* "-"??\ _€_-;_-@_-</c:formatCode>
                <c:ptCount val="1"/>
                <c:pt idx="0">
                  <c:v>5.6958930500000005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D05-47B6-BA06-D5F09F5E370B}"/>
            </c:ext>
          </c:extLst>
        </c:ser>
        <c:ser>
          <c:idx val="4"/>
          <c:order val="4"/>
          <c:tx>
            <c:strRef>
              <c:f>'S4 - LCIA results scenario1'!$B$51</c:f>
              <c:strCache>
                <c:ptCount val="1"/>
                <c:pt idx="0">
                  <c:v>Inductors</c:v>
                </c:pt>
              </c:strCache>
            </c:strRef>
          </c:tx>
          <c:spPr>
            <a:prstGeom prst="rect">
              <a:avLst/>
            </a:prstGeom>
            <a:solidFill>
              <a:srgbClr val="D9E7FD"/>
            </a:solidFill>
            <a:ln cmpd="sng">
              <a:noFill/>
            </a:ln>
          </c:spPr>
          <c:invertIfNegative val="1"/>
          <c:cat>
            <c:numRef>
              <c:f>'S4 - LCIA results scenario1'!$C$37</c:f>
              <c:numCache>
                <c:formatCode>General</c:formatCode>
                <c:ptCount val="1"/>
              </c:numCache>
            </c:numRef>
          </c:cat>
          <c:val>
            <c:numRef>
              <c:f>'S4 - LCIA results scenario1'!$C$51</c:f>
              <c:numCache>
                <c:formatCode>_-* #\ ##0.00\ _€_-;\-* #\ ##0.00\ _€_-;_-* "-"??\ _€_-;_-@_-</c:formatCode>
                <c:ptCount val="1"/>
                <c:pt idx="0">
                  <c:v>3.9030660500000001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D05-47B6-BA06-D5F09F5E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1988459"/>
        <c:axId val="1058420258"/>
      </c:barChart>
      <c:catAx>
        <c:axId val="421988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8420258"/>
        <c:crosses val="autoZero"/>
        <c:auto val="1"/>
        <c:lblAlgn val="ctr"/>
        <c:lblOffset val="100"/>
        <c:noMultiLvlLbl val="1"/>
      </c:catAx>
      <c:valAx>
        <c:axId val="1058420258"/>
        <c:scaling>
          <c:orientation val="minMax"/>
          <c:max val="150"/>
          <c:min val="0"/>
        </c:scaling>
        <c:delete val="1"/>
        <c:axPos val="l"/>
        <c:minorGridlines>
          <c:spPr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_-* #\ ##0.00\ _€_-;\-* #\ ##0.00\ _€_-;_-* &quot;-&quot;??\ _€_-;_-@_-" sourceLinked="1"/>
        <c:majorTickMark val="out"/>
        <c:minorTickMark val="none"/>
        <c:tickLblPos val="nextTo"/>
        <c:crossAx val="421988459"/>
        <c:crosses val="autoZero"/>
        <c:crossBetween val="between"/>
        <c:majorUnit val="50"/>
      </c:valAx>
    </c:plotArea>
    <c:legend>
      <c:legendPos val="b"/>
      <c:overlay val="0"/>
    </c:legend>
    <c:plotVisOnly val="1"/>
    <c:dispBlanksAs val="zero"/>
    <c:showDLblsOverMax val="1"/>
  </c:chart>
  <c:spPr>
    <a:xfrm>
      <a:off x="0" y="0"/>
      <a:ext cx="0" cy="0"/>
    </a:xfrm>
    <a:prstGeom prst="rect">
      <a:avLst/>
    </a:prstGeom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68308106564405E-2"/>
          <c:y val="8.6253369272237201E-2"/>
          <c:w val="0.68494839051854284"/>
          <c:h val="0.7651596380641098"/>
        </c:manualLayout>
      </c:layout>
      <c:barChart>
        <c:barDir val="col"/>
        <c:grouping val="percentStacked"/>
        <c:varyColors val="1"/>
        <c:ser>
          <c:idx val="0"/>
          <c:order val="0"/>
          <c:tx>
            <c:strRef>
              <c:f>'S5 - LCIA results scenario2'!$A$55</c:f>
              <c:strCache>
                <c:ptCount val="1"/>
                <c:pt idx="0">
                  <c:v>Raspberry Components</c:v>
                </c:pt>
              </c:strCache>
            </c:strRef>
          </c:tx>
          <c:spPr>
            <a:prstGeom prst="rect">
              <a:avLst/>
            </a:prstGeom>
            <a:solidFill>
              <a:srgbClr val="56B4E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scenario2'!$D$55:$T$55</c:f>
              <c:numCache>
                <c:formatCode>General</c:formatCode>
                <c:ptCount val="17"/>
                <c:pt idx="0">
                  <c:v>6942.5557400000007</c:v>
                </c:pt>
                <c:pt idx="1">
                  <c:v>4.0973278000000007E-3</c:v>
                </c:pt>
                <c:pt idx="2">
                  <c:v>21.823420000000002</c:v>
                </c:pt>
                <c:pt idx="3">
                  <c:v>17.68608</c:v>
                </c:pt>
                <c:pt idx="4">
                  <c:v>723.06203000000005</c:v>
                </c:pt>
                <c:pt idx="5">
                  <c:v>963.77741000000003</c:v>
                </c:pt>
                <c:pt idx="6">
                  <c:v>125576.26373999999</c:v>
                </c:pt>
                <c:pt idx="7">
                  <c:v>3655.8667399999999</c:v>
                </c:pt>
                <c:pt idx="8">
                  <c:v>5162.9351199999992</c:v>
                </c:pt>
                <c:pt idx="9">
                  <c:v>60079.901969999999</c:v>
                </c:pt>
                <c:pt idx="10">
                  <c:v>34.947019999999995</c:v>
                </c:pt>
                <c:pt idx="11">
                  <c:v>22.561770000000003</c:v>
                </c:pt>
                <c:pt idx="12">
                  <c:v>0.62742999999999993</c:v>
                </c:pt>
                <c:pt idx="13">
                  <c:v>117.39710000000001</c:v>
                </c:pt>
                <c:pt idx="14">
                  <c:v>1781.6447399999997</c:v>
                </c:pt>
                <c:pt idx="15">
                  <c:v>191.05961000000002</c:v>
                </c:pt>
                <c:pt idx="16">
                  <c:v>58.611019999999996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0F-42D9-9228-33E05D67B1C7}"/>
            </c:ext>
          </c:extLst>
        </c:ser>
        <c:ser>
          <c:idx val="1"/>
          <c:order val="1"/>
          <c:tx>
            <c:strRef>
              <c:f>'S5 - LCIA results scenario2'!$A$56</c:f>
              <c:strCache>
                <c:ptCount val="1"/>
                <c:pt idx="0">
                  <c:v>Raspberry Chassis</c:v>
                </c:pt>
              </c:strCache>
            </c:strRef>
          </c:tx>
          <c:spPr>
            <a:prstGeom prst="rect">
              <a:avLst/>
            </a:prstGeom>
            <a:solidFill>
              <a:srgbClr val="D55E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scenario2'!$D$56:$T$56</c:f>
              <c:numCache>
                <c:formatCode>General</c:formatCode>
                <c:ptCount val="17"/>
                <c:pt idx="0">
                  <c:v>1620.86436</c:v>
                </c:pt>
                <c:pt idx="1">
                  <c:v>1.1299999999999999E-3</c:v>
                </c:pt>
                <c:pt idx="2">
                  <c:v>5.6944100000000004</c:v>
                </c:pt>
                <c:pt idx="3">
                  <c:v>6.8452400000000004</c:v>
                </c:pt>
                <c:pt idx="4">
                  <c:v>131.75404</c:v>
                </c:pt>
                <c:pt idx="5">
                  <c:v>325.76301000000001</c:v>
                </c:pt>
                <c:pt idx="6">
                  <c:v>25764.6</c:v>
                </c:pt>
                <c:pt idx="7">
                  <c:v>657.85725000000002</c:v>
                </c:pt>
                <c:pt idx="8">
                  <c:v>972.81659000000002</c:v>
                </c:pt>
                <c:pt idx="9">
                  <c:v>112628</c:v>
                </c:pt>
                <c:pt idx="10">
                  <c:v>18.607890000000001</c:v>
                </c:pt>
                <c:pt idx="11">
                  <c:v>3.7771599999999999</c:v>
                </c:pt>
                <c:pt idx="12">
                  <c:v>0.23102</c:v>
                </c:pt>
                <c:pt idx="13">
                  <c:v>16.40175</c:v>
                </c:pt>
                <c:pt idx="14">
                  <c:v>449.02064000000001</c:v>
                </c:pt>
                <c:pt idx="15">
                  <c:v>78.886679999999998</c:v>
                </c:pt>
                <c:pt idx="16">
                  <c:v>21.26942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00F-42D9-9228-33E05D67B1C7}"/>
            </c:ext>
          </c:extLst>
        </c:ser>
        <c:ser>
          <c:idx val="2"/>
          <c:order val="2"/>
          <c:tx>
            <c:strRef>
              <c:f>'S5 - LCIA results scenario2'!$A$57</c:f>
              <c:strCache>
                <c:ptCount val="1"/>
                <c:pt idx="0">
                  <c:v>Server Components</c:v>
                </c:pt>
              </c:strCache>
            </c:strRef>
          </c:tx>
          <c:spPr>
            <a:prstGeom prst="rect">
              <a:avLst/>
            </a:prstGeom>
            <a:solidFill>
              <a:srgbClr val="56B4E9">
                <a:alpha val="50196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scenario2'!$D$57:$T$57</c:f>
              <c:numCache>
                <c:formatCode>General</c:formatCode>
                <c:ptCount val="17"/>
                <c:pt idx="0">
                  <c:v>4154.1209325</c:v>
                </c:pt>
                <c:pt idx="1">
                  <c:v>2.5574999999999999E-3</c:v>
                </c:pt>
                <c:pt idx="2">
                  <c:v>13.754947500000002</c:v>
                </c:pt>
                <c:pt idx="3">
                  <c:v>10.913609999999998</c:v>
                </c:pt>
                <c:pt idx="4">
                  <c:v>420.84395249999994</c:v>
                </c:pt>
                <c:pt idx="5">
                  <c:v>638.00135250000005</c:v>
                </c:pt>
                <c:pt idx="6">
                  <c:v>78720.490500000014</c:v>
                </c:pt>
                <c:pt idx="7">
                  <c:v>2292.2138849999997</c:v>
                </c:pt>
                <c:pt idx="8">
                  <c:v>3263.0543250000001</c:v>
                </c:pt>
                <c:pt idx="9">
                  <c:v>35533.650787499995</c:v>
                </c:pt>
                <c:pt idx="10">
                  <c:v>22.406534999999998</c:v>
                </c:pt>
                <c:pt idx="11">
                  <c:v>13.988204999999999</c:v>
                </c:pt>
                <c:pt idx="12">
                  <c:v>0.38668499999999995</c:v>
                </c:pt>
                <c:pt idx="13">
                  <c:v>79.852500000000006</c:v>
                </c:pt>
                <c:pt idx="14">
                  <c:v>1072.1182124999998</c:v>
                </c:pt>
                <c:pt idx="15">
                  <c:v>143.45185499999997</c:v>
                </c:pt>
                <c:pt idx="16">
                  <c:v>36.480682500000007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00F-42D9-9228-33E05D67B1C7}"/>
            </c:ext>
          </c:extLst>
        </c:ser>
        <c:ser>
          <c:idx val="3"/>
          <c:order val="3"/>
          <c:tx>
            <c:strRef>
              <c:f>'S5 - LCIA results scenario2'!$A$58</c:f>
              <c:strCache>
                <c:ptCount val="1"/>
                <c:pt idx="0">
                  <c:v>Server Chassis</c:v>
                </c:pt>
              </c:strCache>
            </c:strRef>
          </c:tx>
          <c:spPr>
            <a:prstGeom prst="rect">
              <a:avLst/>
            </a:prstGeom>
            <a:solidFill>
              <a:srgbClr val="D55E00">
                <a:alpha val="50196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scenario2'!$D$58:$T$58</c:f>
              <c:numCache>
                <c:formatCode>General</c:formatCode>
                <c:ptCount val="17"/>
                <c:pt idx="0">
                  <c:v>354.51203249999998</c:v>
                </c:pt>
                <c:pt idx="1">
                  <c:v>1.35E-4</c:v>
                </c:pt>
                <c:pt idx="2">
                  <c:v>0.91174500000000003</c:v>
                </c:pt>
                <c:pt idx="3">
                  <c:v>0.85319999999999996</c:v>
                </c:pt>
                <c:pt idx="4">
                  <c:v>21.5791875</c:v>
                </c:pt>
                <c:pt idx="5">
                  <c:v>150.77924999999999</c:v>
                </c:pt>
                <c:pt idx="6">
                  <c:v>1624.8491325</c:v>
                </c:pt>
                <c:pt idx="7">
                  <c:v>50.321504999999995</c:v>
                </c:pt>
                <c:pt idx="8">
                  <c:v>71.9266425</c:v>
                </c:pt>
                <c:pt idx="9">
                  <c:v>5189.9506275000003</c:v>
                </c:pt>
                <c:pt idx="10">
                  <c:v>1.7225099999999998</c:v>
                </c:pt>
                <c:pt idx="11">
                  <c:v>0.33417000000000002</c:v>
                </c:pt>
                <c:pt idx="12">
                  <c:v>1.7902499999999998E-2</c:v>
                </c:pt>
                <c:pt idx="13">
                  <c:v>2.4255</c:v>
                </c:pt>
                <c:pt idx="14">
                  <c:v>91.005757500000001</c:v>
                </c:pt>
                <c:pt idx="15">
                  <c:v>11.2892475</c:v>
                </c:pt>
                <c:pt idx="16">
                  <c:v>4.1097299999999999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00F-42D9-9228-33E05D67B1C7}"/>
            </c:ext>
          </c:extLst>
        </c:ser>
        <c:ser>
          <c:idx val="4"/>
          <c:order val="4"/>
          <c:tx>
            <c:strRef>
              <c:f>'S5 - LCIA results scenario2'!$A$59</c:f>
              <c:strCache>
                <c:ptCount val="1"/>
                <c:pt idx="0">
                  <c:v> Assembly</c:v>
                </c:pt>
              </c:strCache>
            </c:strRef>
          </c:tx>
          <c:spPr>
            <a:prstGeom prst="rect">
              <a:avLst/>
            </a:prstGeom>
            <a:solidFill>
              <a:srgbClr val="CC79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scenario2'!$D$59:$T$59</c:f>
              <c:numCache>
                <c:formatCode>General</c:formatCode>
                <c:ptCount val="17"/>
                <c:pt idx="0">
                  <c:v>110.3269975</c:v>
                </c:pt>
                <c:pt idx="1">
                  <c:v>3.6562011999999999E-5</c:v>
                </c:pt>
                <c:pt idx="2">
                  <c:v>0.29427249999999999</c:v>
                </c:pt>
                <c:pt idx="3">
                  <c:v>0.18982250000000001</c:v>
                </c:pt>
                <c:pt idx="4">
                  <c:v>3.3166124999999997</c:v>
                </c:pt>
                <c:pt idx="5">
                  <c:v>8.266235</c:v>
                </c:pt>
                <c:pt idx="6">
                  <c:v>46.427295000000001</c:v>
                </c:pt>
                <c:pt idx="7">
                  <c:v>2.1496525000000002</c:v>
                </c:pt>
                <c:pt idx="8">
                  <c:v>2.9635549999999999</c:v>
                </c:pt>
                <c:pt idx="9">
                  <c:v>143.19337999999999</c:v>
                </c:pt>
                <c:pt idx="10">
                  <c:v>0.37317750000000005</c:v>
                </c:pt>
                <c:pt idx="11">
                  <c:v>2.8487499999999999E-2</c:v>
                </c:pt>
                <c:pt idx="12">
                  <c:v>2.2115523E-3</c:v>
                </c:pt>
                <c:pt idx="13">
                  <c:v>0.66904750000000002</c:v>
                </c:pt>
                <c:pt idx="14">
                  <c:v>22.962620000000001</c:v>
                </c:pt>
                <c:pt idx="15">
                  <c:v>0.39895999999999998</c:v>
                </c:pt>
                <c:pt idx="16">
                  <c:v>3.9601200000000008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00F-42D9-9228-33E05D67B1C7}"/>
            </c:ext>
          </c:extLst>
        </c:ser>
        <c:ser>
          <c:idx val="5"/>
          <c:order val="5"/>
          <c:tx>
            <c:strRef>
              <c:f>'S5 - LCIA results scenario2'!$A$60</c:f>
              <c:strCache>
                <c:ptCount val="1"/>
                <c:pt idx="0">
                  <c:v> Packaging</c:v>
                </c:pt>
              </c:strCache>
            </c:strRef>
          </c:tx>
          <c:spPr>
            <a:prstGeom prst="rect">
              <a:avLst/>
            </a:prstGeom>
            <a:solidFill>
              <a:srgbClr val="009E7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scenario2'!$D$60:$T$60</c:f>
              <c:numCache>
                <c:formatCode>General</c:formatCode>
                <c:ptCount val="17"/>
                <c:pt idx="0">
                  <c:v>41.986287499999996</c:v>
                </c:pt>
                <c:pt idx="1">
                  <c:v>2.1827635174999999E-5</c:v>
                </c:pt>
                <c:pt idx="2">
                  <c:v>6.1217500000000001E-2</c:v>
                </c:pt>
                <c:pt idx="3">
                  <c:v>3.372E-2</c:v>
                </c:pt>
                <c:pt idx="4">
                  <c:v>0.88808749999999992</c:v>
                </c:pt>
                <c:pt idx="5">
                  <c:v>0.89515250000000002</c:v>
                </c:pt>
                <c:pt idx="6">
                  <c:v>45.336112499999992</c:v>
                </c:pt>
                <c:pt idx="7">
                  <c:v>2.9445450000000002</c:v>
                </c:pt>
                <c:pt idx="8">
                  <c:v>4.1962324999999998</c:v>
                </c:pt>
                <c:pt idx="9">
                  <c:v>137.59232250000002</c:v>
                </c:pt>
                <c:pt idx="10">
                  <c:v>7.0252499999999996E-2</c:v>
                </c:pt>
                <c:pt idx="11">
                  <c:v>8.457619500000001E-3</c:v>
                </c:pt>
                <c:pt idx="12">
                  <c:v>5.6031483750000012E-3</c:v>
                </c:pt>
                <c:pt idx="13">
                  <c:v>0.24138999999999999</c:v>
                </c:pt>
                <c:pt idx="14">
                  <c:v>6.7818549999999993</c:v>
                </c:pt>
                <c:pt idx="15">
                  <c:v>7.0887500000000006E-2</c:v>
                </c:pt>
                <c:pt idx="16">
                  <c:v>0.158585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00F-42D9-9228-33E05D67B1C7}"/>
            </c:ext>
          </c:extLst>
        </c:ser>
        <c:ser>
          <c:idx val="6"/>
          <c:order val="6"/>
          <c:tx>
            <c:strRef>
              <c:f>'S5 - LCIA results scenario2'!$A$61</c:f>
              <c:strCache>
                <c:ptCount val="1"/>
                <c:pt idx="0">
                  <c:v> Transport</c:v>
                </c:pt>
              </c:strCache>
            </c:strRef>
          </c:tx>
          <c:spPr>
            <a:prstGeom prst="rect">
              <a:avLst/>
            </a:prstGeom>
            <a:solidFill>
              <a:srgbClr val="F0E44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scenario2'!$D$61:$T$61</c:f>
              <c:numCache>
                <c:formatCode>General</c:formatCode>
                <c:ptCount val="17"/>
                <c:pt idx="0">
                  <c:v>111.5829725</c:v>
                </c:pt>
                <c:pt idx="1">
                  <c:v>7.1330919999999993E-5</c:v>
                </c:pt>
                <c:pt idx="2">
                  <c:v>0.71974749999999998</c:v>
                </c:pt>
                <c:pt idx="3">
                  <c:v>0.28809249999999997</c:v>
                </c:pt>
                <c:pt idx="4">
                  <c:v>2.8249124999999999</c:v>
                </c:pt>
                <c:pt idx="5">
                  <c:v>2.2798775</c:v>
                </c:pt>
                <c:pt idx="6">
                  <c:v>48.861844999999995</c:v>
                </c:pt>
                <c:pt idx="7">
                  <c:v>1.3160324999999999</c:v>
                </c:pt>
                <c:pt idx="8">
                  <c:v>2.3196975000000002</c:v>
                </c:pt>
                <c:pt idx="9">
                  <c:v>1031.2994475</c:v>
                </c:pt>
                <c:pt idx="10">
                  <c:v>0.81228750000000005</c:v>
                </c:pt>
                <c:pt idx="11">
                  <c:v>1.0805E-2</c:v>
                </c:pt>
                <c:pt idx="12">
                  <c:v>8.5569119999999996E-4</c:v>
                </c:pt>
                <c:pt idx="13">
                  <c:v>2.4293424999999997</c:v>
                </c:pt>
                <c:pt idx="14">
                  <c:v>37.534277500000002</c:v>
                </c:pt>
                <c:pt idx="15">
                  <c:v>0.17916500000000002</c:v>
                </c:pt>
                <c:pt idx="16">
                  <c:v>0.31567000000000001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00F-42D9-9228-33E05D67B1C7}"/>
            </c:ext>
          </c:extLst>
        </c:ser>
        <c:ser>
          <c:idx val="7"/>
          <c:order val="7"/>
          <c:tx>
            <c:strRef>
              <c:f>'S5 - LCIA results scenario2'!$A$62</c:f>
              <c:strCache>
                <c:ptCount val="1"/>
                <c:pt idx="0">
                  <c:v> Use - electricity</c:v>
                </c:pt>
              </c:strCache>
            </c:strRef>
          </c:tx>
          <c:spPr>
            <a:prstGeom prst="rect">
              <a:avLst/>
            </a:prstGeom>
            <a:solidFill>
              <a:srgbClr val="E69F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scenario2'!$D$62:$T$62</c:f>
              <c:numCache>
                <c:formatCode>General</c:formatCode>
                <c:ptCount val="17"/>
                <c:pt idx="0">
                  <c:v>2978.857409786372</c:v>
                </c:pt>
                <c:pt idx="1">
                  <c:v>5.7828322280450368E-3</c:v>
                </c:pt>
                <c:pt idx="2">
                  <c:v>7.4180599387553743</c:v>
                </c:pt>
                <c:pt idx="3">
                  <c:v>6.3479359727484139</c:v>
                </c:pt>
                <c:pt idx="4">
                  <c:v>32541.828004998981</c:v>
                </c:pt>
                <c:pt idx="5">
                  <c:v>361.04170590010324</c:v>
                </c:pt>
                <c:pt idx="6">
                  <c:v>8245.6252931929812</c:v>
                </c:pt>
                <c:pt idx="7">
                  <c:v>1348.9458805366824</c:v>
                </c:pt>
                <c:pt idx="8">
                  <c:v>1669.2446057667369</c:v>
                </c:pt>
                <c:pt idx="9">
                  <c:v>35377.277889408397</c:v>
                </c:pt>
                <c:pt idx="10">
                  <c:v>14.593582307588536</c:v>
                </c:pt>
                <c:pt idx="11">
                  <c:v>2.1043612683303996</c:v>
                </c:pt>
                <c:pt idx="12">
                  <c:v>0.7036641290726714</c:v>
                </c:pt>
                <c:pt idx="13">
                  <c:v>20.743795073942277</c:v>
                </c:pt>
                <c:pt idx="14">
                  <c:v>769.18245958098441</c:v>
                </c:pt>
                <c:pt idx="15">
                  <c:v>55.391701610509315</c:v>
                </c:pt>
                <c:pt idx="16">
                  <c:v>182.08834186750752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00F-42D9-9228-33E05D67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61126509"/>
        <c:axId val="462580938"/>
      </c:barChart>
      <c:catAx>
        <c:axId val="261126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580938"/>
        <c:crosses val="autoZero"/>
        <c:auto val="1"/>
        <c:lblAlgn val="ctr"/>
        <c:lblOffset val="100"/>
        <c:noMultiLvlLbl val="1"/>
      </c:catAx>
      <c:valAx>
        <c:axId val="462580938"/>
        <c:scaling>
          <c:orientation val="minMax"/>
        </c:scaling>
        <c:delete val="0"/>
        <c:axPos val="l"/>
        <c:minorGridlines>
          <c:spPr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12650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84757310056219"/>
          <c:y val="0.2683288409703504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xfrm>
      <a:off x="0" y="0"/>
      <a:ext cx="0" cy="0"/>
    </a:xfrm>
    <a:prstGeom prst="rect">
      <a:avLst/>
    </a:prstGeom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68308106564405E-2"/>
          <c:y val="8.6253369272237201E-2"/>
          <c:w val="0.68494839051854284"/>
          <c:h val="0.7651596380641098"/>
        </c:manualLayout>
      </c:layout>
      <c:barChart>
        <c:barDir val="col"/>
        <c:grouping val="percentStacked"/>
        <c:varyColors val="1"/>
        <c:ser>
          <c:idx val="0"/>
          <c:order val="0"/>
          <c:tx>
            <c:strRef>
              <c:f>'S5 - LCIA results scenario2'!$B$79</c:f>
              <c:strCache>
                <c:ptCount val="1"/>
                <c:pt idx="0">
                  <c:v>Raspberry devices</c:v>
                </c:pt>
              </c:strCache>
            </c:strRef>
          </c:tx>
          <c:spPr>
            <a:prstGeom prst="rect">
              <a:avLst/>
            </a:prstGeom>
            <a:solidFill>
              <a:srgbClr val="56B4E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scenario2'!$D$79:$T$79</c:f>
              <c:numCache>
                <c:formatCode>General</c:formatCode>
                <c:ptCount val="17"/>
                <c:pt idx="0">
                  <c:v>8630.6397400000005</c:v>
                </c:pt>
                <c:pt idx="1">
                  <c:v>5.2702964270000012E-3</c:v>
                </c:pt>
                <c:pt idx="2">
                  <c:v>27.740450000000003</c:v>
                </c:pt>
                <c:pt idx="3">
                  <c:v>24.638770000000001</c:v>
                </c:pt>
                <c:pt idx="4">
                  <c:v>856.5396300000001</c:v>
                </c:pt>
                <c:pt idx="5">
                  <c:v>1292.3961400000001</c:v>
                </c:pt>
                <c:pt idx="6">
                  <c:v>151401.66160000002</c:v>
                </c:pt>
                <c:pt idx="7">
                  <c:v>4332.60689</c:v>
                </c:pt>
                <c:pt idx="8">
                  <c:v>6158.6920899999996</c:v>
                </c:pt>
                <c:pt idx="9">
                  <c:v>173054.74051999999</c:v>
                </c:pt>
                <c:pt idx="10">
                  <c:v>53.815269999999991</c:v>
                </c:pt>
                <c:pt idx="11">
                  <c:v>26.352249999999998</c:v>
                </c:pt>
                <c:pt idx="12">
                  <c:v>0.86526474349999993</c:v>
                </c:pt>
                <c:pt idx="13">
                  <c:v>134.51428000000001</c:v>
                </c:pt>
                <c:pt idx="14">
                  <c:v>2244.8558799999996</c:v>
                </c:pt>
                <c:pt idx="15">
                  <c:v>270.13308000000006</c:v>
                </c:pt>
                <c:pt idx="16">
                  <c:v>80.714320000000001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C86-4138-9010-68F6A0E2B228}"/>
            </c:ext>
          </c:extLst>
        </c:ser>
        <c:ser>
          <c:idx val="1"/>
          <c:order val="1"/>
          <c:tx>
            <c:strRef>
              <c:f>'S5 - LCIA results scenario2'!$B$80</c:f>
              <c:strCache>
                <c:ptCount val="1"/>
                <c:pt idx="0">
                  <c:v>Server devices</c:v>
                </c:pt>
              </c:strCache>
            </c:strRef>
          </c:tx>
          <c:spPr>
            <a:prstGeom prst="rect">
              <a:avLst/>
            </a:prstGeom>
            <a:solidFill>
              <a:srgbClr val="56B4E9">
                <a:alpha val="50196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scenario2'!$D$80:$T$80</c:f>
              <c:numCache>
                <c:formatCode>General</c:formatCode>
                <c:ptCount val="17"/>
                <c:pt idx="0">
                  <c:v>4817.7229499999994</c:v>
                </c:pt>
                <c:pt idx="1">
                  <c:v>2.8475673546750004E-3</c:v>
                </c:pt>
                <c:pt idx="2">
                  <c:v>15.651172500000003</c:v>
                </c:pt>
                <c:pt idx="3">
                  <c:v>12.244484999999997</c:v>
                </c:pt>
                <c:pt idx="4">
                  <c:v>449.77723499999991</c:v>
                </c:pt>
                <c:pt idx="5">
                  <c:v>802.00588499999992</c:v>
                </c:pt>
                <c:pt idx="6">
                  <c:v>80609.17468500002</c:v>
                </c:pt>
                <c:pt idx="7">
                  <c:v>2449.7558249999997</c:v>
                </c:pt>
                <c:pt idx="8">
                  <c:v>3465.0097575000004</c:v>
                </c:pt>
                <c:pt idx="9">
                  <c:v>42349.073662499992</c:v>
                </c:pt>
                <c:pt idx="10">
                  <c:v>25.290179999999999</c:v>
                </c:pt>
                <c:pt idx="11">
                  <c:v>14.377592869875</c:v>
                </c:pt>
                <c:pt idx="12">
                  <c:v>0.41241064837499997</c:v>
                </c:pt>
                <c:pt idx="13">
                  <c:v>85.364302499999994</c:v>
                </c:pt>
                <c:pt idx="14">
                  <c:v>1225.3806824999999</c:v>
                </c:pt>
                <c:pt idx="15">
                  <c:v>155.58134999999993</c:v>
                </c:pt>
                <c:pt idx="16">
                  <c:v>44.68690500000001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C86-4138-9010-68F6A0E2B228}"/>
            </c:ext>
          </c:extLst>
        </c:ser>
        <c:ser>
          <c:idx val="2"/>
          <c:order val="2"/>
          <c:tx>
            <c:strRef>
              <c:f>'S5 - LCIA results scenario2'!$B$81</c:f>
              <c:strCache>
                <c:ptCount val="1"/>
                <c:pt idx="0">
                  <c:v>Raspberry use</c:v>
                </c:pt>
              </c:strCache>
            </c:strRef>
          </c:tx>
          <c:spPr>
            <a:prstGeom prst="rect">
              <a:avLst/>
            </a:prstGeom>
            <a:solidFill>
              <a:srgbClr val="E69F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scenario2'!$D$81:$T$81</c:f>
              <c:numCache>
                <c:formatCode>_-* #\ ##0.00\ _€_-;\-* #\ ##0.00\ _€_-;_-* "-"??\ _€_-;_-@_-</c:formatCode>
                <c:ptCount val="17"/>
                <c:pt idx="0">
                  <c:v>1719.5099845876771</c:v>
                </c:pt>
                <c:pt idx="1">
                  <c:v>3.3380710747185276E-3</c:v>
                </c:pt>
                <c:pt idx="2">
                  <c:v>4.2819868077789165</c:v>
                </c:pt>
                <c:pt idx="3">
                  <c:v>3.6642704853224166</c:v>
                </c:pt>
                <c:pt idx="4">
                  <c:v>18784.382893756403</c:v>
                </c:pt>
                <c:pt idx="5">
                  <c:v>208.40702750935526</c:v>
                </c:pt>
                <c:pt idx="6">
                  <c:v>4759.6890587088646</c:v>
                </c:pt>
                <c:pt idx="7">
                  <c:v>778.66295400073716</c:v>
                </c:pt>
                <c:pt idx="8">
                  <c:v>963.5515808528969</c:v>
                </c:pt>
                <c:pt idx="9">
                  <c:v>20421.112591197551</c:v>
                </c:pt>
                <c:pt idx="10">
                  <c:v>8.4239716900716495</c:v>
                </c:pt>
                <c:pt idx="11">
                  <c:v>1.2147174954350055</c:v>
                </c:pt>
                <c:pt idx="12">
                  <c:v>0.40618174329580348</c:v>
                </c:pt>
                <c:pt idx="13">
                  <c:v>11.974108807860803</c:v>
                </c:pt>
                <c:pt idx="14">
                  <c:v>444.00141976384873</c:v>
                </c:pt>
                <c:pt idx="15">
                  <c:v>31.974200466816793</c:v>
                </c:pt>
                <c:pt idx="16">
                  <c:v>105.10832807557836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C86-4138-9010-68F6A0E2B228}"/>
            </c:ext>
          </c:extLst>
        </c:ser>
        <c:ser>
          <c:idx val="3"/>
          <c:order val="3"/>
          <c:tx>
            <c:strRef>
              <c:f>'S5 - LCIA results scenario2'!$B$82</c:f>
              <c:strCache>
                <c:ptCount val="1"/>
                <c:pt idx="0">
                  <c:v>Server use</c:v>
                </c:pt>
              </c:strCache>
            </c:strRef>
          </c:tx>
          <c:spPr>
            <a:prstGeom prst="rect">
              <a:avLst/>
            </a:prstGeom>
            <a:solidFill>
              <a:srgbClr val="E69F00">
                <a:alpha val="50196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'S5 - LCIA results scenario2'!$D$54:$T$54</c:f>
              <c:strCache>
                <c:ptCount val="17"/>
                <c:pt idx="0">
                  <c:v>GW</c:v>
                </c:pt>
                <c:pt idx="1">
                  <c:v>ODP</c:v>
                </c:pt>
                <c:pt idx="2">
                  <c:v>OF</c:v>
                </c:pt>
                <c:pt idx="3">
                  <c:v>FPMF</c:v>
                </c:pt>
                <c:pt idx="4">
                  <c:v>IR</c:v>
                </c:pt>
                <c:pt idx="5">
                  <c:v>HCT</c:v>
                </c:pt>
                <c:pt idx="6">
                  <c:v>HNCT</c:v>
                </c:pt>
                <c:pt idx="7">
                  <c:v>FE</c:v>
                </c:pt>
                <c:pt idx="8">
                  <c:v>ME</c:v>
                </c:pt>
                <c:pt idx="9">
                  <c:v>TE</c:v>
                </c:pt>
                <c:pt idx="10">
                  <c:v>Ac</c:v>
                </c:pt>
                <c:pt idx="11">
                  <c:v>FEut</c:v>
                </c:pt>
                <c:pt idx="12">
                  <c:v>MEut</c:v>
                </c:pt>
                <c:pt idx="13">
                  <c:v>LU</c:v>
                </c:pt>
                <c:pt idx="14">
                  <c:v>FRS</c:v>
                </c:pt>
                <c:pt idx="15">
                  <c:v>MRS</c:v>
                </c:pt>
                <c:pt idx="16">
                  <c:v>WC</c:v>
                </c:pt>
              </c:strCache>
            </c:strRef>
          </c:cat>
          <c:val>
            <c:numRef>
              <c:f>'S5 - LCIA results scenario2'!$D$82:$T$82</c:f>
              <c:numCache>
                <c:formatCode>_-* #\ ##0.00\ _€_-;\-* #\ ##0.00\ _€_-;_-* "-"??\ _€_-;_-@_-</c:formatCode>
                <c:ptCount val="17"/>
                <c:pt idx="0">
                  <c:v>1259.3474251986952</c:v>
                </c:pt>
                <c:pt idx="1">
                  <c:v>2.4447611533265101E-3</c:v>
                </c:pt>
                <c:pt idx="2">
                  <c:v>3.1360731309764587</c:v>
                </c:pt>
                <c:pt idx="3">
                  <c:v>2.6836654874259978</c:v>
                </c:pt>
                <c:pt idx="4">
                  <c:v>13757.44511124258</c:v>
                </c:pt>
                <c:pt idx="5">
                  <c:v>152.63467839074804</c:v>
                </c:pt>
                <c:pt idx="6">
                  <c:v>3485.9362344841174</c:v>
                </c:pt>
                <c:pt idx="7">
                  <c:v>570.28292653594519</c:v>
                </c:pt>
                <c:pt idx="8">
                  <c:v>705.69302491384008</c:v>
                </c:pt>
                <c:pt idx="9">
                  <c:v>14956.165298210852</c:v>
                </c:pt>
                <c:pt idx="10">
                  <c:v>6.1696106175168879</c:v>
                </c:pt>
                <c:pt idx="11">
                  <c:v>0.8896437728953942</c:v>
                </c:pt>
                <c:pt idx="12">
                  <c:v>0.29748238577686797</c:v>
                </c:pt>
                <c:pt idx="13">
                  <c:v>8.7696862660814752</c:v>
                </c:pt>
                <c:pt idx="14">
                  <c:v>325.1810398171358</c:v>
                </c:pt>
                <c:pt idx="15">
                  <c:v>23.41750114369253</c:v>
                </c:pt>
                <c:pt idx="16">
                  <c:v>76.980013791929196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C86-4138-9010-68F6A0E2B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61126509"/>
        <c:axId val="462580938"/>
      </c:barChart>
      <c:catAx>
        <c:axId val="261126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580938"/>
        <c:crosses val="autoZero"/>
        <c:auto val="1"/>
        <c:lblAlgn val="ctr"/>
        <c:lblOffset val="100"/>
        <c:noMultiLvlLbl val="1"/>
      </c:catAx>
      <c:valAx>
        <c:axId val="462580938"/>
        <c:scaling>
          <c:orientation val="minMax"/>
        </c:scaling>
        <c:delete val="0"/>
        <c:axPos val="l"/>
        <c:minorGridlines>
          <c:spPr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12650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2889858974878"/>
          <c:y val="0.36536395214749101"/>
          <c:w val="0.17073830797057105"/>
          <c:h val="0.245293489257239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xfrm>
      <a:off x="0" y="0"/>
      <a:ext cx="0" cy="0"/>
    </a:xfrm>
    <a:prstGeom prst="rect">
      <a:avLst/>
    </a:prstGeom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'S6 - LCIA Comparison sc1-2'!$A$17</c:f>
              <c:strCache>
                <c:ptCount val="1"/>
                <c:pt idx="0">
                  <c:v>Components</c:v>
                </c:pt>
              </c:strCache>
            </c:strRef>
          </c:tx>
          <c:spPr>
            <a:prstGeom prst="rect">
              <a:avLst/>
            </a:prstGeom>
            <a:solidFill>
              <a:srgbClr val="56B4E9"/>
            </a:solidFill>
            <a:ln cmpd="sng">
              <a:noFill/>
            </a:ln>
          </c:spPr>
          <c:invertIfNegative val="1"/>
          <c:cat>
            <c:strRef>
              <c:f>'S6 - LCIA Comparison sc1-2'!$B$16:$E$16</c:f>
              <c:strCache>
                <c:ptCount val="4"/>
                <c:pt idx="0">
                  <c:v>1 SBC</c:v>
                </c:pt>
                <c:pt idx="1">
                  <c:v>1 server </c:v>
                </c:pt>
                <c:pt idx="2">
                  <c:v>1 DELL 3620 (this study)</c:v>
                </c:pt>
                <c:pt idx="3">
                  <c:v>1 DELL 3620 (DELL factsheet)</c:v>
                </c:pt>
              </c:strCache>
            </c:strRef>
          </c:cat>
          <c:val>
            <c:numRef>
              <c:f>'S6 - LCIA Comparison sc1-2'!$B$17:$E$17</c:f>
              <c:numCache>
                <c:formatCode>_-* #\ ##0.00\ _€_-;\-* #\ ##0.00\ _€_-;_-* "-"??\ _€_-;_-@_-</c:formatCode>
                <c:ptCount val="4"/>
                <c:pt idx="0">
                  <c:v>11.570926233333335</c:v>
                </c:pt>
                <c:pt idx="1">
                  <c:v>692.35348875</c:v>
                </c:pt>
                <c:pt idx="2">
                  <c:v>248.17111331666663</c:v>
                </c:pt>
                <c:pt idx="3">
                  <c:v>279.91199999999998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F6-4ACF-8CF2-F14A4B24BA5A}"/>
            </c:ext>
          </c:extLst>
        </c:ser>
        <c:ser>
          <c:idx val="1"/>
          <c:order val="1"/>
          <c:tx>
            <c:strRef>
              <c:f>'S6 - LCIA Comparison sc1-2'!$A$18</c:f>
              <c:strCache>
                <c:ptCount val="1"/>
                <c:pt idx="0">
                  <c:v>Chassis</c:v>
                </c:pt>
              </c:strCache>
            </c:strRef>
          </c:tx>
          <c:spPr>
            <a:prstGeom prst="rect">
              <a:avLst/>
            </a:prstGeom>
            <a:solidFill>
              <a:srgbClr val="D55E00"/>
            </a:solidFill>
            <a:ln cmpd="sng">
              <a:noFill/>
            </a:ln>
          </c:spPr>
          <c:invertIfNegative val="1"/>
          <c:cat>
            <c:strRef>
              <c:f>'S6 - LCIA Comparison sc1-2'!$B$16:$E$16</c:f>
              <c:strCache>
                <c:ptCount val="4"/>
                <c:pt idx="0">
                  <c:v>1 SBC</c:v>
                </c:pt>
                <c:pt idx="1">
                  <c:v>1 server </c:v>
                </c:pt>
                <c:pt idx="2">
                  <c:v>1 DELL 3620 (this study)</c:v>
                </c:pt>
                <c:pt idx="3">
                  <c:v>1 DELL 3620 (DELL factsheet)</c:v>
                </c:pt>
              </c:strCache>
            </c:strRef>
          </c:cat>
          <c:val>
            <c:numRef>
              <c:f>'S6 - LCIA Comparison sc1-2'!$B$18:$E$18</c:f>
              <c:numCache>
                <c:formatCode>_-* #\ ##0.00\ _€_-;\-* #\ ##0.00\ _€_-;_-* "-"??\ _€_-;_-@_-</c:formatCode>
                <c:ptCount val="4"/>
                <c:pt idx="0">
                  <c:v>2.7014406000000002</c:v>
                </c:pt>
                <c:pt idx="1">
                  <c:v>59.085338749999998</c:v>
                </c:pt>
                <c:pt idx="2">
                  <c:v>28.075499999999998</c:v>
                </c:pt>
                <c:pt idx="3">
                  <c:v>28.89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7F6-4ACF-8CF2-F14A4B24BA5A}"/>
            </c:ext>
          </c:extLst>
        </c:ser>
        <c:ser>
          <c:idx val="2"/>
          <c:order val="2"/>
          <c:tx>
            <c:strRef>
              <c:f>'S6 - LCIA Comparison sc1-2'!$A$19</c:f>
              <c:strCache>
                <c:ptCount val="1"/>
                <c:pt idx="0">
                  <c:v>Assembly</c:v>
                </c:pt>
              </c:strCache>
            </c:strRef>
          </c:tx>
          <c:spPr>
            <a:prstGeom prst="rect">
              <a:avLst/>
            </a:prstGeom>
            <a:solidFill>
              <a:srgbClr val="CC79A7"/>
            </a:solidFill>
          </c:spPr>
          <c:invertIfNegative val="0"/>
          <c:cat>
            <c:strRef>
              <c:f>'S6 - LCIA Comparison sc1-2'!$B$16:$E$16</c:f>
              <c:strCache>
                <c:ptCount val="4"/>
                <c:pt idx="0">
                  <c:v>1 SBC</c:v>
                </c:pt>
                <c:pt idx="1">
                  <c:v>1 server </c:v>
                </c:pt>
                <c:pt idx="2">
                  <c:v>1 DELL 3620 (this study)</c:v>
                </c:pt>
                <c:pt idx="3">
                  <c:v>1 DELL 3620 (DELL factsheet)</c:v>
                </c:pt>
              </c:strCache>
            </c:strRef>
          </c:cat>
          <c:val>
            <c:numRef>
              <c:f>'S6 - LCIA Comparison sc1-2'!$B$19:$E$19</c:f>
              <c:numCache>
                <c:formatCode>_-* #\ ##0.00\ _€_-;\-* #\ ##0.00\ _€_-;_-* "-"??\ _€_-;_-@_-</c:formatCode>
                <c:ptCount val="4"/>
                <c:pt idx="0">
                  <c:v>2.7276716666666669E-2</c:v>
                </c:pt>
                <c:pt idx="1">
                  <c:v>15.66016125</c:v>
                </c:pt>
                <c:pt idx="2">
                  <c:v>4.5535163833333323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6-4ACF-8CF2-F14A4B24BA5A}"/>
            </c:ext>
          </c:extLst>
        </c:ser>
        <c:ser>
          <c:idx val="3"/>
          <c:order val="3"/>
          <c:tx>
            <c:strRef>
              <c:f>'S6 - LCIA Comparison sc1-2'!$A$20</c:f>
              <c:strCache>
                <c:ptCount val="1"/>
                <c:pt idx="0">
                  <c:v>Packaging</c:v>
                </c:pt>
              </c:strCache>
            </c:strRef>
          </c:tx>
          <c:invertIfNegative val="0"/>
          <c:cat>
            <c:strRef>
              <c:f>'S6 - LCIA Comparison sc1-2'!$B$16:$E$16</c:f>
              <c:strCache>
                <c:ptCount val="4"/>
                <c:pt idx="0">
                  <c:v>1 SBC</c:v>
                </c:pt>
                <c:pt idx="1">
                  <c:v>1 server </c:v>
                </c:pt>
                <c:pt idx="2">
                  <c:v>1 DELL 3620 (this study)</c:v>
                </c:pt>
                <c:pt idx="3">
                  <c:v>1 DELL 3620 (DELL factsheet)</c:v>
                </c:pt>
              </c:strCache>
            </c:strRef>
          </c:cat>
          <c:val>
            <c:numRef>
              <c:f>'S6 - LCIA Comparison sc1-2'!$B$20:$E$20</c:f>
              <c:numCache>
                <c:formatCode>_-* #\ ##0.00\ _€_-;\-* #\ ##0.00\ _€_-;_-* "-"??\ _€_-;_-@_-</c:formatCode>
                <c:ptCount val="4"/>
                <c:pt idx="0">
                  <c:v>1.3835433333333333E-2</c:v>
                </c:pt>
                <c:pt idx="1">
                  <c:v>5.6141712499999992</c:v>
                </c:pt>
                <c:pt idx="2">
                  <c:v>2.0059292333333332</c:v>
                </c:pt>
                <c:pt idx="3">
                  <c:v>3.8519999999999999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6-4ACF-8CF2-F14A4B24BA5A}"/>
            </c:ext>
          </c:extLst>
        </c:ser>
        <c:ser>
          <c:idx val="4"/>
          <c:order val="4"/>
          <c:tx>
            <c:strRef>
              <c:f>'S6 - LCIA Comparison sc1-2'!$A$21</c:f>
              <c:strCache>
                <c:ptCount val="1"/>
                <c:pt idx="0">
                  <c:v>Transport</c:v>
                </c:pt>
              </c:strCache>
            </c:strRef>
          </c:tx>
          <c:spPr>
            <a:prstGeom prst="rect">
              <a:avLst/>
            </a:prstGeom>
            <a:solidFill>
              <a:srgbClr val="F0E442"/>
            </a:solidFill>
          </c:spPr>
          <c:invertIfNegative val="0"/>
          <c:cat>
            <c:strRef>
              <c:f>'S6 - LCIA Comparison sc1-2'!$B$16:$E$16</c:f>
              <c:strCache>
                <c:ptCount val="4"/>
                <c:pt idx="0">
                  <c:v>1 SBC</c:v>
                </c:pt>
                <c:pt idx="1">
                  <c:v>1 server </c:v>
                </c:pt>
                <c:pt idx="2">
                  <c:v>1 DELL 3620 (this study)</c:v>
                </c:pt>
                <c:pt idx="3">
                  <c:v>1 DELL 3620 (DELL factsheet)</c:v>
                </c:pt>
              </c:strCache>
            </c:strRef>
          </c:cat>
          <c:val>
            <c:numRef>
              <c:f>'S6 - LCIA Comparison sc1-2'!$B$21:$E$21</c:f>
              <c:numCache>
                <c:formatCode>_-* #\ ##0.00\ _€_-;\-* #\ ##0.00\ _€_-;_-* "-"??\ _€_-;_-@_-</c:formatCode>
                <c:ptCount val="4"/>
                <c:pt idx="0">
                  <c:v>3.4364333333333337E-2</c:v>
                </c:pt>
                <c:pt idx="1">
                  <c:v>15.160728749999999</c:v>
                </c:pt>
                <c:pt idx="2">
                  <c:v>5.5589342000000004</c:v>
                </c:pt>
                <c:pt idx="3">
                  <c:v>28.89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F6-4ACF-8CF2-F14A4B24BA5A}"/>
            </c:ext>
          </c:extLst>
        </c:ser>
        <c:ser>
          <c:idx val="5"/>
          <c:order val="5"/>
          <c:tx>
            <c:strRef>
              <c:f>'S6 - LCIA Comparison sc1-2'!$A$22</c:f>
              <c:strCache>
                <c:ptCount val="1"/>
                <c:pt idx="0">
                  <c:v>EOL</c:v>
                </c:pt>
              </c:strCache>
            </c:strRef>
          </c:tx>
          <c:invertIfNegative val="0"/>
          <c:cat>
            <c:strRef>
              <c:f>'S6 - LCIA Comparison sc1-2'!$B$16:$E$16</c:f>
              <c:strCache>
                <c:ptCount val="4"/>
                <c:pt idx="0">
                  <c:v>1 SBC</c:v>
                </c:pt>
                <c:pt idx="1">
                  <c:v>1 server </c:v>
                </c:pt>
                <c:pt idx="2">
                  <c:v>1 DELL 3620 (this study)</c:v>
                </c:pt>
                <c:pt idx="3">
                  <c:v>1 DELL 3620 (DELL factsheet)</c:v>
                </c:pt>
              </c:strCache>
            </c:strRef>
          </c:cat>
          <c:val>
            <c:numRef>
              <c:f>'S6 - LCIA Comparison sc1-2'!$B$22:$E$22</c:f>
              <c:numCache>
                <c:formatCode>_-* #\ ##0.00\ _€_-;\-* #\ ##0.00\ _€_-;_-* "-"??\ _€_-;_-@_-</c:formatCode>
                <c:ptCount val="4"/>
                <c:pt idx="0">
                  <c:v>3.6556249999999998E-2</c:v>
                </c:pt>
                <c:pt idx="1">
                  <c:v>15.079936250000001</c:v>
                </c:pt>
                <c:pt idx="2">
                  <c:v>6.1065416999999993</c:v>
                </c:pt>
                <c:pt idx="3">
                  <c:v>3.8519999999999999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6-4ACF-8CF2-F14A4B24BA5A}"/>
            </c:ext>
          </c:extLst>
        </c:ser>
        <c:ser>
          <c:idx val="6"/>
          <c:order val="6"/>
          <c:tx>
            <c:strRef>
              <c:f>'S6 - LCIA Comparison sc1-2'!$A$23</c:f>
              <c:strCache>
                <c:ptCount val="1"/>
                <c:pt idx="0">
                  <c:v>Use - electricity</c:v>
                </c:pt>
              </c:strCache>
            </c:strRef>
          </c:tx>
          <c:spPr>
            <a:prstGeom prst="rect">
              <a:avLst/>
            </a:prstGeom>
            <a:solidFill>
              <a:srgbClr val="E69F00"/>
            </a:solidFill>
          </c:spPr>
          <c:invertIfNegative val="0"/>
          <c:cat>
            <c:strRef>
              <c:f>'S6 - LCIA Comparison sc1-2'!$B$16:$E$16</c:f>
              <c:strCache>
                <c:ptCount val="4"/>
                <c:pt idx="0">
                  <c:v>1 SBC</c:v>
                </c:pt>
                <c:pt idx="1">
                  <c:v>1 server </c:v>
                </c:pt>
                <c:pt idx="2">
                  <c:v>1 DELL 3620 (this study)</c:v>
                </c:pt>
                <c:pt idx="3">
                  <c:v>1 DELL 3620 (DELL factsheet)</c:v>
                </c:pt>
              </c:strCache>
            </c:strRef>
          </c:cat>
          <c:val>
            <c:numRef>
              <c:f>'S6 - LCIA Comparison sc1-2'!$B$23:$E$23</c:f>
              <c:numCache>
                <c:formatCode>_-* #\ ##0.00\ _€_-;\-* #\ ##0.00\ _€_-;_-* "-"??\ _€_-;_-@_-</c:formatCode>
                <c:ptCount val="4"/>
                <c:pt idx="0">
                  <c:v>2.8658499743127952</c:v>
                </c:pt>
                <c:pt idx="1">
                  <c:v>209.89123753311586</c:v>
                </c:pt>
                <c:pt idx="2">
                  <c:v>29.793246196102938</c:v>
                </c:pt>
                <c:pt idx="3">
                  <c:v>296.60400000000004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6-4ACF-8CF2-F14A4B24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100"/>
        <c:axId val="721940497"/>
        <c:axId val="709796748"/>
      </c:barChart>
      <c:lineChart>
        <c:grouping val="standard"/>
        <c:varyColors val="1"/>
        <c:ser>
          <c:idx val="7"/>
          <c:order val="7"/>
          <c:tx>
            <c:strRef>
              <c:f>'S6 - LCIA Comparison sc1-2'!$A$24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prstGeom prst="rect">
                <a:avLst/>
              </a:prstGeom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07F6-4ACF-8CF2-F14A4B24BA5A}"/>
              </c:ext>
            </c:extLst>
          </c:dPt>
          <c:dPt>
            <c:idx val="2"/>
            <c:bubble3D val="0"/>
            <c:spPr>
              <a:prstGeom prst="rect">
                <a:avLst/>
              </a:prstGeom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07F6-4ACF-8CF2-F14A4B24BA5A}"/>
              </c:ext>
            </c:extLst>
          </c:dPt>
          <c:dPt>
            <c:idx val="3"/>
            <c:bubble3D val="0"/>
            <c:spPr>
              <a:prstGeom prst="rect">
                <a:avLst/>
              </a:prstGeom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07F6-4ACF-8CF2-F14A4B24BA5A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'S6 - LCIA Comparison sc1-2'!$B$16:$E$16</c:f>
              <c:strCache>
                <c:ptCount val="4"/>
                <c:pt idx="0">
                  <c:v>1 SBC</c:v>
                </c:pt>
                <c:pt idx="1">
                  <c:v>1 server </c:v>
                </c:pt>
                <c:pt idx="2">
                  <c:v>1 DELL 3620 (this study)</c:v>
                </c:pt>
                <c:pt idx="3">
                  <c:v>1 DELL 3620 (DELL factsheet)</c:v>
                </c:pt>
              </c:strCache>
            </c:strRef>
          </c:cat>
          <c:val>
            <c:numRef>
              <c:f>'S6 - LCIA Comparison sc1-2'!$B$24:$E$24</c:f>
              <c:numCache>
                <c:formatCode>_-* #\ ##0.00\ _€_-;\-* #\ ##0.00\ _€_-;_-* "-"??\ _€_-;_-@_-</c:formatCode>
                <c:ptCount val="4"/>
                <c:pt idx="0">
                  <c:v>17.250249540979464</c:v>
                </c:pt>
                <c:pt idx="1">
                  <c:v>1012.8450625331158</c:v>
                </c:pt>
                <c:pt idx="2">
                  <c:v>324.26478102943622</c:v>
                </c:pt>
                <c:pt idx="3" formatCode="General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7F6-4ACF-8CF2-F14A4B24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940497"/>
        <c:axId val="709796748"/>
      </c:lineChart>
      <c:catAx>
        <c:axId val="721940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796748"/>
        <c:crosses val="autoZero"/>
        <c:auto val="1"/>
        <c:lblAlgn val="ctr"/>
        <c:lblOffset val="100"/>
        <c:noMultiLvlLbl val="1"/>
      </c:catAx>
      <c:valAx>
        <c:axId val="709796748"/>
        <c:scaling>
          <c:orientation val="minMax"/>
        </c:scaling>
        <c:delete val="0"/>
        <c:axPos val="l"/>
        <c:minorGridlines>
          <c:spPr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kg CO2 eq/device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15089675171709088"/>
              <c:y val="0.2260069783297461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1940497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1"/>
  </c:chart>
  <c:spPr>
    <a:xfrm>
      <a:off x="0" y="0"/>
      <a:ext cx="0" cy="0"/>
    </a:xfrm>
    <a:prstGeom prst="rect">
      <a:avLst/>
    </a:prstGeom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4628171478565"/>
          <c:y val="4.1785375118708452E-2"/>
          <c:w val="0.85960927384076991"/>
          <c:h val="0.6383786164660452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'S6 - LCIA Comparison sc1-2'!$A$6</c:f>
              <c:strCache>
                <c:ptCount val="1"/>
                <c:pt idx="0">
                  <c:v>Scenario 1 (600 desktop computers)</c:v>
                </c:pt>
              </c:strCache>
            </c:strRef>
          </c:tx>
          <c:spPr>
            <a:prstGeom prst="rect">
              <a:avLst/>
            </a:prstGeom>
            <a:solidFill>
              <a:srgbClr val="FFC599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0"/>
              <c:tx>
                <c:rich>
                  <a:bodyPr/>
                  <a:lstStyle/>
                  <a:p>
                    <a:fld id="{F68D26E8-419D-42FE-ABBA-A4B6527DF740}" type="CELLRANGE">
                      <a:rPr lang="en-US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1A2-4BDA-8D0C-BCF2CBE1A8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80A06D-AC36-4838-8F18-F332BAFF2CA9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A2-4BDA-8D0C-BCF2CBE1A8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6652DD-42BD-4862-8547-A302D24814A0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1A2-4BDA-8D0C-BCF2CBE1A8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28F23D-DCAD-46F1-8CEA-5EAAA4E81533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1A2-4BDA-8D0C-BCF2CBE1A8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7E256C-FC9A-4460-8A10-AC9DB072BE8D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1A2-4BDA-8D0C-BCF2CBE1A8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40FA12-5336-447A-94E8-E147CBBB2F8E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1A2-4BDA-8D0C-BCF2CBE1A8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D04E73-E978-4597-930C-898DA9BAC278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1A2-4BDA-8D0C-BCF2CBE1A8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9B7CB8-C653-4D7C-8E85-D34432E57B2E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1A2-4BDA-8D0C-BCF2CBE1A8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998F619-A493-4AA3-845F-AAE557DFF39D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1A2-4BDA-8D0C-BCF2CBE1A8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D80A5C2-E32C-438A-811F-D235E7BEC52C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1A2-4BDA-8D0C-BCF2CBE1A8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472FE89-6E31-4CCD-931B-B9B8EA6436BA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1A2-4BDA-8D0C-BCF2CBE1A80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5A07634-4D31-4AC5-9E8C-3BC3B29741DC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1A2-4BDA-8D0C-BCF2CBE1A80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599321C-5543-4FE7-B4A3-281B5997CC03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1A2-4BDA-8D0C-BCF2CBE1A80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995B8C2-7F05-45FF-ADDF-8F25216AE6AF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1A2-4BDA-8D0C-BCF2CBE1A8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2A739CD-60EF-4BE8-BBB4-903105C80ED9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1A2-4BDA-8D0C-BCF2CBE1A80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3E4DF94-B80F-41A8-B72E-03AB5E7F5138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1A2-4BDA-8D0C-BCF2CBE1A80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03D9755-CEA8-47CF-9F7E-45256B1CEB7D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1A2-4BDA-8D0C-BCF2CBE1A809}"/>
                </c:ext>
              </c:extLst>
            </c:dLbl>
            <c:spPr>
              <a:noFill/>
              <a:ln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'S6 - LCIA Comparison sc1-2'!$B$2:$R$2</c:f>
              <c:strCache>
                <c:ptCount val="17"/>
                <c:pt idx="0">
                  <c:v>GW (kg CO2 eq)</c:v>
                </c:pt>
                <c:pt idx="1">
                  <c:v>OD (kg CFC11 eq)</c:v>
                </c:pt>
                <c:pt idx="2">
                  <c:v>OF (kg Nox eq)</c:v>
                </c:pt>
                <c:pt idx="3">
                  <c:v>FPMF (kg PM2.5 eq)</c:v>
                </c:pt>
                <c:pt idx="4">
                  <c:v>IR (kg Co-60 eq)</c:v>
                </c:pt>
                <c:pt idx="5">
                  <c:v>HCT (kg 1-4DCB eq)</c:v>
                </c:pt>
                <c:pt idx="6">
                  <c:v>HNCT (kg 1-4DCB eq)</c:v>
                </c:pt>
                <c:pt idx="7">
                  <c:v>FE (kg 1-4DCB eq)</c:v>
                </c:pt>
                <c:pt idx="8">
                  <c:v>ME (kg 1-4DCB eq)</c:v>
                </c:pt>
                <c:pt idx="9">
                  <c:v>TE (kg 1-4DCB eq)</c:v>
                </c:pt>
                <c:pt idx="10">
                  <c:v>Ac (kg SO2 eq)</c:v>
                </c:pt>
                <c:pt idx="11">
                  <c:v>Feut (kg P eq)</c:v>
                </c:pt>
                <c:pt idx="12">
                  <c:v>Meut (kg N eq)</c:v>
                </c:pt>
                <c:pt idx="13">
                  <c:v>LU (m2a crop eq)</c:v>
                </c:pt>
                <c:pt idx="14">
                  <c:v>FRS (kg oil eq)</c:v>
                </c:pt>
                <c:pt idx="15">
                  <c:v>MRS (kg Cu eq)</c:v>
                </c:pt>
                <c:pt idx="16">
                  <c:v>WC (m3)</c:v>
                </c:pt>
              </c:strCache>
            </c:strRef>
          </c:cat>
          <c:val>
            <c:numRef>
              <c:f>'S6 - LCIA Comparison sc1-2'!$B$6:$R$6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datalabelsRange>
                <c15:f>'S6 - LCIA Comparison sc1-2'!$B$3:$R$3</c15:f>
                <c15:dlblRangeCache>
                  <c:ptCount val="17"/>
                  <c:pt idx="0">
                    <c:v> 194 559   </c:v>
                  </c:pt>
                  <c:pt idx="1">
                    <c:v> 0,14   </c:v>
                  </c:pt>
                  <c:pt idx="2">
                    <c:v> 620   </c:v>
                  </c:pt>
                  <c:pt idx="3">
                    <c:v> 518   </c:v>
                  </c:pt>
                  <c:pt idx="4">
                    <c:v> 211 722   </c:v>
                  </c:pt>
                  <c:pt idx="5">
                    <c:v> 31 466   </c:v>
                  </c:pt>
                  <c:pt idx="6">
                    <c:v> 2 698 652   </c:v>
                  </c:pt>
                  <c:pt idx="7">
                    <c:v> 88 250   </c:v>
                  </c:pt>
                  <c:pt idx="8">
                    <c:v> 124 225   </c:v>
                  </c:pt>
                  <c:pt idx="9">
                    <c:v> 2 339 847   </c:v>
                  </c:pt>
                  <c:pt idx="10">
                    <c:v> 1 123   </c:v>
                  </c:pt>
                  <c:pt idx="11">
                    <c:v> 488   </c:v>
                  </c:pt>
                  <c:pt idx="12">
                    <c:v> 20   </c:v>
                  </c:pt>
                  <c:pt idx="13">
                    <c:v> 3 135   </c:v>
                  </c:pt>
                  <c:pt idx="14">
                    <c:v> 49 919   </c:v>
                  </c:pt>
                  <c:pt idx="15">
                    <c:v> 6 221   </c:v>
                  </c:pt>
                  <c:pt idx="16">
                    <c:v> 2 772  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41A2-4BDA-8D0C-BCF2CBE1A809}"/>
            </c:ext>
          </c:extLst>
        </c:ser>
        <c:ser>
          <c:idx val="1"/>
          <c:order val="1"/>
          <c:tx>
            <c:strRef>
              <c:f>'S6 - LCIA Comparison sc1-2'!$A$7</c:f>
              <c:strCache>
                <c:ptCount val="1"/>
                <c:pt idx="0">
                  <c:v>Scenario 2 (600 SBC + 6 Servers)</c:v>
                </c:pt>
              </c:strCache>
            </c:strRef>
          </c:tx>
          <c:spPr>
            <a:prstGeom prst="rect">
              <a:avLst/>
            </a:prstGeom>
            <a:solidFill>
              <a:srgbClr val="92D050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0"/>
              <c:tx>
                <c:rich>
                  <a:bodyPr/>
                  <a:lstStyle/>
                  <a:p>
                    <a:fld id="{22CED6A6-22DF-46F5-B3F4-0A2C9709F33F}" type="CELLRANGE">
                      <a:rPr lang="en-US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1A2-4BDA-8D0C-BCF2CBE1A8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8EDB47-70CC-4966-90E7-0AF1DBDE85C8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1A2-4BDA-8D0C-BCF2CBE1A8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C351B3-4BD6-4DE8-AE02-769232FB4E8E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1A2-4BDA-8D0C-BCF2CBE1A8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41F9D1-AA2F-4F62-962C-D99FAEF4C802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1A2-4BDA-8D0C-BCF2CBE1A8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A12654-99FD-419F-A6FF-B65B97AA8154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1A2-4BDA-8D0C-BCF2CBE1A8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025CE7-51C7-45C8-8644-6217B13AB121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1A2-4BDA-8D0C-BCF2CBE1A8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240A91-5C1D-41ED-9DB7-3B13941D1EF8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1A2-4BDA-8D0C-BCF2CBE1A8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BABE933-3EB6-42D5-8D95-BD6190B43334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1A2-4BDA-8D0C-BCF2CBE1A8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C50BF45-FF58-40CA-AF7A-0F35AF70C36A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1A2-4BDA-8D0C-BCF2CBE1A8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F7BE35D-4FC5-47E9-A9EF-F999E9DFE835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1A2-4BDA-8D0C-BCF2CBE1A8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19B19A-1DF2-48A5-89F3-785A284C940E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1A2-4BDA-8D0C-BCF2CBE1A80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9299556-F7BE-4447-9FFB-2C5101F0D32B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1A2-4BDA-8D0C-BCF2CBE1A80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D6F1E6A-026B-4D18-A9EB-8BED633FCD44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1A2-4BDA-8D0C-BCF2CBE1A80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6055599-D809-41AC-81B3-327C21FAFB59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1A2-4BDA-8D0C-BCF2CBE1A8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DCE495D-DDDE-4C3E-91FB-5FF18FC0C5FB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1A2-4BDA-8D0C-BCF2CBE1A80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0424A5C-3FB8-49B0-A995-918CB9ED041B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1A2-4BDA-8D0C-BCF2CBE1A80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579B85E-31E6-48EE-8625-2DA7A0C8708E}" type="CELLRANGE">
                      <a:rPr lang="en-GB"/>
                      <a:pPr/>
                      <a:t>[PLAGECELL]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1A2-4BDA-8D0C-BCF2CBE1A809}"/>
                </c:ext>
              </c:extLst>
            </c:dLbl>
            <c:spPr>
              <a:noFill/>
              <a:ln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'S6 - LCIA Comparison sc1-2'!$B$2:$R$2</c:f>
              <c:strCache>
                <c:ptCount val="17"/>
                <c:pt idx="0">
                  <c:v>GW (kg CO2 eq)</c:v>
                </c:pt>
                <c:pt idx="1">
                  <c:v>OD (kg CFC11 eq)</c:v>
                </c:pt>
                <c:pt idx="2">
                  <c:v>OF (kg Nox eq)</c:v>
                </c:pt>
                <c:pt idx="3">
                  <c:v>FPMF (kg PM2.5 eq)</c:v>
                </c:pt>
                <c:pt idx="4">
                  <c:v>IR (kg Co-60 eq)</c:v>
                </c:pt>
                <c:pt idx="5">
                  <c:v>HCT (kg 1-4DCB eq)</c:v>
                </c:pt>
                <c:pt idx="6">
                  <c:v>HNCT (kg 1-4DCB eq)</c:v>
                </c:pt>
                <c:pt idx="7">
                  <c:v>FE (kg 1-4DCB eq)</c:v>
                </c:pt>
                <c:pt idx="8">
                  <c:v>ME (kg 1-4DCB eq)</c:v>
                </c:pt>
                <c:pt idx="9">
                  <c:v>TE (kg 1-4DCB eq)</c:v>
                </c:pt>
                <c:pt idx="10">
                  <c:v>Ac (kg SO2 eq)</c:v>
                </c:pt>
                <c:pt idx="11">
                  <c:v>Feut (kg P eq)</c:v>
                </c:pt>
                <c:pt idx="12">
                  <c:v>Meut (kg N eq)</c:v>
                </c:pt>
                <c:pt idx="13">
                  <c:v>LU (m2a crop eq)</c:v>
                </c:pt>
                <c:pt idx="14">
                  <c:v>FRS (kg oil eq)</c:v>
                </c:pt>
                <c:pt idx="15">
                  <c:v>MRS (kg Cu eq)</c:v>
                </c:pt>
                <c:pt idx="16">
                  <c:v>WC (m3)</c:v>
                </c:pt>
              </c:strCache>
            </c:strRef>
          </c:cat>
          <c:val>
            <c:numRef>
              <c:f>'S6 - LCIA Comparison sc1-2'!$B$7:$R$7</c:f>
              <c:numCache>
                <c:formatCode>0%</c:formatCode>
                <c:ptCount val="17"/>
                <c:pt idx="0">
                  <c:v>8.4433125589911562E-2</c:v>
                </c:pt>
                <c:pt idx="1">
                  <c:v>9.8792978476777399E-2</c:v>
                </c:pt>
                <c:pt idx="2">
                  <c:v>8.1925144112890327E-2</c:v>
                </c:pt>
                <c:pt idx="3">
                  <c:v>8.3380059481650379E-2</c:v>
                </c:pt>
                <c:pt idx="4">
                  <c:v>0.15987052222974069</c:v>
                </c:pt>
                <c:pt idx="5">
                  <c:v>7.8034852310347902E-2</c:v>
                </c:pt>
                <c:pt idx="6">
                  <c:v>8.902811859400156E-2</c:v>
                </c:pt>
                <c:pt idx="7">
                  <c:v>9.2139530472409581E-2</c:v>
                </c:pt>
                <c:pt idx="8">
                  <c:v>9.0907174198732343E-2</c:v>
                </c:pt>
                <c:pt idx="9">
                  <c:v>0.10717851573900823</c:v>
                </c:pt>
                <c:pt idx="10">
                  <c:v>8.3469158736939886E-2</c:v>
                </c:pt>
                <c:pt idx="11">
                  <c:v>8.7708408535783725E-2</c:v>
                </c:pt>
                <c:pt idx="12">
                  <c:v>0.1000806082099211</c:v>
                </c:pt>
                <c:pt idx="13">
                  <c:v>7.6758184951483968E-2</c:v>
                </c:pt>
                <c:pt idx="14">
                  <c:v>8.4925614608361066E-2</c:v>
                </c:pt>
                <c:pt idx="15">
                  <c:v>7.7338065551893501E-2</c:v>
                </c:pt>
                <c:pt idx="16">
                  <c:v>0.11092703147439469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datalabelsRange>
                <c15:f>'S6 - LCIA Comparison sc1-2'!$B$4:$R$4</c15:f>
                <c15:dlblRangeCache>
                  <c:ptCount val="17"/>
                  <c:pt idx="0">
                    <c:v> 16 427   </c:v>
                  </c:pt>
                  <c:pt idx="1">
                    <c:v> 0,01   </c:v>
                  </c:pt>
                  <c:pt idx="2">
                    <c:v> 51   </c:v>
                  </c:pt>
                  <c:pt idx="3">
                    <c:v> 43   </c:v>
                  </c:pt>
                  <c:pt idx="4">
                    <c:v> 33 848   </c:v>
                  </c:pt>
                  <c:pt idx="5">
                    <c:v> 2 455   </c:v>
                  </c:pt>
                  <c:pt idx="6">
                    <c:v> 240 256   </c:v>
                  </c:pt>
                  <c:pt idx="7">
                    <c:v> 8 131   </c:v>
                  </c:pt>
                  <c:pt idx="8">
                    <c:v> 11 293   </c:v>
                  </c:pt>
                  <c:pt idx="9">
                    <c:v> 250 781   </c:v>
                  </c:pt>
                  <c:pt idx="10">
                    <c:v> 94   </c:v>
                  </c:pt>
                  <c:pt idx="11">
                    <c:v> 43   </c:v>
                  </c:pt>
                  <c:pt idx="12">
                    <c:v> 2   </c:v>
                  </c:pt>
                  <c:pt idx="13">
                    <c:v> 241   </c:v>
                  </c:pt>
                  <c:pt idx="14">
                    <c:v> 4 239   </c:v>
                  </c:pt>
                  <c:pt idx="15">
                    <c:v> 481   </c:v>
                  </c:pt>
                  <c:pt idx="16">
                    <c:v> 307  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1A2-4BDA-8D0C-BCF2CBE1A8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393883611"/>
        <c:axId val="416396205"/>
      </c:barChart>
      <c:catAx>
        <c:axId val="1393883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6396205"/>
        <c:crosses val="autoZero"/>
        <c:auto val="1"/>
        <c:lblAlgn val="ctr"/>
        <c:lblOffset val="100"/>
        <c:noMultiLvlLbl val="1"/>
      </c:catAx>
      <c:valAx>
        <c:axId val="416396205"/>
        <c:scaling>
          <c:orientation val="minMax"/>
          <c:max val="1"/>
        </c:scaling>
        <c:delete val="0"/>
        <c:axPos val="l"/>
        <c:minorGridlines>
          <c:spPr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388361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xfrm>
      <a:off x="0" y="0"/>
      <a:ext cx="0" cy="0"/>
    </a:xfrm>
    <a:prstGeom prst="rect">
      <a:avLst/>
    </a:prstGeom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9436186786813"/>
          <c:y val="3.9532794249775384E-2"/>
          <c:w val="0.81213749350849862"/>
          <c:h val="0.76024506370665934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'S6 - LCIA Comparison sc1-2'!$A$11</c:f>
              <c:strCache>
                <c:ptCount val="1"/>
                <c:pt idx="0">
                  <c:v>Devices</c:v>
                </c:pt>
              </c:strCache>
            </c:strRef>
          </c:tx>
          <c:spPr>
            <a:prstGeom prst="rect">
              <a:avLst/>
            </a:prstGeom>
            <a:solidFill>
              <a:srgbClr val="0072B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'S6 - LCIA Comparison sc1-2'!$B$10:$L$10</c:f>
              <c:strCache>
                <c:ptCount val="11"/>
                <c:pt idx="0">
                  <c:v>Scenario 1</c:v>
                </c:pt>
                <c:pt idx="1">
                  <c:v>Scenario 2 (best case)</c:v>
                </c:pt>
                <c:pt idx="2">
                  <c:v>Scenario 2 (worst case)</c:v>
                </c:pt>
                <c:pt idx="4">
                  <c:v>Scenario 1</c:v>
                </c:pt>
                <c:pt idx="5">
                  <c:v>Scenario 2 (best case)</c:v>
                </c:pt>
                <c:pt idx="6">
                  <c:v>Scenario 2 (worst case)</c:v>
                </c:pt>
                <c:pt idx="8">
                  <c:v>Scenario 1</c:v>
                </c:pt>
                <c:pt idx="9">
                  <c:v>Scenario 2 (best case)</c:v>
                </c:pt>
                <c:pt idx="10">
                  <c:v>Scenario 2 (worst case)</c:v>
                </c:pt>
              </c:strCache>
            </c:strRef>
          </c:cat>
          <c:val>
            <c:numRef>
              <c:f>'S6 - LCIA Comparison sc1-2'!$B$11:$L$11</c:f>
              <c:numCache>
                <c:formatCode>_-* #\ ##0\ _€_-;\-* #\ ##0\ _€_-;_-* "-"??\ _€_-;_-@_-</c:formatCode>
                <c:ptCount val="11"/>
                <c:pt idx="0">
                  <c:v>176682.92089999997</c:v>
                </c:pt>
                <c:pt idx="1">
                  <c:v>13448.3626575</c:v>
                </c:pt>
                <c:pt idx="2">
                  <c:v>23684.910080000001</c:v>
                </c:pt>
                <c:pt idx="4">
                  <c:v>176682.92089999997</c:v>
                </c:pt>
                <c:pt idx="5">
                  <c:v>13448.3626575</c:v>
                </c:pt>
                <c:pt idx="6">
                  <c:v>23684.910080000001</c:v>
                </c:pt>
                <c:pt idx="8">
                  <c:v>176682.92089999997</c:v>
                </c:pt>
                <c:pt idx="9">
                  <c:v>13448.3626575</c:v>
                </c:pt>
                <c:pt idx="10">
                  <c:v>23684.910080000001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0A7-4FF7-9C53-AEB9627F0345}"/>
            </c:ext>
          </c:extLst>
        </c:ser>
        <c:ser>
          <c:idx val="1"/>
          <c:order val="1"/>
          <c:tx>
            <c:strRef>
              <c:f>'S6 - LCIA Comparison sc1-2'!$A$12</c:f>
              <c:strCache>
                <c:ptCount val="1"/>
                <c:pt idx="0">
                  <c:v>Use</c:v>
                </c:pt>
              </c:strCache>
            </c:strRef>
          </c:tx>
          <c:spPr>
            <a:prstGeom prst="rect">
              <a:avLst/>
            </a:prstGeom>
            <a:solidFill>
              <a:srgbClr val="E69F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'S6 - LCIA Comparison sc1-2'!$B$10:$L$10</c:f>
              <c:strCache>
                <c:ptCount val="11"/>
                <c:pt idx="0">
                  <c:v>Scenario 1</c:v>
                </c:pt>
                <c:pt idx="1">
                  <c:v>Scenario 2 (best case)</c:v>
                </c:pt>
                <c:pt idx="2">
                  <c:v>Scenario 2 (worst case)</c:v>
                </c:pt>
                <c:pt idx="4">
                  <c:v>Scenario 1</c:v>
                </c:pt>
                <c:pt idx="5">
                  <c:v>Scenario 2 (best case)</c:v>
                </c:pt>
                <c:pt idx="6">
                  <c:v>Scenario 2 (worst case)</c:v>
                </c:pt>
                <c:pt idx="8">
                  <c:v>Scenario 1</c:v>
                </c:pt>
                <c:pt idx="9">
                  <c:v>Scenario 2 (best case)</c:v>
                </c:pt>
                <c:pt idx="10">
                  <c:v>Scenario 2 (worst case)</c:v>
                </c:pt>
              </c:strCache>
            </c:strRef>
          </c:cat>
          <c:val>
            <c:numRef>
              <c:f>'S6 - LCIA Comparison sc1-2'!$B$12:$L$12</c:f>
              <c:numCache>
                <c:formatCode>_-* #\ ##0\ _€_-;\-* #\ ##0\ _€_-;_-* "-"??\ _€_-;_-@_-</c:formatCode>
                <c:ptCount val="11"/>
                <c:pt idx="0">
                  <c:v>17875.947717661762</c:v>
                </c:pt>
                <c:pt idx="1">
                  <c:v>2978.857409786372</c:v>
                </c:pt>
                <c:pt idx="2">
                  <c:v>2978.857409786372</c:v>
                </c:pt>
                <c:pt idx="4">
                  <c:v>135256.78914310184</c:v>
                </c:pt>
                <c:pt idx="5">
                  <c:v>22539.263088398868</c:v>
                </c:pt>
                <c:pt idx="6">
                  <c:v>22539.263088398868</c:v>
                </c:pt>
                <c:pt idx="8">
                  <c:v>327634.7364130221</c:v>
                </c:pt>
                <c:pt idx="9">
                  <c:v>54597.226266389916</c:v>
                </c:pt>
                <c:pt idx="10">
                  <c:v>54597.226266389916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0A7-4FF7-9C53-AEB9627F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100"/>
        <c:axId val="721940497"/>
        <c:axId val="709796748"/>
      </c:barChart>
      <c:catAx>
        <c:axId val="721940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796748"/>
        <c:crosses val="autoZero"/>
        <c:auto val="1"/>
        <c:lblAlgn val="ctr"/>
        <c:lblOffset val="100"/>
        <c:noMultiLvlLbl val="1"/>
      </c:catAx>
      <c:valAx>
        <c:axId val="709796748"/>
        <c:scaling>
          <c:orientation val="minMax"/>
        </c:scaling>
        <c:delete val="0"/>
        <c:axPos val="l"/>
        <c:minorGridlines>
          <c:spPr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200" b="0">
                    <a:solidFill>
                      <a:srgbClr val="000000"/>
                    </a:solidFill>
                    <a:latin typeface="+mn-lt"/>
                  </a:rPr>
                  <a:t>kg CO2 eq/Functional Unit</a:t>
                </a:r>
                <a:endParaRPr lang="fr-FR"/>
              </a:p>
            </c:rich>
          </c:tx>
          <c:overlay val="0"/>
        </c:title>
        <c:numFmt formatCode="_-* #\ ##0\ _€_-;\-* #\ ##0\ _€_-;_-* &quot;-&quot;??\ _€_-;_-@_-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1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1940497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50"/>
            </a:pPr>
            <a:endParaRPr lang="en-US"/>
          </a:p>
        </c:txPr>
      </c:dTable>
    </c:plotArea>
    <c:plotVisOnly val="1"/>
    <c:dispBlanksAs val="zero"/>
    <c:showDLblsOverMax val="1"/>
  </c:chart>
  <c:spPr>
    <a:xfrm>
      <a:off x="0" y="0"/>
      <a:ext cx="0" cy="0"/>
    </a:xfrm>
    <a:prstGeom prst="rect">
      <a:avLst/>
    </a:prstGeom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433294</xdr:colOff>
      <xdr:row>19</xdr:row>
      <xdr:rowOff>29883</xdr:rowOff>
    </xdr:from>
    <xdr:to>
      <xdr:col>8</xdr:col>
      <xdr:colOff>311149</xdr:colOff>
      <xdr:row>41</xdr:row>
      <xdr:rowOff>115795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294" y="4295589"/>
          <a:ext cx="5637679" cy="3537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26</xdr:row>
      <xdr:rowOff>36702</xdr:rowOff>
    </xdr:from>
    <xdr:ext cx="5643562" cy="3235415"/>
    <xdr:graphicFrame macro="">
      <xdr:nvGraphicFramePr>
        <xdr:cNvPr id="4" name="Chart 1" title="Graphiqu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442574</xdr:colOff>
      <xdr:row>43</xdr:row>
      <xdr:rowOff>198071</xdr:rowOff>
    </xdr:from>
    <xdr:ext cx="2524584" cy="5560952"/>
    <xdr:graphicFrame macro="">
      <xdr:nvGraphicFramePr>
        <xdr:cNvPr id="5" name="Chart 2" title="Graphiqu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305599</xdr:colOff>
      <xdr:row>49</xdr:row>
      <xdr:rowOff>28095</xdr:rowOff>
    </xdr:from>
    <xdr:ext cx="2141764" cy="4803321"/>
    <xdr:graphicFrame macro="">
      <xdr:nvGraphicFramePr>
        <xdr:cNvPr id="6" name="Chart 2" title="Graphique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255135</xdr:colOff>
      <xdr:row>58</xdr:row>
      <xdr:rowOff>44205</xdr:rowOff>
    </xdr:from>
    <xdr:ext cx="2524584" cy="3145451"/>
    <xdr:graphicFrame macro="">
      <xdr:nvGraphicFramePr>
        <xdr:cNvPr id="7" name="Chart 2" title="Graphique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36418</xdr:colOff>
      <xdr:row>47</xdr:row>
      <xdr:rowOff>105053</xdr:rowOff>
    </xdr:from>
    <xdr:ext cx="7353299" cy="3533773"/>
    <xdr:graphicFrame macro="">
      <xdr:nvGraphicFramePr>
        <xdr:cNvPr id="4" name="Chart 4" title="Graphiqu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69</xdr:row>
      <xdr:rowOff>123266</xdr:rowOff>
    </xdr:from>
    <xdr:ext cx="7353299" cy="3533773"/>
    <xdr:graphicFrame macro="">
      <xdr:nvGraphicFramePr>
        <xdr:cNvPr id="5" name="Chart 4" title="Graphiqu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297873</xdr:colOff>
      <xdr:row>20</xdr:row>
      <xdr:rowOff>122958</xdr:rowOff>
    </xdr:from>
    <xdr:ext cx="5133974" cy="5610225"/>
    <xdr:graphicFrame macro="">
      <xdr:nvGraphicFramePr>
        <xdr:cNvPr id="5" name="Chart 3" title="Graphiqu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25</xdr:row>
      <xdr:rowOff>77066</xdr:rowOff>
    </xdr:from>
    <xdr:ext cx="6753225" cy="4419599"/>
    <xdr:graphicFrame macro="">
      <xdr:nvGraphicFramePr>
        <xdr:cNvPr id="6" name="Chart 5" title="Graphique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381000</xdr:colOff>
      <xdr:row>19</xdr:row>
      <xdr:rowOff>171450</xdr:rowOff>
    </xdr:from>
    <xdr:to>
      <xdr:col>18</xdr:col>
      <xdr:colOff>242888</xdr:colOff>
      <xdr:row>43</xdr:row>
      <xdr:rowOff>104775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6834909" y="3658177"/>
          <a:ext cx="9005888" cy="4643871"/>
          <a:chOff x="6548438" y="3624263"/>
          <a:chExt cx="8553450" cy="4505325"/>
        </a:xfrm>
      </xdr:grpSpPr>
      <xdr:graphicFrame macro="">
        <xdr:nvGraphicFramePr>
          <xdr:cNvPr id="4" name="Chart 3" title="Graphique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GraphicFramePr>
            <a:graphicFrameLocks/>
          </xdr:cNvGraphicFramePr>
        </xdr:nvGraphicFramePr>
        <xdr:xfrm>
          <a:off x="6548438" y="3624263"/>
          <a:ext cx="8553450" cy="4505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97" name="Groupe 96">
            <a:extLst>
              <a:ext uri="{FF2B5EF4-FFF2-40B4-BE49-F238E27FC236}">
                <a16:creationId xmlns:a16="http://schemas.microsoft.com/office/drawing/2014/main" id="{00000000-0008-0000-0700-000061000000}"/>
              </a:ext>
            </a:extLst>
          </xdr:cNvPr>
          <xdr:cNvGrpSpPr/>
        </xdr:nvGrpSpPr>
        <xdr:grpSpPr bwMode="auto">
          <a:xfrm>
            <a:off x="11059087" y="3989575"/>
            <a:ext cx="1647824" cy="1323820"/>
            <a:chOff x="10762131" y="3957357"/>
            <a:chExt cx="1653427" cy="1391055"/>
          </a:xfrm>
        </xdr:grpSpPr>
        <xdr:pic>
          <xdr:nvPicPr>
            <xdr:cNvPr id="7" name="Image 1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/>
          </xdr:blipFill>
          <xdr:spPr bwMode="auto">
            <a:xfrm>
              <a:off x="10762131" y="3957357"/>
              <a:ext cx="1653427" cy="1391055"/>
            </a:xfrm>
            <a:prstGeom prst="rect">
              <a:avLst/>
            </a:prstGeom>
          </xdr:spPr>
        </xdr:pic>
        <xdr:sp macro="" textlink="">
          <xdr:nvSpPr>
            <xdr:cNvPr id="8" name="ZoneTexte 1">
              <a:extLst>
                <a:ext uri="{FF2B5EF4-FFF2-40B4-BE49-F238E27FC236}">
                  <a16:creationId xmlns:a16="http://schemas.microsoft.com/office/drawing/2014/main" id="{00000000-0008-0000-0700-000008000000}"/>
                </a:ext>
              </a:extLst>
            </xdr:cNvPr>
            <xdr:cNvSpPr>
              <a:spLocks/>
            </xdr:cNvSpPr>
          </xdr:nvSpPr>
          <xdr:spPr bwMode="auto">
            <a:xfrm>
              <a:off x="11143690" y="4749613"/>
              <a:ext cx="920003" cy="527237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>
                <a:defRPr/>
              </a:pPr>
              <a:r>
                <a:rPr lang="fr-FR" sz="1100"/>
                <a:t>Europe</a:t>
              </a:r>
              <a:endParaRPr/>
            </a:p>
          </xdr:txBody>
        </xdr:sp>
      </xdr:grpSp>
      <xdr:grpSp>
        <xdr:nvGrpSpPr>
          <xdr:cNvPr id="64" name="Groupe 63">
            <a:extLst>
              <a:ext uri="{FF2B5EF4-FFF2-40B4-BE49-F238E27FC236}">
                <a16:creationId xmlns:a16="http://schemas.microsoft.com/office/drawing/2014/main" id="{00000000-0008-0000-0700-000040000000}"/>
              </a:ext>
            </a:extLst>
          </xdr:cNvPr>
          <xdr:cNvGrpSpPr/>
        </xdr:nvGrpSpPr>
        <xdr:grpSpPr bwMode="auto">
          <a:xfrm>
            <a:off x="13577886" y="4359929"/>
            <a:ext cx="1168775" cy="802845"/>
            <a:chOff x="13500846" y="4467785"/>
            <a:chExt cx="1171576" cy="847669"/>
          </a:xfrm>
        </xdr:grpSpPr>
        <xdr:pic>
          <xdr:nvPicPr>
            <xdr:cNvPr id="9" name="Image 2">
              <a:extLst>
                <a:ext uri="{FF2B5EF4-FFF2-40B4-BE49-F238E27FC236}">
                  <a16:creationId xmlns:a16="http://schemas.microsoft.com/office/drawing/2014/main" id="{00000000-0008-0000-07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/>
          </xdr:blipFill>
          <xdr:spPr bwMode="auto">
            <a:xfrm>
              <a:off x="13500846" y="4467785"/>
              <a:ext cx="1089022" cy="847669"/>
            </a:xfrm>
            <a:prstGeom prst="rect">
              <a:avLst/>
            </a:prstGeom>
          </xdr:spPr>
        </xdr:pic>
        <xdr:sp macro="" textlink="">
          <xdr:nvSpPr>
            <xdr:cNvPr id="10" name="ZoneTexte 1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13755221" y="4700307"/>
              <a:ext cx="917201" cy="528918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>
                <a:defRPr/>
              </a:pPr>
              <a:r>
                <a:rPr lang="fr-FR" sz="1100"/>
                <a:t>Poland</a:t>
              </a:r>
              <a:endParaRPr/>
            </a:p>
          </xdr:txBody>
        </xdr:sp>
      </xdr:grpSp>
      <xdr:pic>
        <xdr:nvPicPr>
          <xdr:cNvPr id="2" name="Image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834436" y="4310062"/>
            <a:ext cx="947939" cy="95417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323850</xdr:colOff>
      <xdr:row>2</xdr:row>
      <xdr:rowOff>123825</xdr:rowOff>
    </xdr:from>
    <xdr:ext cx="5133974" cy="5610225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delithics.com/models/Vendor/Panasonic/ERJ2GE0R00X.pdf" TargetMode="External"/><Relationship Id="rId1" Type="http://schemas.openxmlformats.org/officeDocument/2006/relationships/hyperlink" Target="https://www.murata.com/en-eu/api/pdfdownloadapi?cate=cgsubChipFerriBead&amp;partno=BLM15AG601SH1%23%20%201.6m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i.dell.com/sites/csdocuments/Shared-Content_data-Sheets_Documents/en/E2219HN-Monitor.pdf" TargetMode="External"/><Relationship Id="rId1" Type="http://schemas.openxmlformats.org/officeDocument/2006/relationships/hyperlink" Target="https://i.dell.com/sites/csdocuments/CorpComm_Docs/en/carbon-footprint-E2216H-monitor.pdf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60"/>
  <sheetViews>
    <sheetView tabSelected="1" topLeftCell="A41" zoomScaleNormal="100" workbookViewId="0">
      <selection activeCell="C57" sqref="C57"/>
    </sheetView>
  </sheetViews>
  <sheetFormatPr baseColWidth="10" defaultColWidth="12.54296875" defaultRowHeight="15.75" customHeight="1" x14ac:dyDescent="0.25"/>
  <cols>
    <col min="1" max="1" width="37.81640625" customWidth="1"/>
    <col min="2" max="2" width="34.1796875" customWidth="1"/>
    <col min="3" max="3" width="14.26953125" customWidth="1"/>
    <col min="5" max="5" width="66.54296875" bestFit="1" customWidth="1"/>
    <col min="6" max="6" width="21.7265625" customWidth="1"/>
    <col min="8" max="8" width="100" bestFit="1" customWidth="1"/>
    <col min="9" max="9" width="21" customWidth="1"/>
  </cols>
  <sheetData>
    <row r="1" spans="1:23" s="1" customFormat="1" ht="15.75" customHeight="1" x14ac:dyDescent="0.25">
      <c r="A1" s="258" t="s">
        <v>959</v>
      </c>
    </row>
    <row r="2" spans="1:23" ht="12.5" x14ac:dyDescent="0.25">
      <c r="A2" s="2" t="s">
        <v>0</v>
      </c>
      <c r="B2" s="2" t="s">
        <v>1</v>
      </c>
      <c r="C2" s="2" t="s">
        <v>2</v>
      </c>
      <c r="D2" s="2" t="s">
        <v>3</v>
      </c>
      <c r="E2" s="4" t="s">
        <v>5</v>
      </c>
      <c r="F2" s="5" t="s">
        <v>6</v>
      </c>
      <c r="G2" s="4" t="s">
        <v>7</v>
      </c>
      <c r="H2" s="6" t="s">
        <v>8</v>
      </c>
      <c r="I2" s="3" t="s">
        <v>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2.5" x14ac:dyDescent="0.25">
      <c r="A3" s="318" t="s">
        <v>9</v>
      </c>
      <c r="B3" s="8" t="s">
        <v>10</v>
      </c>
      <c r="C3" s="9">
        <v>6.78</v>
      </c>
      <c r="D3" s="8" t="s">
        <v>11</v>
      </c>
      <c r="E3" s="10" t="s">
        <v>13</v>
      </c>
      <c r="F3" s="11">
        <v>1</v>
      </c>
      <c r="G3" s="12">
        <f>C3/F3</f>
        <v>6.78</v>
      </c>
      <c r="H3" s="13"/>
      <c r="I3" s="321" t="s">
        <v>12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2.5" x14ac:dyDescent="0.25">
      <c r="A4" s="319"/>
      <c r="B4" s="8" t="s">
        <v>14</v>
      </c>
      <c r="C4" s="9">
        <v>64</v>
      </c>
      <c r="D4" s="8" t="s">
        <v>15</v>
      </c>
      <c r="E4" s="10" t="s">
        <v>16</v>
      </c>
      <c r="F4" s="11" t="s">
        <v>17</v>
      </c>
      <c r="G4" s="12"/>
      <c r="H4" s="13"/>
      <c r="I4" s="32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2.5" x14ac:dyDescent="0.25">
      <c r="A5" s="319"/>
      <c r="B5" s="8" t="s">
        <v>18</v>
      </c>
      <c r="C5" s="9">
        <v>54.18</v>
      </c>
      <c r="D5" s="8" t="s">
        <v>11</v>
      </c>
      <c r="E5" s="10" t="s">
        <v>19</v>
      </c>
      <c r="F5" s="11">
        <v>42</v>
      </c>
      <c r="G5" s="12">
        <f>C5/F5</f>
        <v>1.29</v>
      </c>
      <c r="H5" s="13"/>
      <c r="I5" s="32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2.5" x14ac:dyDescent="0.25">
      <c r="A6" s="319"/>
      <c r="B6" s="8" t="s">
        <v>20</v>
      </c>
      <c r="C6" s="9">
        <v>91.504000000000005</v>
      </c>
      <c r="D6" s="8" t="s">
        <v>11</v>
      </c>
      <c r="E6" s="10" t="s">
        <v>21</v>
      </c>
      <c r="F6" s="11">
        <v>1064</v>
      </c>
      <c r="G6" s="12">
        <f>C6/F6</f>
        <v>8.6000000000000007E-2</v>
      </c>
      <c r="H6" s="13"/>
      <c r="I6" s="32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2.5" x14ac:dyDescent="0.25">
      <c r="A7" s="319"/>
      <c r="B7" s="8" t="s">
        <v>22</v>
      </c>
      <c r="C7" s="9">
        <v>17</v>
      </c>
      <c r="D7" s="8" t="s">
        <v>11</v>
      </c>
      <c r="E7" s="10" t="s">
        <v>23</v>
      </c>
      <c r="F7" s="11">
        <v>9</v>
      </c>
      <c r="G7" s="12">
        <f>C7/F7</f>
        <v>1.8888888888888888</v>
      </c>
      <c r="H7" s="11" t="s">
        <v>24</v>
      </c>
      <c r="I7" s="32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2.5" x14ac:dyDescent="0.25">
      <c r="A8" s="319"/>
      <c r="B8" s="8" t="s">
        <v>25</v>
      </c>
      <c r="C8" s="9">
        <v>50</v>
      </c>
      <c r="D8" s="8" t="s">
        <v>11</v>
      </c>
      <c r="E8" s="10" t="s">
        <v>26</v>
      </c>
      <c r="F8" s="11">
        <v>137</v>
      </c>
      <c r="G8" s="12">
        <f>C8/F8</f>
        <v>0.36496350364963503</v>
      </c>
      <c r="H8" s="11" t="s">
        <v>27</v>
      </c>
      <c r="I8" s="32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20.5" x14ac:dyDescent="0.25">
      <c r="A9" s="319"/>
      <c r="B9" s="8" t="s">
        <v>28</v>
      </c>
      <c r="C9" s="9">
        <v>67081</v>
      </c>
      <c r="D9" s="8" t="s">
        <v>15</v>
      </c>
      <c r="E9" s="14" t="s">
        <v>29</v>
      </c>
      <c r="F9" s="11" t="s">
        <v>30</v>
      </c>
      <c r="G9" s="12"/>
      <c r="H9" s="11"/>
      <c r="I9" s="32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2.5" x14ac:dyDescent="0.25">
      <c r="A10" s="319"/>
      <c r="B10" s="8" t="s">
        <v>31</v>
      </c>
      <c r="C10" s="9">
        <v>81.2</v>
      </c>
      <c r="D10" s="8" t="s">
        <v>11</v>
      </c>
      <c r="E10" s="10" t="s">
        <v>32</v>
      </c>
      <c r="F10" s="11">
        <v>10</v>
      </c>
      <c r="G10" s="12">
        <f t="shared" ref="G10:G16" si="0">C10/F10</f>
        <v>8.120000000000001</v>
      </c>
      <c r="H10" s="11"/>
      <c r="I10" s="32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2.5" x14ac:dyDescent="0.25">
      <c r="A11" s="320"/>
      <c r="B11" s="8" t="s">
        <v>33</v>
      </c>
      <c r="C11" s="9">
        <v>182</v>
      </c>
      <c r="D11" s="8" t="s">
        <v>11</v>
      </c>
      <c r="E11" s="10" t="s">
        <v>34</v>
      </c>
      <c r="F11" s="11">
        <v>26</v>
      </c>
      <c r="G11" s="12">
        <f t="shared" si="0"/>
        <v>7</v>
      </c>
      <c r="H11" s="11"/>
      <c r="I11" s="32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2.5" x14ac:dyDescent="0.25">
      <c r="A12" s="318" t="s">
        <v>35</v>
      </c>
      <c r="B12" s="8" t="s">
        <v>36</v>
      </c>
      <c r="C12" s="9">
        <v>5.16</v>
      </c>
      <c r="D12" s="8" t="s">
        <v>11</v>
      </c>
      <c r="E12" s="10" t="s">
        <v>19</v>
      </c>
      <c r="F12" s="11">
        <v>4</v>
      </c>
      <c r="G12" s="12">
        <f t="shared" si="0"/>
        <v>1.29</v>
      </c>
      <c r="H12" s="11"/>
      <c r="I12" s="32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2.5" x14ac:dyDescent="0.25">
      <c r="A13" s="319"/>
      <c r="B13" s="8" t="s">
        <v>37</v>
      </c>
      <c r="C13" s="15">
        <v>22.18</v>
      </c>
      <c r="D13" s="8" t="s">
        <v>11</v>
      </c>
      <c r="E13" s="10" t="s">
        <v>21</v>
      </c>
      <c r="F13" s="11">
        <v>258</v>
      </c>
      <c r="G13" s="12">
        <f t="shared" si="0"/>
        <v>8.5968992248062009E-2</v>
      </c>
      <c r="H13" s="11" t="s">
        <v>24</v>
      </c>
      <c r="I13" s="32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2.5" x14ac:dyDescent="0.25">
      <c r="A14" s="319"/>
      <c r="B14" s="8" t="s">
        <v>38</v>
      </c>
      <c r="C14" s="9">
        <v>3.77</v>
      </c>
      <c r="D14" s="8" t="s">
        <v>11</v>
      </c>
      <c r="E14" s="10" t="s">
        <v>39</v>
      </c>
      <c r="F14" s="11">
        <v>2</v>
      </c>
      <c r="G14" s="12">
        <f t="shared" si="0"/>
        <v>1.885</v>
      </c>
      <c r="H14" s="11" t="s">
        <v>24</v>
      </c>
      <c r="I14" s="32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2.5" x14ac:dyDescent="0.25">
      <c r="A15" s="319"/>
      <c r="B15" s="8" t="s">
        <v>40</v>
      </c>
      <c r="C15" s="9">
        <v>10</v>
      </c>
      <c r="D15" s="8" t="s">
        <v>11</v>
      </c>
      <c r="E15" s="10" t="s">
        <v>26</v>
      </c>
      <c r="F15" s="11">
        <v>24</v>
      </c>
      <c r="G15" s="12">
        <f t="shared" si="0"/>
        <v>0.41666666666666669</v>
      </c>
      <c r="H15" s="11" t="s">
        <v>41</v>
      </c>
      <c r="I15" s="32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2.5" x14ac:dyDescent="0.25">
      <c r="A16" s="319"/>
      <c r="B16" s="8" t="s">
        <v>42</v>
      </c>
      <c r="C16" s="15">
        <v>8</v>
      </c>
      <c r="D16" s="8" t="s">
        <v>11</v>
      </c>
      <c r="E16" s="10" t="s">
        <v>43</v>
      </c>
      <c r="F16" s="11">
        <v>4</v>
      </c>
      <c r="G16" s="12">
        <f t="shared" si="0"/>
        <v>2</v>
      </c>
      <c r="H16" s="11" t="s">
        <v>41</v>
      </c>
      <c r="I16" s="32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12.5" x14ac:dyDescent="0.25">
      <c r="A17" s="319"/>
      <c r="B17" s="8" t="s">
        <v>44</v>
      </c>
      <c r="C17" s="9">
        <v>81</v>
      </c>
      <c r="D17" s="8" t="s">
        <v>15</v>
      </c>
      <c r="E17" s="10" t="s">
        <v>16</v>
      </c>
      <c r="F17" s="11"/>
      <c r="G17" s="12"/>
      <c r="H17" s="13"/>
      <c r="I17" s="32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20.5" x14ac:dyDescent="0.25">
      <c r="A18" s="319"/>
      <c r="B18" s="8" t="s">
        <v>45</v>
      </c>
      <c r="C18" s="9">
        <v>10336</v>
      </c>
      <c r="D18" s="8" t="s">
        <v>15</v>
      </c>
      <c r="E18" s="14" t="s">
        <v>29</v>
      </c>
      <c r="F18" s="11"/>
      <c r="G18" s="12"/>
      <c r="H18" s="13"/>
      <c r="I18" s="32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2.5" x14ac:dyDescent="0.25">
      <c r="A19" s="320"/>
      <c r="B19" s="8" t="s">
        <v>46</v>
      </c>
      <c r="C19" s="9">
        <v>20</v>
      </c>
      <c r="D19" s="8" t="s">
        <v>11</v>
      </c>
      <c r="E19" s="10" t="s">
        <v>34</v>
      </c>
      <c r="F19" s="11">
        <v>3</v>
      </c>
      <c r="G19" s="12">
        <f>C19/F19</f>
        <v>6.666666666666667</v>
      </c>
      <c r="H19" s="13"/>
      <c r="I19" s="32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2.5" x14ac:dyDescent="0.25">
      <c r="A20" s="324" t="s">
        <v>47</v>
      </c>
      <c r="B20" s="8" t="s">
        <v>48</v>
      </c>
      <c r="C20" s="9">
        <v>8</v>
      </c>
      <c r="D20" s="8" t="s">
        <v>11</v>
      </c>
      <c r="E20" s="10" t="s">
        <v>43</v>
      </c>
      <c r="F20" s="11"/>
      <c r="G20" s="10"/>
      <c r="H20" s="13"/>
      <c r="I20" s="32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20.5" x14ac:dyDescent="0.25">
      <c r="A21" s="320"/>
      <c r="B21" s="8" t="s">
        <v>49</v>
      </c>
      <c r="C21" s="9">
        <v>4000.5</v>
      </c>
      <c r="D21" s="8" t="s">
        <v>15</v>
      </c>
      <c r="E21" s="14" t="s">
        <v>29</v>
      </c>
      <c r="F21" s="11"/>
      <c r="G21" s="10"/>
      <c r="H21" s="13"/>
      <c r="I21" s="32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2.5" x14ac:dyDescent="0.25">
      <c r="A22" s="7"/>
      <c r="B22" s="7"/>
      <c r="C22" s="7"/>
      <c r="D22" s="7"/>
      <c r="E22" s="1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2.5" x14ac:dyDescent="0.25">
      <c r="A23" s="263" t="s">
        <v>960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2.5" x14ac:dyDescent="0.25">
      <c r="A24" s="262" t="s">
        <v>50</v>
      </c>
      <c r="B24" s="2" t="s">
        <v>1</v>
      </c>
      <c r="C24" s="2" t="s">
        <v>2</v>
      </c>
      <c r="D24" s="2" t="s">
        <v>3</v>
      </c>
      <c r="E24" s="2" t="s">
        <v>5</v>
      </c>
      <c r="F24" s="7"/>
      <c r="G24" s="7"/>
      <c r="H24" s="7"/>
      <c r="I24" s="5" t="s">
        <v>51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2.5" x14ac:dyDescent="0.25">
      <c r="A25" s="325" t="s">
        <v>1035</v>
      </c>
      <c r="B25" s="17" t="s">
        <v>9</v>
      </c>
      <c r="C25" s="18">
        <v>1</v>
      </c>
      <c r="D25" s="8" t="s">
        <v>52</v>
      </c>
      <c r="E25" s="10" t="s">
        <v>54</v>
      </c>
      <c r="F25" s="7"/>
      <c r="G25" s="7"/>
      <c r="H25" s="7"/>
      <c r="I25" s="326" t="s">
        <v>53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2.5" x14ac:dyDescent="0.25">
      <c r="A26" s="319"/>
      <c r="B26" s="17" t="s">
        <v>35</v>
      </c>
      <c r="C26" s="18">
        <v>1</v>
      </c>
      <c r="D26" s="8" t="s">
        <v>52</v>
      </c>
      <c r="E26" s="10" t="s">
        <v>54</v>
      </c>
      <c r="F26" s="7"/>
      <c r="G26" s="7"/>
      <c r="H26" s="7"/>
      <c r="I26" s="32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2.5" x14ac:dyDescent="0.25">
      <c r="A27" s="319"/>
      <c r="B27" s="17" t="s">
        <v>47</v>
      </c>
      <c r="C27" s="18">
        <v>1</v>
      </c>
      <c r="D27" s="8" t="s">
        <v>52</v>
      </c>
      <c r="E27" s="10" t="s">
        <v>54</v>
      </c>
      <c r="F27" s="7"/>
      <c r="G27" s="7"/>
      <c r="H27" s="7"/>
      <c r="I27" s="32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2.5" x14ac:dyDescent="0.25">
      <c r="A28" s="319"/>
      <c r="B28" s="17" t="s">
        <v>55</v>
      </c>
      <c r="C28" s="18">
        <v>1</v>
      </c>
      <c r="D28" s="8" t="s">
        <v>52</v>
      </c>
      <c r="E28" s="10" t="s">
        <v>56</v>
      </c>
      <c r="F28" s="7"/>
      <c r="G28" s="7"/>
      <c r="H28" s="7"/>
      <c r="I28" s="32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2.5" x14ac:dyDescent="0.25">
      <c r="A29" s="319"/>
      <c r="B29" s="17" t="s">
        <v>57</v>
      </c>
      <c r="C29" s="18">
        <v>1</v>
      </c>
      <c r="D29" s="8" t="s">
        <v>52</v>
      </c>
      <c r="E29" s="10" t="s">
        <v>58</v>
      </c>
      <c r="F29" s="7"/>
      <c r="G29" s="7"/>
      <c r="H29" s="7"/>
      <c r="I29" s="32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2.5" x14ac:dyDescent="0.25">
      <c r="A30" s="320"/>
      <c r="B30" s="17" t="s">
        <v>59</v>
      </c>
      <c r="C30" s="18">
        <v>1</v>
      </c>
      <c r="D30" s="8" t="s">
        <v>52</v>
      </c>
      <c r="E30" s="10" t="s">
        <v>60</v>
      </c>
      <c r="F30" s="7"/>
      <c r="G30" s="7"/>
      <c r="H30" s="7"/>
      <c r="I30" s="32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2.5" x14ac:dyDescent="0.25">
      <c r="A31" s="325" t="s">
        <v>1036</v>
      </c>
      <c r="B31" s="17" t="s">
        <v>62</v>
      </c>
      <c r="C31" s="18">
        <v>5</v>
      </c>
      <c r="D31" s="8" t="s">
        <v>63</v>
      </c>
      <c r="E31" s="8" t="s">
        <v>65</v>
      </c>
      <c r="F31" s="7"/>
      <c r="G31" s="7"/>
      <c r="H31" s="7"/>
      <c r="I31" s="329" t="s">
        <v>64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2.5" x14ac:dyDescent="0.25">
      <c r="A32" s="319"/>
      <c r="B32" s="17" t="s">
        <v>66</v>
      </c>
      <c r="C32" s="18">
        <v>5</v>
      </c>
      <c r="D32" s="8" t="s">
        <v>63</v>
      </c>
      <c r="E32" s="8" t="s">
        <v>67</v>
      </c>
      <c r="F32" s="7"/>
      <c r="G32" s="7"/>
      <c r="H32" s="7"/>
      <c r="I32" s="32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2.5" x14ac:dyDescent="0.25">
      <c r="A33" s="319"/>
      <c r="B33" s="17" t="s">
        <v>68</v>
      </c>
      <c r="C33" s="18">
        <v>0.53</v>
      </c>
      <c r="D33" s="8" t="s">
        <v>69</v>
      </c>
      <c r="E33" s="8" t="s">
        <v>70</v>
      </c>
      <c r="F33" s="7"/>
      <c r="G33" s="7"/>
      <c r="H33" s="7"/>
      <c r="I33" s="32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2.5" x14ac:dyDescent="0.25">
      <c r="A34" s="319"/>
      <c r="B34" s="17" t="s">
        <v>71</v>
      </c>
      <c r="C34" s="18">
        <v>0.15</v>
      </c>
      <c r="D34" s="8" t="s">
        <v>63</v>
      </c>
      <c r="E34" s="8" t="s">
        <v>72</v>
      </c>
      <c r="F34" s="7"/>
      <c r="G34" s="7"/>
      <c r="H34" s="7"/>
      <c r="I34" s="32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2.5" x14ac:dyDescent="0.25">
      <c r="A35" s="319"/>
      <c r="B35" s="17" t="s">
        <v>73</v>
      </c>
      <c r="C35" s="18">
        <v>0.15</v>
      </c>
      <c r="D35" s="8" t="s">
        <v>63</v>
      </c>
      <c r="E35" s="8" t="s">
        <v>74</v>
      </c>
      <c r="F35" s="7"/>
      <c r="G35" s="7"/>
      <c r="H35" s="7"/>
      <c r="I35" s="32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ht="12.5" x14ac:dyDescent="0.25">
      <c r="A36" s="319"/>
      <c r="B36" s="17" t="s">
        <v>75</v>
      </c>
      <c r="C36" s="18">
        <v>0.05</v>
      </c>
      <c r="D36" s="8" t="s">
        <v>63</v>
      </c>
      <c r="E36" s="8" t="s">
        <v>76</v>
      </c>
      <c r="F36" s="7"/>
      <c r="G36" s="7"/>
      <c r="H36" s="7"/>
      <c r="I36" s="32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2.5" x14ac:dyDescent="0.25">
      <c r="A37" s="319"/>
      <c r="B37" s="17" t="s">
        <v>77</v>
      </c>
      <c r="C37" s="19">
        <v>1.8</v>
      </c>
      <c r="D37" s="8" t="s">
        <v>78</v>
      </c>
      <c r="E37" s="8" t="s">
        <v>79</v>
      </c>
      <c r="F37" s="7"/>
      <c r="G37" s="7"/>
      <c r="H37" s="7"/>
      <c r="I37" s="32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2.5" x14ac:dyDescent="0.25">
      <c r="A38" s="319"/>
      <c r="B38" s="17" t="s">
        <v>80</v>
      </c>
      <c r="C38" s="18">
        <v>1</v>
      </c>
      <c r="D38" s="8" t="s">
        <v>52</v>
      </c>
      <c r="E38" s="8" t="s">
        <v>81</v>
      </c>
      <c r="F38" s="7"/>
      <c r="G38" s="7"/>
      <c r="H38" s="7"/>
      <c r="I38" s="32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2.5" x14ac:dyDescent="0.25">
      <c r="A39" s="319"/>
      <c r="B39" s="17" t="s">
        <v>82</v>
      </c>
      <c r="C39" s="18">
        <v>3</v>
      </c>
      <c r="D39" s="8" t="s">
        <v>78</v>
      </c>
      <c r="E39" s="8" t="s">
        <v>83</v>
      </c>
      <c r="F39" s="7"/>
      <c r="G39" s="7"/>
      <c r="H39" s="7"/>
      <c r="I39" s="32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ht="12.5" x14ac:dyDescent="0.25">
      <c r="A40" s="319"/>
      <c r="B40" s="17" t="s">
        <v>84</v>
      </c>
      <c r="C40" s="18">
        <v>1</v>
      </c>
      <c r="D40" s="8" t="s">
        <v>52</v>
      </c>
      <c r="E40" s="8" t="s">
        <v>85</v>
      </c>
      <c r="F40" s="7"/>
      <c r="G40" s="7"/>
      <c r="H40" s="7"/>
      <c r="I40" s="32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12.5" x14ac:dyDescent="0.25">
      <c r="A41" s="319"/>
      <c r="B41" s="17" t="s">
        <v>86</v>
      </c>
      <c r="C41" s="18">
        <v>1</v>
      </c>
      <c r="D41" s="8" t="s">
        <v>52</v>
      </c>
      <c r="E41" s="8" t="s">
        <v>87</v>
      </c>
      <c r="F41" s="7"/>
      <c r="G41" s="7"/>
      <c r="H41" s="7"/>
      <c r="I41" s="32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ht="12.5" x14ac:dyDescent="0.25">
      <c r="A42" s="320"/>
      <c r="B42" s="17" t="s">
        <v>88</v>
      </c>
      <c r="C42" s="18">
        <v>1</v>
      </c>
      <c r="D42" s="8" t="s">
        <v>52</v>
      </c>
      <c r="E42" s="8" t="s">
        <v>89</v>
      </c>
      <c r="F42" s="7"/>
      <c r="G42" s="7"/>
      <c r="H42" s="7"/>
      <c r="I42" s="32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ht="12.5" x14ac:dyDescent="0.25">
      <c r="A43" s="325" t="s">
        <v>1038</v>
      </c>
      <c r="B43" s="8" t="s">
        <v>91</v>
      </c>
      <c r="C43" s="19">
        <v>2.7669999999999999</v>
      </c>
      <c r="D43" s="8" t="s">
        <v>92</v>
      </c>
      <c r="E43" s="10" t="s">
        <v>94</v>
      </c>
      <c r="F43" s="7"/>
      <c r="G43" s="7"/>
      <c r="H43" s="7"/>
      <c r="I43" s="329" t="s">
        <v>93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ht="12.5" x14ac:dyDescent="0.25">
      <c r="A44" s="319"/>
      <c r="B44" s="8" t="s">
        <v>95</v>
      </c>
      <c r="C44" s="19">
        <v>1.6</v>
      </c>
      <c r="D44" s="8" t="s">
        <v>96</v>
      </c>
      <c r="E44" s="10" t="s">
        <v>97</v>
      </c>
      <c r="F44" s="7"/>
      <c r="G44" s="7"/>
      <c r="H44" s="7"/>
      <c r="I44" s="32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ht="12.5" x14ac:dyDescent="0.25">
      <c r="A45" s="320"/>
      <c r="B45" s="8" t="s">
        <v>98</v>
      </c>
      <c r="C45" s="19">
        <v>1.6</v>
      </c>
      <c r="D45" s="8" t="s">
        <v>96</v>
      </c>
      <c r="E45" s="10" t="s">
        <v>99</v>
      </c>
      <c r="F45" s="7"/>
      <c r="G45" s="7"/>
      <c r="H45" s="7"/>
      <c r="I45" s="33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2.5" x14ac:dyDescent="0.25">
      <c r="A46" s="325" t="s">
        <v>1037</v>
      </c>
      <c r="B46" s="8" t="s">
        <v>101</v>
      </c>
      <c r="C46" s="20">
        <v>2.2000000000000002</v>
      </c>
      <c r="D46" s="8" t="s">
        <v>63</v>
      </c>
      <c r="E46" s="17" t="s">
        <v>103</v>
      </c>
      <c r="F46" s="7"/>
      <c r="G46" s="7"/>
      <c r="H46" s="7"/>
      <c r="I46" s="331" t="s">
        <v>102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ht="12.5" x14ac:dyDescent="0.25">
      <c r="A47" s="319"/>
      <c r="B47" s="8" t="s">
        <v>104</v>
      </c>
      <c r="C47" s="17">
        <v>0.16</v>
      </c>
      <c r="D47" s="8" t="s">
        <v>63</v>
      </c>
      <c r="E47" s="17" t="s">
        <v>105</v>
      </c>
      <c r="F47" s="7"/>
      <c r="G47" s="7"/>
      <c r="H47" s="7"/>
      <c r="I47" s="33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ht="12.5" x14ac:dyDescent="0.25">
      <c r="A48" s="320"/>
      <c r="B48" s="8" t="s">
        <v>106</v>
      </c>
      <c r="C48" s="17">
        <v>0.16</v>
      </c>
      <c r="D48" s="8" t="s">
        <v>63</v>
      </c>
      <c r="E48" s="17" t="s">
        <v>107</v>
      </c>
      <c r="F48" s="7"/>
      <c r="G48" s="7"/>
      <c r="H48" s="7"/>
      <c r="I48" s="333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20" x14ac:dyDescent="0.25">
      <c r="A49" s="325" t="s">
        <v>1039</v>
      </c>
      <c r="B49" s="8" t="s">
        <v>109</v>
      </c>
      <c r="C49" s="21" t="s">
        <v>110</v>
      </c>
      <c r="D49" s="8" t="s">
        <v>111</v>
      </c>
      <c r="E49" s="17" t="s">
        <v>113</v>
      </c>
      <c r="F49" s="23"/>
      <c r="G49" s="7"/>
      <c r="H49" s="7"/>
      <c r="I49" s="22" t="s">
        <v>112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20" x14ac:dyDescent="0.25">
      <c r="A50" s="320"/>
      <c r="B50" s="8" t="s">
        <v>114</v>
      </c>
      <c r="C50" s="21" t="s">
        <v>115</v>
      </c>
      <c r="D50" s="8" t="s">
        <v>111</v>
      </c>
      <c r="E50" s="17" t="s">
        <v>117</v>
      </c>
      <c r="F50" s="7"/>
      <c r="G50" s="7"/>
      <c r="H50" s="7"/>
      <c r="I50" s="22" t="s">
        <v>116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s="1" customFormat="1" ht="12.5" x14ac:dyDescent="0.25">
      <c r="A51" s="24" t="s">
        <v>1040</v>
      </c>
      <c r="B51" s="8" t="s">
        <v>119</v>
      </c>
      <c r="C51" s="25">
        <f>SUM('S3 - Energy use'!E4:E6)*5</f>
        <v>505.43010000000004</v>
      </c>
      <c r="D51" s="8" t="s">
        <v>92</v>
      </c>
      <c r="E51" s="18" t="s">
        <v>121</v>
      </c>
      <c r="F51" s="7"/>
      <c r="G51" s="7"/>
      <c r="H51" s="7"/>
      <c r="I51" s="22" t="s">
        <v>120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2.5" x14ac:dyDescent="0.25">
      <c r="A52" s="325" t="s">
        <v>1041</v>
      </c>
      <c r="B52" s="8" t="s">
        <v>123</v>
      </c>
      <c r="C52" s="17">
        <v>8.4499999999999993</v>
      </c>
      <c r="D52" s="8" t="s">
        <v>63</v>
      </c>
      <c r="E52" s="17" t="s">
        <v>125</v>
      </c>
      <c r="F52" s="7"/>
      <c r="G52" s="7"/>
      <c r="H52" s="7"/>
      <c r="I52" s="17" t="s">
        <v>124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2.5" x14ac:dyDescent="0.25">
      <c r="A53" s="319"/>
      <c r="B53" s="8" t="s">
        <v>126</v>
      </c>
      <c r="C53" s="20">
        <v>2.2000000000000002</v>
      </c>
      <c r="D53" s="8" t="s">
        <v>63</v>
      </c>
      <c r="E53" s="17" t="s">
        <v>128</v>
      </c>
      <c r="F53" s="7"/>
      <c r="G53" s="7"/>
      <c r="H53" s="7"/>
      <c r="I53" s="17" t="s">
        <v>127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2.5" x14ac:dyDescent="0.25">
      <c r="A54" s="320"/>
      <c r="B54" s="8" t="s">
        <v>126</v>
      </c>
      <c r="C54" s="17">
        <v>0.16</v>
      </c>
      <c r="D54" s="8" t="s">
        <v>63</v>
      </c>
      <c r="E54" s="17" t="s">
        <v>129</v>
      </c>
      <c r="F54" s="7"/>
      <c r="G54" s="7"/>
      <c r="H54" s="7"/>
      <c r="I54" s="17" t="s">
        <v>127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ht="12.5" x14ac:dyDescent="0.25">
      <c r="A56" s="263" t="s">
        <v>961</v>
      </c>
      <c r="B56" s="7"/>
      <c r="C56" s="26"/>
      <c r="D56" s="7"/>
      <c r="E56" s="7"/>
      <c r="F56" s="7"/>
      <c r="G56" s="7"/>
      <c r="H56" s="7"/>
      <c r="I56" s="2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2.5" x14ac:dyDescent="0.25">
      <c r="A57" s="2" t="s">
        <v>130</v>
      </c>
      <c r="B57" s="2" t="s">
        <v>1</v>
      </c>
      <c r="C57" s="2" t="s">
        <v>2</v>
      </c>
      <c r="D57" s="2" t="s">
        <v>3</v>
      </c>
      <c r="E57" s="2" t="s">
        <v>5</v>
      </c>
      <c r="F57" s="2" t="s">
        <v>6</v>
      </c>
      <c r="G57" s="2" t="s">
        <v>7</v>
      </c>
      <c r="H57" s="6" t="s">
        <v>8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2.5" x14ac:dyDescent="0.25">
      <c r="A58" s="325" t="s">
        <v>1042</v>
      </c>
      <c r="B58" s="17" t="s">
        <v>131</v>
      </c>
      <c r="C58" s="28">
        <v>2.15</v>
      </c>
      <c r="D58" s="8" t="s">
        <v>11</v>
      </c>
      <c r="E58" s="18" t="s">
        <v>21</v>
      </c>
      <c r="F58" s="11">
        <v>95</v>
      </c>
      <c r="G58" s="29">
        <f t="shared" ref="G58:G66" si="1">C58/F58</f>
        <v>2.2631578947368419E-2</v>
      </c>
      <c r="H58" s="7"/>
      <c r="I58" s="322" t="s">
        <v>132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2.5" x14ac:dyDescent="0.25">
      <c r="A59" s="319"/>
      <c r="B59" s="17" t="s">
        <v>133</v>
      </c>
      <c r="C59" s="28">
        <v>0.128</v>
      </c>
      <c r="D59" s="17" t="s">
        <v>11</v>
      </c>
      <c r="E59" s="18" t="s">
        <v>134</v>
      </c>
      <c r="F59" s="11">
        <v>10</v>
      </c>
      <c r="G59" s="29">
        <f t="shared" si="1"/>
        <v>1.2800000000000001E-2</v>
      </c>
      <c r="H59" s="7" t="s">
        <v>135</v>
      </c>
      <c r="I59" s="33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ht="12.5" x14ac:dyDescent="0.25">
      <c r="A60" s="319"/>
      <c r="B60" s="17" t="s">
        <v>136</v>
      </c>
      <c r="C60" s="19">
        <v>20</v>
      </c>
      <c r="D60" s="17" t="s">
        <v>11</v>
      </c>
      <c r="E60" s="18" t="s">
        <v>137</v>
      </c>
      <c r="F60" s="11">
        <v>9</v>
      </c>
      <c r="G60" s="29">
        <f t="shared" si="1"/>
        <v>2.2222222222222223</v>
      </c>
      <c r="H60" s="7"/>
      <c r="I60" s="33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ht="12.5" x14ac:dyDescent="0.25">
      <c r="A61" s="319"/>
      <c r="B61" s="17" t="s">
        <v>138</v>
      </c>
      <c r="C61" s="28">
        <v>1.26E-2</v>
      </c>
      <c r="D61" s="17" t="s">
        <v>11</v>
      </c>
      <c r="E61" s="18" t="s">
        <v>139</v>
      </c>
      <c r="F61" s="11">
        <v>8</v>
      </c>
      <c r="G61" s="29">
        <f t="shared" si="1"/>
        <v>1.575E-3</v>
      </c>
      <c r="H61" s="27" t="s">
        <v>140</v>
      </c>
      <c r="I61" s="33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ht="12.5" x14ac:dyDescent="0.25">
      <c r="A62" s="319"/>
      <c r="B62" s="17" t="s">
        <v>141</v>
      </c>
      <c r="C62" s="28">
        <v>5</v>
      </c>
      <c r="D62" s="17" t="s">
        <v>11</v>
      </c>
      <c r="E62" s="18" t="s">
        <v>142</v>
      </c>
      <c r="F62" s="11">
        <v>1</v>
      </c>
      <c r="G62" s="29">
        <f t="shared" si="1"/>
        <v>5</v>
      </c>
      <c r="H62" s="7"/>
      <c r="I62" s="33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ht="12.5" x14ac:dyDescent="0.25">
      <c r="A63" s="319"/>
      <c r="B63" s="17" t="s">
        <v>143</v>
      </c>
      <c r="C63" s="28">
        <v>3</v>
      </c>
      <c r="D63" s="17" t="s">
        <v>11</v>
      </c>
      <c r="E63" s="18" t="s">
        <v>144</v>
      </c>
      <c r="F63" s="11">
        <v>3</v>
      </c>
      <c r="G63" s="29">
        <f t="shared" si="1"/>
        <v>1</v>
      </c>
      <c r="H63" s="7"/>
      <c r="I63" s="33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2.5" x14ac:dyDescent="0.25">
      <c r="A64" s="319"/>
      <c r="B64" s="17" t="s">
        <v>145</v>
      </c>
      <c r="C64" s="28">
        <v>0.7</v>
      </c>
      <c r="D64" s="17" t="s">
        <v>11</v>
      </c>
      <c r="E64" s="18" t="s">
        <v>146</v>
      </c>
      <c r="F64" s="11">
        <v>5</v>
      </c>
      <c r="G64" s="29">
        <f t="shared" si="1"/>
        <v>0.13999999999999999</v>
      </c>
      <c r="H64" s="7"/>
      <c r="I64" s="33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ht="12.5" x14ac:dyDescent="0.25">
      <c r="A65" s="319"/>
      <c r="B65" s="17" t="s">
        <v>147</v>
      </c>
      <c r="C65" s="28">
        <v>0.29399999999999998</v>
      </c>
      <c r="D65" s="17" t="s">
        <v>11</v>
      </c>
      <c r="E65" s="18" t="s">
        <v>148</v>
      </c>
      <c r="F65" s="11">
        <v>39</v>
      </c>
      <c r="G65" s="29">
        <f t="shared" si="1"/>
        <v>7.5384615384615382E-3</v>
      </c>
      <c r="H65" s="27" t="s">
        <v>149</v>
      </c>
      <c r="I65" s="33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ht="12.5" x14ac:dyDescent="0.25">
      <c r="A66" s="319"/>
      <c r="B66" s="17" t="s">
        <v>969</v>
      </c>
      <c r="C66" s="28">
        <v>1.7789999999999999</v>
      </c>
      <c r="D66" s="17" t="s">
        <v>11</v>
      </c>
      <c r="E66" s="18" t="s">
        <v>150</v>
      </c>
      <c r="F66" s="11">
        <v>4</v>
      </c>
      <c r="G66" s="29">
        <f t="shared" si="1"/>
        <v>0.44474999999999998</v>
      </c>
      <c r="H66" s="7"/>
      <c r="I66" s="33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ht="20" x14ac:dyDescent="0.25">
      <c r="A67" s="320"/>
      <c r="B67" s="17" t="s">
        <v>151</v>
      </c>
      <c r="C67" s="18">
        <v>4760</v>
      </c>
      <c r="D67" s="17" t="s">
        <v>15</v>
      </c>
      <c r="E67" s="30" t="s">
        <v>152</v>
      </c>
      <c r="F67" s="11" t="s">
        <v>30</v>
      </c>
      <c r="G67" s="17">
        <f>C67/(100*100*100)*3.26*1000</f>
        <v>15.5176</v>
      </c>
      <c r="H67" s="7"/>
      <c r="I67" s="33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s="1" customFormat="1" ht="12.5" x14ac:dyDescent="0.25">
      <c r="A68" s="336" t="s">
        <v>1043</v>
      </c>
      <c r="B68" s="31" t="s">
        <v>71</v>
      </c>
      <c r="C68" s="31">
        <v>0.05</v>
      </c>
      <c r="D68" s="31" t="s">
        <v>63</v>
      </c>
      <c r="E68" s="31" t="s">
        <v>153</v>
      </c>
      <c r="I68" s="338" t="s">
        <v>64</v>
      </c>
    </row>
    <row r="69" spans="1:23" s="1" customFormat="1" ht="12.5" x14ac:dyDescent="0.25">
      <c r="A69" s="337"/>
      <c r="B69" s="31" t="s">
        <v>154</v>
      </c>
      <c r="C69" s="31">
        <v>0.375</v>
      </c>
      <c r="D69" s="31" t="s">
        <v>92</v>
      </c>
      <c r="E69" s="31" t="s">
        <v>155</v>
      </c>
      <c r="F69" s="23"/>
      <c r="I69" s="339"/>
    </row>
    <row r="70" spans="1:23" s="1" customFormat="1" ht="12.5" x14ac:dyDescent="0.25">
      <c r="A70" s="337"/>
      <c r="B70" s="31" t="s">
        <v>82</v>
      </c>
      <c r="C70" s="31">
        <v>3</v>
      </c>
      <c r="D70" s="31" t="s">
        <v>78</v>
      </c>
      <c r="E70" s="31" t="s">
        <v>156</v>
      </c>
      <c r="I70" s="339"/>
    </row>
    <row r="71" spans="1:23" s="1" customFormat="1" ht="12.5" x14ac:dyDescent="0.25">
      <c r="A71" s="337"/>
      <c r="B71" s="31" t="s">
        <v>84</v>
      </c>
      <c r="C71" s="31">
        <v>1</v>
      </c>
      <c r="D71" s="31" t="s">
        <v>52</v>
      </c>
      <c r="E71" s="31" t="s">
        <v>157</v>
      </c>
      <c r="I71" s="339"/>
    </row>
    <row r="72" spans="1:23" s="1" customFormat="1" ht="12.5" x14ac:dyDescent="0.25">
      <c r="A72" s="337"/>
      <c r="B72" s="31" t="s">
        <v>158</v>
      </c>
      <c r="C72" s="31">
        <v>1</v>
      </c>
      <c r="D72" s="31" t="s">
        <v>52</v>
      </c>
      <c r="E72" s="31" t="s">
        <v>159</v>
      </c>
      <c r="I72" s="340"/>
    </row>
    <row r="73" spans="1:23" ht="12.5" x14ac:dyDescent="0.25">
      <c r="A73" s="325" t="s">
        <v>1044</v>
      </c>
      <c r="B73" s="8" t="s">
        <v>91</v>
      </c>
      <c r="C73" s="18">
        <v>1.6500000000000001E-2</v>
      </c>
      <c r="D73" s="8" t="s">
        <v>92</v>
      </c>
      <c r="E73" s="18" t="s">
        <v>94</v>
      </c>
      <c r="F73" s="7"/>
      <c r="G73" s="7"/>
      <c r="H73" s="7"/>
      <c r="I73" s="329" t="s">
        <v>93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2.5" x14ac:dyDescent="0.25">
      <c r="A74" s="319"/>
      <c r="B74" s="8" t="s">
        <v>95</v>
      </c>
      <c r="C74" s="18">
        <v>9.6</v>
      </c>
      <c r="D74" s="8" t="s">
        <v>160</v>
      </c>
      <c r="E74" s="18" t="s">
        <v>97</v>
      </c>
      <c r="F74" s="7"/>
      <c r="G74" s="7"/>
      <c r="H74" s="7"/>
      <c r="I74" s="32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2.5" x14ac:dyDescent="0.25">
      <c r="A75" s="320"/>
      <c r="B75" s="8" t="s">
        <v>98</v>
      </c>
      <c r="C75" s="18">
        <v>9.6</v>
      </c>
      <c r="D75" s="8" t="s">
        <v>160</v>
      </c>
      <c r="E75" s="18" t="s">
        <v>99</v>
      </c>
      <c r="F75" s="7"/>
      <c r="G75" s="7"/>
      <c r="H75" s="7"/>
      <c r="I75" s="330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ht="12.5" x14ac:dyDescent="0.25">
      <c r="A76" s="32" t="s">
        <v>1045</v>
      </c>
      <c r="B76" s="8" t="s">
        <v>101</v>
      </c>
      <c r="C76" s="17">
        <v>0.02</v>
      </c>
      <c r="D76" s="8" t="s">
        <v>63</v>
      </c>
      <c r="E76" s="18" t="s">
        <v>103</v>
      </c>
      <c r="F76" s="7"/>
      <c r="G76" s="7"/>
      <c r="H76" s="7"/>
      <c r="I76" s="17" t="s">
        <v>102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ht="20" x14ac:dyDescent="0.25">
      <c r="A77" s="325" t="s">
        <v>1046</v>
      </c>
      <c r="B77" s="8" t="s">
        <v>109</v>
      </c>
      <c r="C77" s="33" t="s">
        <v>161</v>
      </c>
      <c r="D77" s="8" t="s">
        <v>162</v>
      </c>
      <c r="E77" s="18" t="s">
        <v>113</v>
      </c>
      <c r="F77" s="23"/>
      <c r="G77" s="7"/>
      <c r="H77" s="7"/>
      <c r="I77" s="22" t="s">
        <v>112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20" x14ac:dyDescent="0.25">
      <c r="A78" s="320"/>
      <c r="B78" s="8" t="s">
        <v>114</v>
      </c>
      <c r="C78" s="33" t="s">
        <v>163</v>
      </c>
      <c r="D78" s="8" t="s">
        <v>162</v>
      </c>
      <c r="E78" s="18" t="s">
        <v>117</v>
      </c>
      <c r="F78" s="7"/>
      <c r="G78" s="7"/>
      <c r="H78" s="7"/>
      <c r="I78" s="22" t="s">
        <v>116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s="1" customFormat="1" ht="12.5" x14ac:dyDescent="0.25">
      <c r="A79" s="24" t="s">
        <v>1047</v>
      </c>
      <c r="B79" s="8" t="s">
        <v>119</v>
      </c>
      <c r="C79" s="25">
        <f>SUM('S3 - Energy use'!H4:H6)*5</f>
        <v>48.618000000000009</v>
      </c>
      <c r="D79" s="8" t="s">
        <v>92</v>
      </c>
      <c r="E79" s="18" t="s">
        <v>121</v>
      </c>
      <c r="F79" s="7"/>
      <c r="G79" s="7"/>
      <c r="H79" s="7"/>
      <c r="I79" s="22" t="s">
        <v>120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2.5" x14ac:dyDescent="0.25">
      <c r="A80" s="325" t="s">
        <v>1048</v>
      </c>
      <c r="B80" s="8" t="s">
        <v>123</v>
      </c>
      <c r="C80" s="34">
        <v>4.8000000000000001E-2</v>
      </c>
      <c r="D80" s="8" t="s">
        <v>63</v>
      </c>
      <c r="E80" s="18" t="s">
        <v>125</v>
      </c>
      <c r="F80" s="7"/>
      <c r="G80" s="7"/>
      <c r="H80" s="7"/>
      <c r="I80" s="17" t="s">
        <v>164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ht="12.5" x14ac:dyDescent="0.25">
      <c r="A81" s="320"/>
      <c r="B81" s="8" t="s">
        <v>126</v>
      </c>
      <c r="C81" s="20">
        <v>0.02</v>
      </c>
      <c r="D81" s="8" t="s">
        <v>63</v>
      </c>
      <c r="E81" s="18" t="s">
        <v>128</v>
      </c>
      <c r="F81" s="7"/>
      <c r="G81" s="7"/>
      <c r="H81" s="7"/>
      <c r="I81" s="17" t="s">
        <v>165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ht="12.5" x14ac:dyDescent="0.25">
      <c r="A83" s="263" t="s">
        <v>962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ht="12.5" x14ac:dyDescent="0.25">
      <c r="A84" s="8" t="s">
        <v>166</v>
      </c>
      <c r="B84" s="32" t="s">
        <v>1</v>
      </c>
      <c r="C84" s="35" t="s">
        <v>2</v>
      </c>
      <c r="D84" s="2" t="s">
        <v>3</v>
      </c>
      <c r="E84" s="2" t="s">
        <v>5</v>
      </c>
      <c r="F84" s="7"/>
      <c r="G84" s="7"/>
      <c r="H84" s="7"/>
      <c r="I84" s="32" t="s">
        <v>51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ht="12.5" x14ac:dyDescent="0.25">
      <c r="A85" s="325" t="s">
        <v>0</v>
      </c>
      <c r="B85" s="17" t="s">
        <v>9</v>
      </c>
      <c r="C85" s="18">
        <v>2</v>
      </c>
      <c r="D85" s="8" t="s">
        <v>167</v>
      </c>
      <c r="E85" s="8" t="s">
        <v>54</v>
      </c>
      <c r="F85" s="7"/>
      <c r="G85" s="7"/>
      <c r="H85" s="7"/>
      <c r="I85" s="326" t="s">
        <v>53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ht="12.5" x14ac:dyDescent="0.25">
      <c r="A86" s="319"/>
      <c r="B86" s="17" t="s">
        <v>35</v>
      </c>
      <c r="C86" s="18">
        <v>2</v>
      </c>
      <c r="D86" s="8" t="s">
        <v>167</v>
      </c>
      <c r="E86" s="8" t="s">
        <v>54</v>
      </c>
      <c r="F86" s="7"/>
      <c r="G86" s="7"/>
      <c r="H86" s="7"/>
      <c r="I86" s="32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ht="12.5" x14ac:dyDescent="0.25">
      <c r="A87" s="319"/>
      <c r="B87" s="17" t="s">
        <v>168</v>
      </c>
      <c r="C87" s="18">
        <f>0.002132/0.018</f>
        <v>0.11844444444444446</v>
      </c>
      <c r="D87" s="8" t="s">
        <v>63</v>
      </c>
      <c r="E87" s="8" t="s">
        <v>26</v>
      </c>
      <c r="F87" s="7"/>
      <c r="G87" s="7"/>
      <c r="H87" s="7"/>
      <c r="I87" s="32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ht="12.5" x14ac:dyDescent="0.25">
      <c r="A88" s="319"/>
      <c r="B88" s="17" t="s">
        <v>47</v>
      </c>
      <c r="C88" s="18">
        <v>8</v>
      </c>
      <c r="D88" s="8" t="s">
        <v>167</v>
      </c>
      <c r="E88" s="8" t="s">
        <v>54</v>
      </c>
      <c r="F88" s="7"/>
      <c r="G88" s="7"/>
      <c r="H88" s="7"/>
      <c r="I88" s="32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ht="12.5" x14ac:dyDescent="0.25">
      <c r="A89" s="319"/>
      <c r="B89" s="17" t="s">
        <v>169</v>
      </c>
      <c r="C89" s="18" t="s">
        <v>170</v>
      </c>
      <c r="D89" s="8" t="s">
        <v>11</v>
      </c>
      <c r="E89" s="8" t="s">
        <v>171</v>
      </c>
      <c r="F89" s="7"/>
      <c r="G89" s="7"/>
      <c r="H89" s="7"/>
      <c r="I89" s="32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ht="12.5" x14ac:dyDescent="0.25">
      <c r="A90" s="319"/>
      <c r="B90" s="17" t="s">
        <v>172</v>
      </c>
      <c r="C90" s="18">
        <v>3</v>
      </c>
      <c r="D90" s="8" t="s">
        <v>167</v>
      </c>
      <c r="E90" s="8" t="s">
        <v>56</v>
      </c>
      <c r="F90" s="7"/>
      <c r="G90" s="7"/>
      <c r="H90" s="7"/>
      <c r="I90" s="32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ht="12.5" x14ac:dyDescent="0.25">
      <c r="A91" s="320"/>
      <c r="B91" s="17" t="s">
        <v>59</v>
      </c>
      <c r="C91" s="18">
        <f>1*3.18/1.5</f>
        <v>2.12</v>
      </c>
      <c r="D91" s="8" t="s">
        <v>52</v>
      </c>
      <c r="E91" s="8" t="s">
        <v>60</v>
      </c>
      <c r="F91" s="259"/>
      <c r="G91" s="7"/>
      <c r="H91" s="7"/>
      <c r="I91" s="32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ht="12.5" x14ac:dyDescent="0.25">
      <c r="A92" s="325" t="s">
        <v>61</v>
      </c>
      <c r="B92" s="17" t="s">
        <v>62</v>
      </c>
      <c r="C92" s="18">
        <v>13</v>
      </c>
      <c r="D92" s="8" t="s">
        <v>63</v>
      </c>
      <c r="E92" s="8" t="s">
        <v>173</v>
      </c>
      <c r="F92" s="23"/>
      <c r="G92" s="7"/>
      <c r="H92" s="7"/>
      <c r="I92" s="329" t="s">
        <v>64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ht="12.5" x14ac:dyDescent="0.25">
      <c r="A93" s="319"/>
      <c r="B93" s="17" t="s">
        <v>66</v>
      </c>
      <c r="C93" s="18">
        <v>13</v>
      </c>
      <c r="D93" s="8" t="s">
        <v>63</v>
      </c>
      <c r="E93" s="8" t="s">
        <v>174</v>
      </c>
      <c r="F93" s="259"/>
      <c r="G93" s="7"/>
      <c r="H93" s="7"/>
      <c r="I93" s="32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ht="12.5" x14ac:dyDescent="0.25">
      <c r="A94" s="319"/>
      <c r="B94" s="17" t="s">
        <v>68</v>
      </c>
      <c r="C94" s="18">
        <v>0.93600000000000005</v>
      </c>
      <c r="D94" s="8" t="s">
        <v>69</v>
      </c>
      <c r="E94" s="8" t="s">
        <v>175</v>
      </c>
      <c r="F94" s="259"/>
      <c r="G94" s="7"/>
      <c r="H94" s="7"/>
      <c r="I94" s="32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ht="12.5" x14ac:dyDescent="0.25">
      <c r="A95" s="319"/>
      <c r="B95" s="17" t="s">
        <v>71</v>
      </c>
      <c r="C95" s="18">
        <v>0.35</v>
      </c>
      <c r="D95" s="8" t="s">
        <v>63</v>
      </c>
      <c r="E95" s="8" t="s">
        <v>153</v>
      </c>
      <c r="F95" s="259"/>
      <c r="G95" s="7"/>
      <c r="H95" s="7"/>
      <c r="I95" s="32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ht="12.5" x14ac:dyDescent="0.25">
      <c r="A96" s="319"/>
      <c r="B96" s="17" t="s">
        <v>73</v>
      </c>
      <c r="C96" s="18">
        <v>0.35</v>
      </c>
      <c r="D96" s="8" t="s">
        <v>63</v>
      </c>
      <c r="E96" s="8" t="s">
        <v>176</v>
      </c>
      <c r="F96" s="259"/>
      <c r="G96" s="7"/>
      <c r="H96" s="7"/>
      <c r="I96" s="32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ht="12.5" x14ac:dyDescent="0.25">
      <c r="A97" s="319"/>
      <c r="B97" s="17" t="s">
        <v>75</v>
      </c>
      <c r="C97" s="18">
        <v>0.13</v>
      </c>
      <c r="D97" s="8" t="s">
        <v>63</v>
      </c>
      <c r="E97" s="8" t="s">
        <v>177</v>
      </c>
      <c r="F97" s="259"/>
      <c r="G97" s="7"/>
      <c r="H97" s="7"/>
      <c r="I97" s="32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ht="12.5" x14ac:dyDescent="0.25">
      <c r="A98" s="319"/>
      <c r="B98" s="17" t="s">
        <v>77</v>
      </c>
      <c r="C98" s="18">
        <v>1.8</v>
      </c>
      <c r="D98" s="8" t="s">
        <v>78</v>
      </c>
      <c r="E98" s="8" t="s">
        <v>178</v>
      </c>
      <c r="F98" s="259"/>
      <c r="G98" s="7"/>
      <c r="H98" s="7"/>
      <c r="I98" s="32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ht="12.5" x14ac:dyDescent="0.25">
      <c r="A99" s="319"/>
      <c r="B99" s="17" t="s">
        <v>80</v>
      </c>
      <c r="C99" s="18">
        <v>1</v>
      </c>
      <c r="D99" s="8" t="s">
        <v>52</v>
      </c>
      <c r="E99" s="8" t="s">
        <v>179</v>
      </c>
      <c r="F99" s="259"/>
      <c r="G99" s="7"/>
      <c r="H99" s="7"/>
      <c r="I99" s="32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ht="12.5" x14ac:dyDescent="0.25">
      <c r="A100" s="319"/>
      <c r="B100" s="17" t="s">
        <v>82</v>
      </c>
      <c r="C100" s="18">
        <v>3</v>
      </c>
      <c r="D100" s="8" t="s">
        <v>78</v>
      </c>
      <c r="E100" s="8" t="s">
        <v>156</v>
      </c>
      <c r="F100" s="259"/>
      <c r="G100" s="7"/>
      <c r="H100" s="7"/>
      <c r="I100" s="32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ht="12.5" x14ac:dyDescent="0.25">
      <c r="A101" s="319"/>
      <c r="B101" s="17" t="s">
        <v>84</v>
      </c>
      <c r="C101" s="18">
        <v>1</v>
      </c>
      <c r="D101" s="8" t="s">
        <v>52</v>
      </c>
      <c r="E101" s="8" t="s">
        <v>157</v>
      </c>
      <c r="F101" s="259"/>
      <c r="G101" s="7"/>
      <c r="H101" s="7"/>
      <c r="I101" s="32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ht="12.5" x14ac:dyDescent="0.25">
      <c r="A102" s="319"/>
      <c r="B102" s="17" t="s">
        <v>180</v>
      </c>
      <c r="C102" s="18">
        <v>1</v>
      </c>
      <c r="D102" s="8" t="s">
        <v>52</v>
      </c>
      <c r="E102" s="8" t="s">
        <v>87</v>
      </c>
      <c r="F102" s="259"/>
      <c r="G102" s="7"/>
      <c r="H102" s="7"/>
      <c r="I102" s="32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ht="12.5" x14ac:dyDescent="0.25">
      <c r="A103" s="320"/>
      <c r="B103" s="17" t="s">
        <v>181</v>
      </c>
      <c r="C103" s="18">
        <v>3</v>
      </c>
      <c r="D103" s="8" t="s">
        <v>167</v>
      </c>
      <c r="E103" s="8" t="s">
        <v>89</v>
      </c>
      <c r="F103" s="259"/>
      <c r="G103" s="7"/>
      <c r="H103" s="7"/>
      <c r="I103" s="32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ht="12.5" x14ac:dyDescent="0.25">
      <c r="A104" s="325" t="s">
        <v>90</v>
      </c>
      <c r="B104" s="17" t="s">
        <v>91</v>
      </c>
      <c r="C104" s="18">
        <v>10</v>
      </c>
      <c r="D104" s="8" t="s">
        <v>92</v>
      </c>
      <c r="E104" s="8" t="s">
        <v>94</v>
      </c>
      <c r="F104" s="259"/>
      <c r="G104" s="7"/>
      <c r="H104" s="7"/>
      <c r="I104" s="329" t="s">
        <v>93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ht="12.5" x14ac:dyDescent="0.25">
      <c r="A105" s="319"/>
      <c r="B105" s="17" t="s">
        <v>95</v>
      </c>
      <c r="C105" s="18">
        <v>5</v>
      </c>
      <c r="D105" s="8" t="s">
        <v>96</v>
      </c>
      <c r="E105" s="8" t="s">
        <v>97</v>
      </c>
      <c r="F105" s="259"/>
      <c r="G105" s="7"/>
      <c r="H105" s="7"/>
      <c r="I105" s="32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ht="12.5" x14ac:dyDescent="0.25">
      <c r="A106" s="320"/>
      <c r="B106" s="17" t="s">
        <v>98</v>
      </c>
      <c r="C106" s="18">
        <v>5</v>
      </c>
      <c r="D106" s="8" t="s">
        <v>96</v>
      </c>
      <c r="E106" s="8" t="s">
        <v>99</v>
      </c>
      <c r="F106" s="259"/>
      <c r="G106" s="7"/>
      <c r="H106" s="7"/>
      <c r="I106" s="33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ht="12.5" x14ac:dyDescent="0.25">
      <c r="A107" s="325" t="s">
        <v>100</v>
      </c>
      <c r="B107" s="17" t="s">
        <v>101</v>
      </c>
      <c r="C107" s="18">
        <v>2.2000000000000002</v>
      </c>
      <c r="D107" s="8" t="s">
        <v>63</v>
      </c>
      <c r="E107" s="8" t="s">
        <v>103</v>
      </c>
      <c r="F107" s="259"/>
      <c r="G107" s="7"/>
      <c r="H107" s="7"/>
      <c r="I107" s="331" t="s">
        <v>102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ht="12.5" x14ac:dyDescent="0.25">
      <c r="A108" s="319"/>
      <c r="B108" s="17" t="s">
        <v>104</v>
      </c>
      <c r="C108" s="18">
        <v>0.16</v>
      </c>
      <c r="D108" s="8" t="s">
        <v>63</v>
      </c>
      <c r="E108" s="8" t="s">
        <v>105</v>
      </c>
      <c r="F108" s="259"/>
      <c r="G108" s="7"/>
      <c r="H108" s="7"/>
      <c r="I108" s="33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ht="12.5" x14ac:dyDescent="0.25">
      <c r="A109" s="320"/>
      <c r="B109" s="17" t="s">
        <v>106</v>
      </c>
      <c r="C109" s="18">
        <v>0.16</v>
      </c>
      <c r="D109" s="8" t="s">
        <v>63</v>
      </c>
      <c r="E109" s="8" t="s">
        <v>107</v>
      </c>
      <c r="F109" s="259"/>
      <c r="G109" s="7"/>
      <c r="H109" s="7"/>
      <c r="I109" s="333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ht="20" x14ac:dyDescent="0.25">
      <c r="A110" s="325" t="s">
        <v>108</v>
      </c>
      <c r="B110" s="17" t="s">
        <v>109</v>
      </c>
      <c r="C110" s="36" t="s">
        <v>182</v>
      </c>
      <c r="D110" s="8" t="s">
        <v>162</v>
      </c>
      <c r="E110" s="8" t="s">
        <v>113</v>
      </c>
      <c r="F110" s="23"/>
      <c r="G110" s="7"/>
      <c r="H110" s="7"/>
      <c r="I110" s="22" t="s">
        <v>112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ht="20" x14ac:dyDescent="0.25">
      <c r="A111" s="320"/>
      <c r="B111" s="17" t="s">
        <v>114</v>
      </c>
      <c r="C111" s="36" t="s">
        <v>183</v>
      </c>
      <c r="D111" s="8" t="s">
        <v>162</v>
      </c>
      <c r="E111" s="8" t="s">
        <v>117</v>
      </c>
      <c r="F111" s="260"/>
      <c r="G111" s="7"/>
      <c r="H111" s="7"/>
      <c r="I111" s="22" t="s">
        <v>116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s="1" customFormat="1" ht="12.5" x14ac:dyDescent="0.25">
      <c r="A112" s="24" t="s">
        <v>118</v>
      </c>
      <c r="B112" s="8" t="s">
        <v>119</v>
      </c>
      <c r="C112" s="25">
        <f>SUM('S3 - Energy use'!J4:J6)*5</f>
        <v>3560.7209999999995</v>
      </c>
      <c r="D112" s="8" t="s">
        <v>92</v>
      </c>
      <c r="E112" s="18" t="s">
        <v>121</v>
      </c>
      <c r="F112" s="261"/>
      <c r="G112" s="7"/>
      <c r="H112" s="7"/>
      <c r="I112" s="22" t="s">
        <v>120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ht="12.5" x14ac:dyDescent="0.25">
      <c r="A113" s="325" t="s">
        <v>122</v>
      </c>
      <c r="B113" s="17" t="s">
        <v>123</v>
      </c>
      <c r="C113" s="18">
        <v>8.4499999999999993</v>
      </c>
      <c r="D113" s="8" t="s">
        <v>63</v>
      </c>
      <c r="E113" s="8" t="s">
        <v>125</v>
      </c>
      <c r="F113" s="259"/>
      <c r="G113" s="7"/>
      <c r="H113" s="7"/>
      <c r="I113" s="17" t="s">
        <v>124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ht="12.5" x14ac:dyDescent="0.25">
      <c r="A114" s="319"/>
      <c r="B114" s="17" t="s">
        <v>126</v>
      </c>
      <c r="C114" s="18">
        <v>2.2000000000000002</v>
      </c>
      <c r="D114" s="8" t="s">
        <v>63</v>
      </c>
      <c r="E114" s="8" t="s">
        <v>128</v>
      </c>
      <c r="F114" s="259"/>
      <c r="G114" s="7"/>
      <c r="H114" s="7"/>
      <c r="I114" s="17" t="s">
        <v>127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ht="12.5" x14ac:dyDescent="0.25">
      <c r="A115" s="320"/>
      <c r="B115" s="17" t="s">
        <v>126</v>
      </c>
      <c r="C115" s="18">
        <v>0.16</v>
      </c>
      <c r="D115" s="8" t="s">
        <v>63</v>
      </c>
      <c r="E115" s="8" t="s">
        <v>129</v>
      </c>
      <c r="F115" s="7"/>
      <c r="G115" s="7"/>
      <c r="H115" s="7"/>
      <c r="I115" s="17" t="s">
        <v>127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ht="15.75" customHeight="1" x14ac:dyDescent="0.25">
      <c r="A117" s="264" t="s">
        <v>963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ht="15.75" customHeight="1" x14ac:dyDescent="0.25">
      <c r="A118" s="8" t="s">
        <v>184</v>
      </c>
      <c r="B118" s="32" t="s">
        <v>1</v>
      </c>
      <c r="C118" s="35" t="s">
        <v>2</v>
      </c>
      <c r="D118" s="2" t="s">
        <v>3</v>
      </c>
      <c r="E118" s="2" t="s">
        <v>5</v>
      </c>
      <c r="F118" s="7"/>
      <c r="G118" s="7"/>
      <c r="H118" s="7"/>
      <c r="I118" s="32" t="s">
        <v>51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ht="15.75" customHeight="1" x14ac:dyDescent="0.25">
      <c r="A119" s="341" t="s">
        <v>158</v>
      </c>
      <c r="B119" s="37" t="s">
        <v>185</v>
      </c>
      <c r="C119" s="37">
        <v>4.4999999999999998E-2</v>
      </c>
      <c r="D119" s="37" t="s">
        <v>63</v>
      </c>
      <c r="E119" s="37" t="s">
        <v>186</v>
      </c>
      <c r="F119" s="7"/>
      <c r="G119" s="7"/>
      <c r="H119" s="7"/>
      <c r="I119" s="345" t="s">
        <v>64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ht="15.75" customHeight="1" x14ac:dyDescent="0.25">
      <c r="A120" s="341" t="s">
        <v>187</v>
      </c>
      <c r="B120" s="37" t="s">
        <v>188</v>
      </c>
      <c r="C120" s="37">
        <v>0.01</v>
      </c>
      <c r="D120" s="37" t="s">
        <v>63</v>
      </c>
      <c r="E120" s="37" t="s">
        <v>189</v>
      </c>
      <c r="F120" s="7" t="s">
        <v>190</v>
      </c>
      <c r="G120" s="7"/>
      <c r="H120" s="7"/>
      <c r="I120" s="34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ht="15.75" customHeight="1" x14ac:dyDescent="0.25">
      <c r="A121" s="341" t="s">
        <v>187</v>
      </c>
      <c r="B121" s="37" t="s">
        <v>191</v>
      </c>
      <c r="C121" s="37">
        <v>0.01</v>
      </c>
      <c r="D121" s="37" t="s">
        <v>63</v>
      </c>
      <c r="E121" s="37" t="s">
        <v>192</v>
      </c>
      <c r="F121" s="7"/>
      <c r="G121" s="7"/>
      <c r="H121" s="7"/>
      <c r="I121" s="34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ht="15.75" customHeight="1" x14ac:dyDescent="0.25">
      <c r="A122" s="341" t="s">
        <v>187</v>
      </c>
      <c r="B122" s="37" t="s">
        <v>193</v>
      </c>
      <c r="C122" s="37">
        <v>2.5000000000000001E-2</v>
      </c>
      <c r="D122" s="37" t="s">
        <v>63</v>
      </c>
      <c r="E122" s="37" t="s">
        <v>194</v>
      </c>
      <c r="F122" s="7"/>
      <c r="G122" s="7"/>
      <c r="H122" s="7"/>
      <c r="I122" s="34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ht="12.5" x14ac:dyDescent="0.25">
      <c r="A123" s="341" t="s">
        <v>187</v>
      </c>
      <c r="B123" s="37" t="s">
        <v>195</v>
      </c>
      <c r="C123" s="37">
        <v>2.5000000000000001E-2</v>
      </c>
      <c r="D123" s="37" t="s">
        <v>63</v>
      </c>
      <c r="E123" s="37" t="s">
        <v>196</v>
      </c>
      <c r="F123" s="7"/>
      <c r="G123" s="7"/>
      <c r="H123" s="7"/>
      <c r="I123" s="34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ht="15.75" customHeight="1" x14ac:dyDescent="0.25">
      <c r="A124" s="341" t="s">
        <v>187</v>
      </c>
      <c r="B124" s="37" t="s">
        <v>197</v>
      </c>
      <c r="C124" s="37">
        <v>0.02</v>
      </c>
      <c r="D124" s="37" t="s">
        <v>63</v>
      </c>
      <c r="E124" s="37" t="s">
        <v>198</v>
      </c>
      <c r="F124" s="7"/>
      <c r="G124" s="7"/>
      <c r="H124" s="7"/>
      <c r="I124" s="34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ht="15.75" customHeight="1" x14ac:dyDescent="0.25">
      <c r="A125" s="341" t="s">
        <v>187</v>
      </c>
      <c r="B125" s="37" t="s">
        <v>73</v>
      </c>
      <c r="C125" s="37">
        <v>0.02</v>
      </c>
      <c r="D125" s="37" t="s">
        <v>63</v>
      </c>
      <c r="E125" s="37" t="s">
        <v>176</v>
      </c>
      <c r="F125" s="7"/>
      <c r="G125" s="7"/>
      <c r="H125" s="7"/>
      <c r="I125" s="34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ht="15.75" customHeight="1" x14ac:dyDescent="0.25">
      <c r="A126" s="341" t="s">
        <v>187</v>
      </c>
      <c r="B126" s="37" t="s">
        <v>199</v>
      </c>
      <c r="C126" s="37">
        <v>0.01</v>
      </c>
      <c r="D126" s="37" t="s">
        <v>63</v>
      </c>
      <c r="E126" s="37" t="s">
        <v>200</v>
      </c>
      <c r="F126" s="7"/>
      <c r="G126" s="7"/>
      <c r="H126" s="7"/>
      <c r="I126" s="34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ht="15.75" customHeight="1" x14ac:dyDescent="0.25">
      <c r="A127" s="341" t="s">
        <v>187</v>
      </c>
      <c r="B127" s="37" t="s">
        <v>201</v>
      </c>
      <c r="C127" s="37">
        <v>0.01</v>
      </c>
      <c r="D127" s="37" t="s">
        <v>63</v>
      </c>
      <c r="E127" s="37" t="s">
        <v>202</v>
      </c>
      <c r="F127" s="7"/>
      <c r="G127" s="7"/>
      <c r="H127" s="7"/>
      <c r="I127" s="34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ht="15.75" customHeight="1" x14ac:dyDescent="0.25">
      <c r="A128" s="7"/>
      <c r="B128" s="1"/>
      <c r="C128" s="1"/>
      <c r="D128" s="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ht="15.75" customHeight="1" x14ac:dyDescent="0.25">
      <c r="A129" s="264" t="s">
        <v>964</v>
      </c>
      <c r="B129" s="38"/>
      <c r="C129" s="38"/>
      <c r="D129" s="3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ht="15.75" customHeight="1" x14ac:dyDescent="0.25">
      <c r="A130" s="8" t="s">
        <v>203</v>
      </c>
      <c r="B130" s="32" t="s">
        <v>1</v>
      </c>
      <c r="C130" s="35" t="s">
        <v>2</v>
      </c>
      <c r="D130" s="2" t="s">
        <v>3</v>
      </c>
      <c r="E130" s="2" t="s">
        <v>5</v>
      </c>
      <c r="F130" s="7"/>
      <c r="G130" s="7"/>
      <c r="H130" s="7"/>
      <c r="I130" s="32" t="s">
        <v>51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ht="15.75" customHeight="1" x14ac:dyDescent="0.25">
      <c r="A131" s="341" t="s">
        <v>181</v>
      </c>
      <c r="B131" s="37" t="s">
        <v>197</v>
      </c>
      <c r="C131" s="37">
        <v>0.193</v>
      </c>
      <c r="D131" s="37" t="s">
        <v>63</v>
      </c>
      <c r="E131" s="37" t="s">
        <v>198</v>
      </c>
      <c r="F131" s="7"/>
      <c r="G131" s="7"/>
      <c r="H131" s="7"/>
      <c r="I131" s="342" t="s">
        <v>64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ht="15.75" customHeight="1" x14ac:dyDescent="0.25">
      <c r="A132" s="341"/>
      <c r="B132" s="37" t="s">
        <v>204</v>
      </c>
      <c r="C132" s="37">
        <v>0.193</v>
      </c>
      <c r="D132" s="37" t="s">
        <v>63</v>
      </c>
      <c r="E132" s="37" t="s">
        <v>205</v>
      </c>
      <c r="F132" s="7"/>
      <c r="G132" s="7"/>
      <c r="H132" s="7"/>
      <c r="I132" s="343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ht="15.75" customHeight="1" x14ac:dyDescent="0.25">
      <c r="A133" s="341" t="s">
        <v>206</v>
      </c>
      <c r="B133" s="37" t="s">
        <v>197</v>
      </c>
      <c r="C133" s="37">
        <v>0.13900000000000001</v>
      </c>
      <c r="D133" s="37" t="s">
        <v>63</v>
      </c>
      <c r="E133" s="37" t="s">
        <v>198</v>
      </c>
      <c r="F133" s="7"/>
      <c r="G133" s="7"/>
      <c r="H133" s="7"/>
      <c r="I133" s="343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ht="15.75" customHeight="1" x14ac:dyDescent="0.25">
      <c r="A134" s="341"/>
      <c r="B134" s="37" t="s">
        <v>204</v>
      </c>
      <c r="C134" s="37">
        <v>0.13900000000000001</v>
      </c>
      <c r="D134" s="37" t="s">
        <v>63</v>
      </c>
      <c r="E134" s="37" t="s">
        <v>205</v>
      </c>
      <c r="F134" s="7"/>
      <c r="G134" s="7"/>
      <c r="H134" s="7"/>
      <c r="I134" s="34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ht="15.75" customHeight="1" x14ac:dyDescent="0.25">
      <c r="A136" s="264" t="s">
        <v>965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ht="15.75" customHeight="1" x14ac:dyDescent="0.25">
      <c r="A137" s="2" t="s">
        <v>207</v>
      </c>
      <c r="B137" s="32" t="s">
        <v>1</v>
      </c>
      <c r="C137" s="35" t="s">
        <v>2</v>
      </c>
      <c r="D137" s="2" t="s">
        <v>3</v>
      </c>
      <c r="E137" s="2" t="s">
        <v>5</v>
      </c>
      <c r="F137" s="7"/>
      <c r="G137" s="7"/>
      <c r="H137" s="7"/>
      <c r="I137" s="32" t="s">
        <v>51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ht="15.75" customHeight="1" x14ac:dyDescent="0.25">
      <c r="A138" s="341" t="s">
        <v>180</v>
      </c>
      <c r="B138" s="37" t="s">
        <v>188</v>
      </c>
      <c r="C138" s="37">
        <v>0.77500000000000002</v>
      </c>
      <c r="D138" s="37" t="s">
        <v>63</v>
      </c>
      <c r="E138" s="37" t="s">
        <v>189</v>
      </c>
      <c r="F138" s="7"/>
      <c r="G138" s="7"/>
      <c r="H138" s="7"/>
      <c r="I138" s="342" t="s">
        <v>64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ht="15.75" customHeight="1" x14ac:dyDescent="0.25">
      <c r="A139" s="341"/>
      <c r="B139" s="37" t="s">
        <v>191</v>
      </c>
      <c r="C139" s="37">
        <v>0.77500000000000002</v>
      </c>
      <c r="D139" s="37" t="s">
        <v>63</v>
      </c>
      <c r="E139" s="37" t="s">
        <v>192</v>
      </c>
      <c r="F139" s="7"/>
      <c r="G139" s="7"/>
      <c r="H139" s="7"/>
      <c r="I139" s="343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ht="15.75" customHeight="1" x14ac:dyDescent="0.25">
      <c r="A140" s="341"/>
      <c r="B140" s="37" t="s">
        <v>193</v>
      </c>
      <c r="C140" s="37">
        <v>0.125</v>
      </c>
      <c r="D140" s="37" t="s">
        <v>63</v>
      </c>
      <c r="E140" s="37" t="s">
        <v>194</v>
      </c>
      <c r="F140" s="7"/>
      <c r="G140" s="7"/>
      <c r="H140" s="7"/>
      <c r="I140" s="343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ht="15.75" customHeight="1" x14ac:dyDescent="0.25">
      <c r="A141" s="341"/>
      <c r="B141" s="37" t="s">
        <v>195</v>
      </c>
      <c r="C141" s="37">
        <v>0.125</v>
      </c>
      <c r="D141" s="37" t="s">
        <v>63</v>
      </c>
      <c r="E141" s="37" t="s">
        <v>196</v>
      </c>
      <c r="F141" s="7"/>
      <c r="G141" s="7"/>
      <c r="H141" s="7"/>
      <c r="I141" s="343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ht="15.75" customHeight="1" x14ac:dyDescent="0.25">
      <c r="A142" s="341"/>
      <c r="B142" s="37" t="s">
        <v>181</v>
      </c>
      <c r="C142" s="37">
        <v>2</v>
      </c>
      <c r="D142" s="37" t="s">
        <v>167</v>
      </c>
      <c r="E142" s="37" t="s">
        <v>89</v>
      </c>
      <c r="F142" s="7"/>
      <c r="G142" s="7"/>
      <c r="H142" s="7"/>
      <c r="I142" s="343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ht="15.75" customHeight="1" x14ac:dyDescent="0.25">
      <c r="A143" s="341" t="s">
        <v>86</v>
      </c>
      <c r="B143" s="37" t="s">
        <v>188</v>
      </c>
      <c r="C143" s="37">
        <v>0.46300000000000002</v>
      </c>
      <c r="D143" s="37" t="s">
        <v>63</v>
      </c>
      <c r="E143" s="37" t="s">
        <v>189</v>
      </c>
      <c r="F143" s="7"/>
      <c r="G143" s="7"/>
      <c r="H143" s="7"/>
      <c r="I143" s="343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ht="15.75" customHeight="1" x14ac:dyDescent="0.25">
      <c r="A144" s="341"/>
      <c r="B144" s="37" t="s">
        <v>191</v>
      </c>
      <c r="C144" s="37">
        <v>0.46300000000000002</v>
      </c>
      <c r="D144" s="37" t="s">
        <v>63</v>
      </c>
      <c r="E144" s="37" t="s">
        <v>192</v>
      </c>
      <c r="F144" s="7"/>
      <c r="G144" s="7"/>
      <c r="H144" s="7"/>
      <c r="I144" s="343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ht="15.75" customHeight="1" x14ac:dyDescent="0.25">
      <c r="A145" s="341"/>
      <c r="B145" s="37" t="s">
        <v>193</v>
      </c>
      <c r="C145" s="37">
        <v>0.107</v>
      </c>
      <c r="D145" s="37" t="s">
        <v>63</v>
      </c>
      <c r="E145" s="37" t="s">
        <v>194</v>
      </c>
      <c r="F145" s="7"/>
      <c r="G145" s="7"/>
      <c r="H145" s="7"/>
      <c r="I145" s="343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ht="15.75" customHeight="1" x14ac:dyDescent="0.25">
      <c r="A146" s="341"/>
      <c r="B146" s="37" t="s">
        <v>195</v>
      </c>
      <c r="C146" s="37">
        <v>0.107</v>
      </c>
      <c r="D146" s="37" t="s">
        <v>63</v>
      </c>
      <c r="E146" s="37" t="s">
        <v>196</v>
      </c>
      <c r="F146" s="7"/>
      <c r="G146" s="7"/>
      <c r="H146" s="7"/>
      <c r="I146" s="343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ht="15.75" customHeight="1" x14ac:dyDescent="0.25">
      <c r="A147" s="341"/>
      <c r="B147" s="37" t="s">
        <v>88</v>
      </c>
      <c r="C147" s="37">
        <v>1</v>
      </c>
      <c r="D147" s="37" t="s">
        <v>52</v>
      </c>
      <c r="E147" s="37" t="s">
        <v>89</v>
      </c>
      <c r="F147" s="7"/>
      <c r="G147" s="7"/>
      <c r="H147" s="7"/>
      <c r="I147" s="34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ht="15.75" customHeight="1" x14ac:dyDescent="0.25">
      <c r="E149" s="7"/>
      <c r="F149" s="7"/>
      <c r="G149" s="7"/>
      <c r="H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ht="15.75" customHeight="1" x14ac:dyDescent="0.25">
      <c r="E150" s="7"/>
      <c r="F150" s="7"/>
      <c r="G150" s="7"/>
      <c r="H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ht="15.75" customHeight="1" x14ac:dyDescent="0.25">
      <c r="E151" s="7"/>
      <c r="F151" s="7"/>
      <c r="G151" s="7"/>
      <c r="H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ht="15.75" customHeight="1" x14ac:dyDescent="0.25">
      <c r="E152" s="7"/>
      <c r="F152" s="7"/>
      <c r="G152" s="7"/>
      <c r="H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ht="15.75" customHeight="1" x14ac:dyDescent="0.25">
      <c r="E153" s="7"/>
      <c r="F153" s="7"/>
      <c r="G153" s="7"/>
      <c r="H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</sheetData>
  <mergeCells count="40">
    <mergeCell ref="A138:A142"/>
    <mergeCell ref="I138:I147"/>
    <mergeCell ref="A143:A147"/>
    <mergeCell ref="A110:A111"/>
    <mergeCell ref="A113:A115"/>
    <mergeCell ref="A119:A127"/>
    <mergeCell ref="I119:I127"/>
    <mergeCell ref="A131:A132"/>
    <mergeCell ref="I131:I134"/>
    <mergeCell ref="A133:A134"/>
    <mergeCell ref="A92:A103"/>
    <mergeCell ref="I92:I103"/>
    <mergeCell ref="A104:A106"/>
    <mergeCell ref="I104:I106"/>
    <mergeCell ref="A107:A109"/>
    <mergeCell ref="I107:I109"/>
    <mergeCell ref="A73:A75"/>
    <mergeCell ref="I73:I75"/>
    <mergeCell ref="A77:A78"/>
    <mergeCell ref="A80:A81"/>
    <mergeCell ref="A85:A91"/>
    <mergeCell ref="I85:I91"/>
    <mergeCell ref="A49:A50"/>
    <mergeCell ref="A52:A54"/>
    <mergeCell ref="A58:A67"/>
    <mergeCell ref="I58:I67"/>
    <mergeCell ref="A68:A72"/>
    <mergeCell ref="I68:I72"/>
    <mergeCell ref="A31:A42"/>
    <mergeCell ref="I31:I42"/>
    <mergeCell ref="A43:A45"/>
    <mergeCell ref="I43:I45"/>
    <mergeCell ref="A46:A48"/>
    <mergeCell ref="I46:I48"/>
    <mergeCell ref="A3:A11"/>
    <mergeCell ref="I3:I21"/>
    <mergeCell ref="A12:A19"/>
    <mergeCell ref="A20:A21"/>
    <mergeCell ref="A25:A30"/>
    <mergeCell ref="I25:I30"/>
  </mergeCells>
  <hyperlinks>
    <hyperlink ref="H61" r:id="rId1" xr:uid="{00000000-0004-0000-0000-000000000000}"/>
    <hyperlink ref="H65" r:id="rId2" xr:uid="{00000000-0004-0000-0000-000001000000}"/>
  </hyperlinks>
  <pageMargins left="0.7" right="0.7" top="0.75" bottom="0.75" header="0.3" footer="0.3"/>
  <pageSetup paperSize="9"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4"/>
  <sheetViews>
    <sheetView zoomScale="70" zoomScaleNormal="70" workbookViewId="0">
      <selection activeCell="I20" sqref="I20"/>
    </sheetView>
  </sheetViews>
  <sheetFormatPr baseColWidth="10" defaultRowHeight="12.5" x14ac:dyDescent="0.25"/>
  <cols>
    <col min="15" max="15" width="12.26953125" bestFit="1" customWidth="1"/>
    <col min="16" max="16" width="17.453125" bestFit="1" customWidth="1"/>
    <col min="17" max="17" width="71.81640625" bestFit="1" customWidth="1"/>
  </cols>
  <sheetData>
    <row r="1" spans="1:17" x14ac:dyDescent="0.25">
      <c r="A1" s="268" t="s">
        <v>889</v>
      </c>
      <c r="B1" s="269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</row>
    <row r="2" spans="1:17" x14ac:dyDescent="0.25">
      <c r="A2" s="144" t="s">
        <v>890</v>
      </c>
      <c r="B2" s="381" t="s">
        <v>891</v>
      </c>
      <c r="C2" s="381"/>
      <c r="D2" s="381"/>
      <c r="E2" s="381" t="s">
        <v>892</v>
      </c>
      <c r="F2" s="381"/>
      <c r="G2" s="381"/>
      <c r="H2" s="381" t="s">
        <v>893</v>
      </c>
      <c r="I2" s="381"/>
      <c r="J2" s="348"/>
      <c r="K2" s="382" t="s">
        <v>91</v>
      </c>
      <c r="L2" s="383"/>
      <c r="M2" s="384"/>
      <c r="N2" s="145"/>
      <c r="O2" s="145"/>
      <c r="P2" s="145"/>
      <c r="Q2" s="145"/>
    </row>
    <row r="3" spans="1:17" x14ac:dyDescent="0.25">
      <c r="A3" s="144"/>
      <c r="B3" s="144" t="s">
        <v>894</v>
      </c>
      <c r="C3" s="144" t="s">
        <v>2</v>
      </c>
      <c r="D3" s="144" t="s">
        <v>895</v>
      </c>
      <c r="E3" s="144" t="s">
        <v>894</v>
      </c>
      <c r="F3" s="144" t="s">
        <v>2</v>
      </c>
      <c r="G3" s="144" t="s">
        <v>895</v>
      </c>
      <c r="H3" s="144" t="s">
        <v>894</v>
      </c>
      <c r="I3" s="144" t="s">
        <v>2</v>
      </c>
      <c r="J3" s="40" t="s">
        <v>895</v>
      </c>
      <c r="K3" s="144" t="s">
        <v>894</v>
      </c>
      <c r="L3" s="144" t="s">
        <v>896</v>
      </c>
      <c r="M3" s="40" t="s">
        <v>897</v>
      </c>
      <c r="N3" s="145"/>
      <c r="O3" s="40" t="s">
        <v>898</v>
      </c>
      <c r="P3" s="146" t="s">
        <v>899</v>
      </c>
      <c r="Q3" s="41" t="s">
        <v>900</v>
      </c>
    </row>
    <row r="4" spans="1:17" x14ac:dyDescent="0.25">
      <c r="A4" s="147">
        <v>1</v>
      </c>
      <c r="B4" s="148">
        <v>1500</v>
      </c>
      <c r="C4" s="149">
        <v>600</v>
      </c>
      <c r="D4" s="150">
        <f t="shared" ref="D4:D12" si="0">C4*B4/1000</f>
        <v>900</v>
      </c>
      <c r="E4" s="151">
        <v>0</v>
      </c>
      <c r="F4" s="152">
        <v>0</v>
      </c>
      <c r="G4" s="153">
        <f t="shared" ref="G4:G12" si="1">F4*E4/1000</f>
        <v>0</v>
      </c>
      <c r="H4" s="154">
        <v>0</v>
      </c>
      <c r="I4" s="152">
        <v>0</v>
      </c>
      <c r="J4" s="155">
        <f t="shared" ref="J4:J12" si="2">I4*H4/1000</f>
        <v>0</v>
      </c>
      <c r="K4" s="154">
        <v>0.12</v>
      </c>
      <c r="L4" s="299">
        <f>'S3 - Energy use'!$F$4</f>
        <v>303258.06</v>
      </c>
      <c r="M4" s="156">
        <f t="shared" ref="M4:M12" si="3">L4*K4/1000</f>
        <v>36.390967199999999</v>
      </c>
      <c r="N4" s="145"/>
      <c r="O4" s="157">
        <f t="shared" ref="O4:O12" si="4">D4+G4+J4</f>
        <v>900</v>
      </c>
      <c r="P4" s="158">
        <f t="shared" ref="P4:P12" si="5">O4+M4</f>
        <v>936.39096719999998</v>
      </c>
      <c r="Q4" s="159" t="s">
        <v>901</v>
      </c>
    </row>
    <row r="5" spans="1:17" x14ac:dyDescent="0.25">
      <c r="A5" s="160">
        <v>2</v>
      </c>
      <c r="B5" s="161">
        <v>1250</v>
      </c>
      <c r="C5" s="162">
        <v>600</v>
      </c>
      <c r="D5" s="163">
        <f t="shared" si="0"/>
        <v>750</v>
      </c>
      <c r="E5" s="164">
        <v>0</v>
      </c>
      <c r="F5" s="165">
        <v>0</v>
      </c>
      <c r="G5" s="166">
        <f t="shared" si="1"/>
        <v>0</v>
      </c>
      <c r="H5" s="167">
        <v>0</v>
      </c>
      <c r="I5" s="165">
        <v>0</v>
      </c>
      <c r="J5" s="168">
        <f t="shared" si="2"/>
        <v>0</v>
      </c>
      <c r="K5" s="167">
        <f t="shared" ref="K5:K12" si="6">$K$4</f>
        <v>0.12</v>
      </c>
      <c r="L5" s="299">
        <f>'S3 - Energy use'!$F$4</f>
        <v>303258.06</v>
      </c>
      <c r="M5" s="169">
        <f t="shared" si="3"/>
        <v>36.390967199999999</v>
      </c>
      <c r="N5" s="145"/>
      <c r="O5" s="170">
        <f t="shared" si="4"/>
        <v>750</v>
      </c>
      <c r="P5" s="171">
        <f t="shared" si="5"/>
        <v>786.39096719999998</v>
      </c>
      <c r="Q5" s="172" t="s">
        <v>902</v>
      </c>
    </row>
    <row r="6" spans="1:17" ht="13" thickBot="1" x14ac:dyDescent="0.3">
      <c r="A6" s="173">
        <v>3</v>
      </c>
      <c r="B6" s="174">
        <v>1000</v>
      </c>
      <c r="C6" s="175">
        <v>600</v>
      </c>
      <c r="D6" s="176">
        <f t="shared" si="0"/>
        <v>600</v>
      </c>
      <c r="E6" s="177">
        <v>0</v>
      </c>
      <c r="F6" s="178">
        <v>0</v>
      </c>
      <c r="G6" s="179">
        <f t="shared" si="1"/>
        <v>0</v>
      </c>
      <c r="H6" s="180">
        <v>0</v>
      </c>
      <c r="I6" s="178">
        <v>0</v>
      </c>
      <c r="J6" s="181">
        <f t="shared" si="2"/>
        <v>0</v>
      </c>
      <c r="K6" s="180">
        <f t="shared" si="6"/>
        <v>0.12</v>
      </c>
      <c r="L6" s="299">
        <f>'S3 - Energy use'!$F$4</f>
        <v>303258.06</v>
      </c>
      <c r="M6" s="182">
        <f t="shared" si="3"/>
        <v>36.390967199999999</v>
      </c>
      <c r="N6" s="145"/>
      <c r="O6" s="183">
        <f t="shared" si="4"/>
        <v>600</v>
      </c>
      <c r="P6" s="184">
        <f t="shared" si="5"/>
        <v>636.39096719999998</v>
      </c>
      <c r="Q6" s="185" t="s">
        <v>903</v>
      </c>
    </row>
    <row r="7" spans="1:17" x14ac:dyDescent="0.25">
      <c r="A7" s="186">
        <v>4</v>
      </c>
      <c r="B7" s="187">
        <v>0</v>
      </c>
      <c r="C7" s="188">
        <v>0</v>
      </c>
      <c r="D7" s="189">
        <f t="shared" si="0"/>
        <v>0</v>
      </c>
      <c r="E7" s="190">
        <v>80</v>
      </c>
      <c r="F7" s="191">
        <v>1200</v>
      </c>
      <c r="G7" s="192">
        <f t="shared" si="1"/>
        <v>96</v>
      </c>
      <c r="H7" s="193">
        <v>35000</v>
      </c>
      <c r="I7" s="191">
        <v>8</v>
      </c>
      <c r="J7" s="194">
        <f t="shared" si="2"/>
        <v>280</v>
      </c>
      <c r="K7" s="193">
        <f t="shared" si="6"/>
        <v>0.12</v>
      </c>
      <c r="L7" s="194">
        <f>'S3 - Energy use'!$K$4</f>
        <v>50535.126000000004</v>
      </c>
      <c r="M7" s="195">
        <f t="shared" si="3"/>
        <v>6.0642151200000001</v>
      </c>
      <c r="N7" s="145"/>
      <c r="O7" s="196">
        <f t="shared" si="4"/>
        <v>376</v>
      </c>
      <c r="P7" s="197">
        <f t="shared" si="5"/>
        <v>382.06421511999997</v>
      </c>
      <c r="Q7" s="198" t="s">
        <v>904</v>
      </c>
    </row>
    <row r="8" spans="1:17" x14ac:dyDescent="0.25">
      <c r="A8" s="199">
        <v>5</v>
      </c>
      <c r="B8" s="200">
        <v>0</v>
      </c>
      <c r="C8" s="201">
        <v>0</v>
      </c>
      <c r="D8" s="202">
        <f t="shared" si="0"/>
        <v>0</v>
      </c>
      <c r="E8" s="203">
        <v>80</v>
      </c>
      <c r="F8" s="204">
        <v>600</v>
      </c>
      <c r="G8" s="205">
        <f t="shared" si="1"/>
        <v>48</v>
      </c>
      <c r="H8" s="206">
        <v>35000</v>
      </c>
      <c r="I8" s="204">
        <v>8</v>
      </c>
      <c r="J8" s="207">
        <f t="shared" si="2"/>
        <v>280</v>
      </c>
      <c r="K8" s="206">
        <f t="shared" si="6"/>
        <v>0.12</v>
      </c>
      <c r="L8" s="207">
        <f>'S3 - Energy use'!$K$4</f>
        <v>50535.126000000004</v>
      </c>
      <c r="M8" s="208">
        <f t="shared" si="3"/>
        <v>6.0642151200000001</v>
      </c>
      <c r="N8" s="145"/>
      <c r="O8" s="209">
        <f t="shared" si="4"/>
        <v>328</v>
      </c>
      <c r="P8" s="210">
        <f t="shared" si="5"/>
        <v>334.06421511999997</v>
      </c>
      <c r="Q8" s="211" t="s">
        <v>905</v>
      </c>
    </row>
    <row r="9" spans="1:17" x14ac:dyDescent="0.25">
      <c r="A9" s="160">
        <v>6</v>
      </c>
      <c r="B9" s="164">
        <v>0</v>
      </c>
      <c r="C9" s="165">
        <v>0</v>
      </c>
      <c r="D9" s="166">
        <f t="shared" si="0"/>
        <v>0</v>
      </c>
      <c r="E9" s="161">
        <v>70</v>
      </c>
      <c r="F9" s="162">
        <v>1200</v>
      </c>
      <c r="G9" s="163">
        <f t="shared" si="1"/>
        <v>84</v>
      </c>
      <c r="H9" s="212">
        <v>28500</v>
      </c>
      <c r="I9" s="162">
        <v>8</v>
      </c>
      <c r="J9" s="213">
        <f t="shared" si="2"/>
        <v>228</v>
      </c>
      <c r="K9" s="212">
        <f t="shared" si="6"/>
        <v>0.12</v>
      </c>
      <c r="L9" s="213">
        <f>'S3 - Energy use'!$K$4</f>
        <v>50535.126000000004</v>
      </c>
      <c r="M9" s="214">
        <f t="shared" si="3"/>
        <v>6.0642151200000001</v>
      </c>
      <c r="N9" s="145"/>
      <c r="O9" s="170">
        <f t="shared" si="4"/>
        <v>312</v>
      </c>
      <c r="P9" s="171">
        <f t="shared" si="5"/>
        <v>318.06421511999997</v>
      </c>
      <c r="Q9" s="172" t="s">
        <v>906</v>
      </c>
    </row>
    <row r="10" spans="1:17" x14ac:dyDescent="0.25">
      <c r="A10" s="199">
        <v>7</v>
      </c>
      <c r="B10" s="200">
        <v>0</v>
      </c>
      <c r="C10" s="201">
        <v>0</v>
      </c>
      <c r="D10" s="202">
        <f t="shared" si="0"/>
        <v>0</v>
      </c>
      <c r="E10" s="203">
        <v>70</v>
      </c>
      <c r="F10" s="204">
        <v>600</v>
      </c>
      <c r="G10" s="205">
        <f t="shared" si="1"/>
        <v>42</v>
      </c>
      <c r="H10" s="206">
        <v>28500</v>
      </c>
      <c r="I10" s="204">
        <v>8</v>
      </c>
      <c r="J10" s="207">
        <f t="shared" si="2"/>
        <v>228</v>
      </c>
      <c r="K10" s="206">
        <f t="shared" si="6"/>
        <v>0.12</v>
      </c>
      <c r="L10" s="207">
        <f>'S3 - Energy use'!$K$4</f>
        <v>50535.126000000004</v>
      </c>
      <c r="M10" s="208">
        <f t="shared" si="3"/>
        <v>6.0642151200000001</v>
      </c>
      <c r="N10" s="145"/>
      <c r="O10" s="209">
        <f t="shared" si="4"/>
        <v>270</v>
      </c>
      <c r="P10" s="210">
        <f t="shared" si="5"/>
        <v>276.06421511999997</v>
      </c>
      <c r="Q10" s="211" t="s">
        <v>907</v>
      </c>
    </row>
    <row r="11" spans="1:17" x14ac:dyDescent="0.25">
      <c r="A11" s="160">
        <v>8</v>
      </c>
      <c r="B11" s="164">
        <v>0</v>
      </c>
      <c r="C11" s="165">
        <v>0</v>
      </c>
      <c r="D11" s="166">
        <f t="shared" si="0"/>
        <v>0</v>
      </c>
      <c r="E11" s="161">
        <v>70</v>
      </c>
      <c r="F11" s="162">
        <v>1200</v>
      </c>
      <c r="G11" s="163">
        <f t="shared" si="1"/>
        <v>84</v>
      </c>
      <c r="H11" s="212">
        <v>25000</v>
      </c>
      <c r="I11" s="162">
        <v>8</v>
      </c>
      <c r="J11" s="213">
        <f t="shared" si="2"/>
        <v>200</v>
      </c>
      <c r="K11" s="212">
        <f t="shared" si="6"/>
        <v>0.12</v>
      </c>
      <c r="L11" s="213">
        <f>'S3 - Energy use'!$K$4</f>
        <v>50535.126000000004</v>
      </c>
      <c r="M11" s="214">
        <f t="shared" si="3"/>
        <v>6.0642151200000001</v>
      </c>
      <c r="N11" s="145"/>
      <c r="O11" s="170">
        <f t="shared" si="4"/>
        <v>284</v>
      </c>
      <c r="P11" s="171">
        <f t="shared" si="5"/>
        <v>290.06421511999997</v>
      </c>
      <c r="Q11" s="172" t="s">
        <v>908</v>
      </c>
    </row>
    <row r="12" spans="1:17" ht="13" thickBot="1" x14ac:dyDescent="0.3">
      <c r="A12" s="215">
        <v>9</v>
      </c>
      <c r="B12" s="216">
        <v>0</v>
      </c>
      <c r="C12" s="217">
        <v>0</v>
      </c>
      <c r="D12" s="218">
        <f t="shared" si="0"/>
        <v>0</v>
      </c>
      <c r="E12" s="219">
        <v>70</v>
      </c>
      <c r="F12" s="220">
        <v>600</v>
      </c>
      <c r="G12" s="221">
        <f t="shared" si="1"/>
        <v>42</v>
      </c>
      <c r="H12" s="222">
        <v>25000</v>
      </c>
      <c r="I12" s="220">
        <v>8</v>
      </c>
      <c r="J12" s="223">
        <f t="shared" si="2"/>
        <v>200</v>
      </c>
      <c r="K12" s="222">
        <f t="shared" si="6"/>
        <v>0.12</v>
      </c>
      <c r="L12" s="223">
        <f>'S3 - Energy use'!$K$4</f>
        <v>50535.126000000004</v>
      </c>
      <c r="M12" s="224">
        <f t="shared" si="3"/>
        <v>6.0642151200000001</v>
      </c>
      <c r="N12" s="145"/>
      <c r="O12" s="225">
        <f t="shared" si="4"/>
        <v>242</v>
      </c>
      <c r="P12" s="226">
        <f t="shared" si="5"/>
        <v>248.06421512</v>
      </c>
      <c r="Q12" s="227" t="s">
        <v>909</v>
      </c>
    </row>
    <row r="13" spans="1:17" x14ac:dyDescent="0.25">
      <c r="A13" s="380" t="s">
        <v>910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380"/>
      <c r="O13" s="380"/>
    </row>
    <row r="15" spans="1:17" x14ac:dyDescent="0.25">
      <c r="A15" s="143"/>
      <c r="B15" s="143"/>
      <c r="C15" s="143"/>
    </row>
    <row r="16" spans="1:17" x14ac:dyDescent="0.25">
      <c r="A16" s="375" t="s">
        <v>911</v>
      </c>
      <c r="B16" s="375"/>
      <c r="C16" s="375"/>
    </row>
    <row r="17" spans="1:9" x14ac:dyDescent="0.25">
      <c r="A17" s="228" t="s">
        <v>259</v>
      </c>
      <c r="B17" s="228" t="s">
        <v>912</v>
      </c>
      <c r="C17" s="144" t="s">
        <v>900</v>
      </c>
    </row>
    <row r="18" spans="1:9" x14ac:dyDescent="0.25">
      <c r="A18" s="229" t="s">
        <v>913</v>
      </c>
      <c r="B18" s="230">
        <v>55</v>
      </c>
      <c r="C18" s="231" t="s">
        <v>914</v>
      </c>
    </row>
    <row r="19" spans="1:9" x14ac:dyDescent="0.25">
      <c r="A19" s="232" t="s">
        <v>915</v>
      </c>
      <c r="B19" s="233">
        <v>10</v>
      </c>
      <c r="C19" s="163" t="s">
        <v>916</v>
      </c>
    </row>
    <row r="20" spans="1:9" x14ac:dyDescent="0.25">
      <c r="A20" s="232" t="s">
        <v>917</v>
      </c>
      <c r="B20" s="233">
        <f>0.375*0.2+0.05*30</f>
        <v>1.575</v>
      </c>
      <c r="C20" s="163" t="s">
        <v>918</v>
      </c>
    </row>
    <row r="21" spans="1:9" x14ac:dyDescent="0.25">
      <c r="A21" s="234" t="s">
        <v>919</v>
      </c>
      <c r="B21" s="235">
        <v>10</v>
      </c>
      <c r="C21" s="236" t="s">
        <v>920</v>
      </c>
      <c r="I21" s="1"/>
    </row>
    <row r="22" spans="1:9" x14ac:dyDescent="0.25">
      <c r="A22" s="377" t="s">
        <v>921</v>
      </c>
      <c r="B22" s="378"/>
      <c r="C22" s="379"/>
    </row>
    <row r="23" spans="1:9" x14ac:dyDescent="0.25">
      <c r="A23" s="237" t="s">
        <v>922</v>
      </c>
      <c r="B23" s="143"/>
      <c r="C23" s="143"/>
    </row>
    <row r="24" spans="1:9" x14ac:dyDescent="0.25">
      <c r="A24" s="238" t="s">
        <v>873</v>
      </c>
      <c r="B24" s="239">
        <f>B18+B19+B20</f>
        <v>66.575000000000003</v>
      </c>
      <c r="C24" s="143"/>
    </row>
    <row r="25" spans="1:9" x14ac:dyDescent="0.25">
      <c r="A25" s="240" t="s">
        <v>923</v>
      </c>
      <c r="B25" s="241">
        <f>B18+B19+B21</f>
        <v>75</v>
      </c>
      <c r="C25" s="143"/>
    </row>
    <row r="26" spans="1:9" x14ac:dyDescent="0.25">
      <c r="A26" s="143"/>
      <c r="B26" s="143"/>
      <c r="C26" s="143"/>
      <c r="D26" s="143"/>
      <c r="E26" s="143"/>
      <c r="F26" s="143"/>
      <c r="G26" s="143"/>
      <c r="H26" s="143"/>
    </row>
    <row r="27" spans="1:9" x14ac:dyDescent="0.25">
      <c r="A27" s="375" t="s">
        <v>924</v>
      </c>
      <c r="B27" s="375"/>
      <c r="C27" s="375"/>
      <c r="D27" s="375"/>
      <c r="E27" s="375"/>
      <c r="F27" s="375"/>
      <c r="G27" s="375"/>
      <c r="H27" s="375"/>
    </row>
    <row r="28" spans="1:9" x14ac:dyDescent="0.25">
      <c r="A28" s="144" t="s">
        <v>890</v>
      </c>
      <c r="B28" s="144" t="s">
        <v>912</v>
      </c>
      <c r="C28" s="144" t="s">
        <v>925</v>
      </c>
      <c r="D28" s="144" t="s">
        <v>47</v>
      </c>
      <c r="E28" s="144" t="s">
        <v>35</v>
      </c>
      <c r="F28" s="144" t="s">
        <v>926</v>
      </c>
      <c r="G28" s="144" t="s">
        <v>55</v>
      </c>
      <c r="H28" s="144" t="s">
        <v>927</v>
      </c>
    </row>
    <row r="29" spans="1:9" x14ac:dyDescent="0.25">
      <c r="A29" s="242" t="s">
        <v>928</v>
      </c>
      <c r="B29" s="243">
        <v>23567</v>
      </c>
      <c r="C29" s="244" t="s">
        <v>929</v>
      </c>
      <c r="D29" s="243" t="s">
        <v>930</v>
      </c>
      <c r="E29" s="243" t="s">
        <v>931</v>
      </c>
      <c r="F29" s="243" t="s">
        <v>932</v>
      </c>
      <c r="G29" s="243" t="s">
        <v>933</v>
      </c>
      <c r="H29" s="245" t="s">
        <v>934</v>
      </c>
    </row>
    <row r="30" spans="1:9" x14ac:dyDescent="0.25">
      <c r="A30" s="161" t="s">
        <v>935</v>
      </c>
      <c r="B30" s="162">
        <v>28481</v>
      </c>
      <c r="C30" s="246" t="s">
        <v>929</v>
      </c>
      <c r="D30" s="247" t="s">
        <v>936</v>
      </c>
      <c r="E30" s="162" t="s">
        <v>931</v>
      </c>
      <c r="F30" s="162" t="s">
        <v>932</v>
      </c>
      <c r="G30" s="162" t="s">
        <v>933</v>
      </c>
      <c r="H30" s="163" t="s">
        <v>934</v>
      </c>
    </row>
    <row r="31" spans="1:9" x14ac:dyDescent="0.25">
      <c r="A31" s="248" t="s">
        <v>937</v>
      </c>
      <c r="B31" s="249">
        <v>33075</v>
      </c>
      <c r="C31" s="250" t="s">
        <v>929</v>
      </c>
      <c r="D31" s="251" t="s">
        <v>936</v>
      </c>
      <c r="E31" s="251" t="s">
        <v>938</v>
      </c>
      <c r="F31" s="251" t="s">
        <v>939</v>
      </c>
      <c r="G31" s="251" t="s">
        <v>940</v>
      </c>
      <c r="H31" s="236" t="s">
        <v>934</v>
      </c>
    </row>
    <row r="32" spans="1:9" x14ac:dyDescent="0.25">
      <c r="A32" s="142" t="s">
        <v>941</v>
      </c>
    </row>
    <row r="33" spans="1:8" x14ac:dyDescent="0.25">
      <c r="A33" s="142" t="s">
        <v>942</v>
      </c>
    </row>
    <row r="34" spans="1:8" x14ac:dyDescent="0.25">
      <c r="A34" s="143"/>
      <c r="B34" s="143"/>
      <c r="C34" s="143"/>
      <c r="D34" s="143"/>
      <c r="E34" s="143"/>
      <c r="F34" s="143"/>
      <c r="G34" s="143"/>
      <c r="H34" s="143"/>
    </row>
    <row r="35" spans="1:8" x14ac:dyDescent="0.25">
      <c r="A35" s="375" t="s">
        <v>943</v>
      </c>
      <c r="B35" s="375"/>
      <c r="C35" s="375"/>
      <c r="D35" s="375"/>
      <c r="E35" s="375"/>
      <c r="F35" s="375"/>
      <c r="G35" s="375"/>
      <c r="H35" s="375"/>
    </row>
    <row r="36" spans="1:8" x14ac:dyDescent="0.25">
      <c r="A36" s="144" t="s">
        <v>890</v>
      </c>
      <c r="B36" s="144" t="s">
        <v>912</v>
      </c>
      <c r="C36" s="144" t="s">
        <v>925</v>
      </c>
      <c r="D36" s="144" t="s">
        <v>47</v>
      </c>
      <c r="E36" s="144" t="s">
        <v>35</v>
      </c>
      <c r="F36" s="144" t="s">
        <v>926</v>
      </c>
      <c r="G36" s="144" t="s">
        <v>55</v>
      </c>
      <c r="H36" s="144" t="s">
        <v>927</v>
      </c>
    </row>
    <row r="37" spans="1:8" x14ac:dyDescent="0.25">
      <c r="A37" s="242" t="s">
        <v>928</v>
      </c>
      <c r="B37" s="243">
        <v>1021</v>
      </c>
      <c r="C37" s="244" t="s">
        <v>944</v>
      </c>
      <c r="D37" s="243" t="s">
        <v>945</v>
      </c>
      <c r="E37" s="243" t="s">
        <v>946</v>
      </c>
      <c r="F37" s="243" t="s">
        <v>947</v>
      </c>
      <c r="G37" s="243" t="s">
        <v>948</v>
      </c>
      <c r="H37" s="245" t="s">
        <v>934</v>
      </c>
    </row>
    <row r="38" spans="1:8" x14ac:dyDescent="0.25">
      <c r="A38" s="161" t="s">
        <v>949</v>
      </c>
      <c r="B38" s="162">
        <v>1250</v>
      </c>
      <c r="C38" s="252" t="s">
        <v>950</v>
      </c>
      <c r="D38" s="162" t="s">
        <v>945</v>
      </c>
      <c r="E38" s="162" t="s">
        <v>946</v>
      </c>
      <c r="F38" s="162" t="s">
        <v>947</v>
      </c>
      <c r="G38" s="253" t="s">
        <v>951</v>
      </c>
      <c r="H38" s="163" t="s">
        <v>934</v>
      </c>
    </row>
    <row r="39" spans="1:8" x14ac:dyDescent="0.25">
      <c r="A39" s="161" t="s">
        <v>952</v>
      </c>
      <c r="B39" s="162">
        <v>1536</v>
      </c>
      <c r="C39" s="252" t="s">
        <v>950</v>
      </c>
      <c r="D39" s="253" t="s">
        <v>953</v>
      </c>
      <c r="E39" s="162" t="s">
        <v>946</v>
      </c>
      <c r="F39" s="162" t="s">
        <v>947</v>
      </c>
      <c r="G39" s="253" t="s">
        <v>951</v>
      </c>
      <c r="H39" s="163" t="s">
        <v>934</v>
      </c>
    </row>
    <row r="40" spans="1:8" x14ac:dyDescent="0.25">
      <c r="A40" s="161" t="s">
        <v>954</v>
      </c>
      <c r="B40" s="162">
        <v>1716</v>
      </c>
      <c r="C40" s="252" t="s">
        <v>950</v>
      </c>
      <c r="D40" s="253" t="s">
        <v>953</v>
      </c>
      <c r="E40" s="162" t="s">
        <v>946</v>
      </c>
      <c r="F40" s="253" t="s">
        <v>955</v>
      </c>
      <c r="G40" s="253" t="s">
        <v>951</v>
      </c>
      <c r="H40" s="163" t="s">
        <v>934</v>
      </c>
    </row>
    <row r="41" spans="1:8" x14ac:dyDescent="0.25">
      <c r="A41" s="248" t="s">
        <v>956</v>
      </c>
      <c r="B41" s="249">
        <v>1812</v>
      </c>
      <c r="C41" s="254" t="s">
        <v>950</v>
      </c>
      <c r="D41" s="255" t="s">
        <v>953</v>
      </c>
      <c r="E41" s="249" t="s">
        <v>946</v>
      </c>
      <c r="F41" s="255" t="s">
        <v>955</v>
      </c>
      <c r="G41" s="256" t="s">
        <v>957</v>
      </c>
      <c r="H41" s="236" t="s">
        <v>934</v>
      </c>
    </row>
    <row r="42" spans="1:8" x14ac:dyDescent="0.25">
      <c r="A42" s="376" t="s">
        <v>941</v>
      </c>
      <c r="B42" s="376"/>
      <c r="C42" s="376"/>
      <c r="D42" s="376"/>
      <c r="E42" s="376"/>
      <c r="F42" s="376"/>
      <c r="G42" s="376"/>
      <c r="H42" s="376"/>
    </row>
    <row r="43" spans="1:8" x14ac:dyDescent="0.25">
      <c r="A43" s="376" t="s">
        <v>942</v>
      </c>
      <c r="B43" s="376"/>
      <c r="C43" s="376"/>
      <c r="D43" s="376"/>
      <c r="E43" s="376"/>
      <c r="F43" s="376"/>
      <c r="G43" s="376"/>
      <c r="H43" s="376"/>
    </row>
    <row r="44" spans="1:8" x14ac:dyDescent="0.25">
      <c r="A44" s="376" t="s">
        <v>958</v>
      </c>
      <c r="B44" s="376"/>
      <c r="C44" s="376"/>
      <c r="D44" s="376"/>
      <c r="E44" s="376"/>
      <c r="F44" s="376"/>
      <c r="G44" s="376"/>
      <c r="H44" s="376"/>
    </row>
  </sheetData>
  <mergeCells count="12">
    <mergeCell ref="A13:O13"/>
    <mergeCell ref="B2:D2"/>
    <mergeCell ref="E2:G2"/>
    <mergeCell ref="H2:J2"/>
    <mergeCell ref="K2:M2"/>
    <mergeCell ref="A16:C16"/>
    <mergeCell ref="A27:H27"/>
    <mergeCell ref="A42:H42"/>
    <mergeCell ref="A43:H43"/>
    <mergeCell ref="A44:H44"/>
    <mergeCell ref="A35:H35"/>
    <mergeCell ref="A22:C22"/>
  </mergeCells>
  <conditionalFormatting sqref="P4:P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{00F700C7-005D-4C78-911F-00A500FF0092}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F700C7-005D-4C78-911F-00A500FF00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P4:P12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topLeftCell="A22" zoomScale="70" zoomScaleNormal="70" workbookViewId="0">
      <selection activeCell="E15" sqref="E15"/>
    </sheetView>
  </sheetViews>
  <sheetFormatPr baseColWidth="10" defaultRowHeight="12.5" x14ac:dyDescent="0.25"/>
  <cols>
    <col min="5" max="5" width="22.26953125" bestFit="1" customWidth="1"/>
    <col min="9" max="9" width="38.26953125" bestFit="1" customWidth="1"/>
  </cols>
  <sheetData>
    <row r="1" spans="1:14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351" t="s">
        <v>208</v>
      </c>
      <c r="B2" s="352"/>
      <c r="C2" s="352"/>
      <c r="D2" s="352"/>
      <c r="E2" s="353"/>
      <c r="G2" s="348" t="s">
        <v>209</v>
      </c>
      <c r="H2" s="349"/>
      <c r="I2" s="350"/>
    </row>
    <row r="3" spans="1:14" x14ac:dyDescent="0.25">
      <c r="A3" s="42" t="s">
        <v>210</v>
      </c>
      <c r="B3" s="43" t="s">
        <v>211</v>
      </c>
      <c r="C3" s="43" t="s">
        <v>212</v>
      </c>
      <c r="D3" s="43" t="s">
        <v>213</v>
      </c>
      <c r="E3" s="44" t="s">
        <v>214</v>
      </c>
      <c r="G3" s="42" t="s">
        <v>210</v>
      </c>
      <c r="H3" s="43" t="s">
        <v>215</v>
      </c>
      <c r="I3" s="44" t="s">
        <v>214</v>
      </c>
    </row>
    <row r="4" spans="1:14" x14ac:dyDescent="0.25">
      <c r="A4" s="45">
        <v>1</v>
      </c>
      <c r="B4" s="46">
        <v>5.25</v>
      </c>
      <c r="C4" s="46" t="s">
        <v>216</v>
      </c>
      <c r="D4" s="46" t="s">
        <v>217</v>
      </c>
      <c r="E4" s="47" t="s">
        <v>218</v>
      </c>
      <c r="G4" s="45">
        <v>1</v>
      </c>
      <c r="H4" s="46">
        <v>136</v>
      </c>
      <c r="I4" s="47" t="s">
        <v>219</v>
      </c>
    </row>
    <row r="5" spans="1:14" x14ac:dyDescent="0.25">
      <c r="A5" s="48">
        <v>2</v>
      </c>
      <c r="B5" s="49">
        <v>6</v>
      </c>
      <c r="C5" s="49" t="s">
        <v>220</v>
      </c>
      <c r="D5" s="49" t="s">
        <v>217</v>
      </c>
      <c r="E5" s="50" t="s">
        <v>221</v>
      </c>
      <c r="G5" s="48">
        <v>2</v>
      </c>
      <c r="H5" s="46">
        <v>125</v>
      </c>
      <c r="I5" s="47" t="s">
        <v>222</v>
      </c>
    </row>
    <row r="6" spans="1:14" x14ac:dyDescent="0.25">
      <c r="A6" s="48">
        <v>3</v>
      </c>
      <c r="B6" s="49">
        <v>4.3</v>
      </c>
      <c r="C6" s="49" t="s">
        <v>220</v>
      </c>
      <c r="D6" s="49" t="s">
        <v>217</v>
      </c>
      <c r="E6" s="50" t="s">
        <v>223</v>
      </c>
      <c r="G6" s="48">
        <v>3</v>
      </c>
      <c r="H6" s="46">
        <v>139</v>
      </c>
      <c r="I6" s="47" t="s">
        <v>224</v>
      </c>
    </row>
    <row r="7" spans="1:14" x14ac:dyDescent="0.25">
      <c r="A7" s="48">
        <v>4</v>
      </c>
      <c r="B7" s="49">
        <v>3.6</v>
      </c>
      <c r="C7" s="49" t="s">
        <v>216</v>
      </c>
      <c r="D7" s="49" t="s">
        <v>217</v>
      </c>
      <c r="E7" s="50" t="s">
        <v>225</v>
      </c>
      <c r="G7" s="48">
        <v>4</v>
      </c>
      <c r="H7" s="46">
        <v>140</v>
      </c>
      <c r="I7" s="47" t="s">
        <v>226</v>
      </c>
    </row>
    <row r="8" spans="1:14" x14ac:dyDescent="0.25">
      <c r="A8" s="51">
        <v>5</v>
      </c>
      <c r="B8" s="52">
        <v>6.3</v>
      </c>
      <c r="C8" s="52" t="s">
        <v>227</v>
      </c>
      <c r="D8" s="52" t="s">
        <v>217</v>
      </c>
      <c r="E8" s="53" t="s">
        <v>228</v>
      </c>
      <c r="G8" s="48">
        <v>5</v>
      </c>
      <c r="H8" s="46">
        <v>129</v>
      </c>
      <c r="I8" s="47" t="s">
        <v>229</v>
      </c>
    </row>
    <row r="9" spans="1:14" x14ac:dyDescent="0.25">
      <c r="A9" s="46" t="s">
        <v>230</v>
      </c>
      <c r="B9" s="54">
        <f>AVERAGE(B4:B8)</f>
        <v>5.0900000000000007</v>
      </c>
      <c r="C9" s="55"/>
      <c r="D9" s="55"/>
      <c r="E9" s="55"/>
      <c r="G9" s="48">
        <v>6</v>
      </c>
      <c r="H9" s="46">
        <v>168</v>
      </c>
      <c r="I9" s="47" t="s">
        <v>231</v>
      </c>
    </row>
    <row r="10" spans="1:14" x14ac:dyDescent="0.25">
      <c r="A10" s="55"/>
      <c r="B10" s="55"/>
      <c r="C10" s="55"/>
      <c r="D10" s="55"/>
      <c r="E10" s="55"/>
      <c r="G10" s="48">
        <v>7</v>
      </c>
      <c r="H10" s="46">
        <v>156</v>
      </c>
      <c r="I10" s="47" t="s">
        <v>232</v>
      </c>
    </row>
    <row r="11" spans="1:14" x14ac:dyDescent="0.25">
      <c r="A11" s="55"/>
      <c r="B11" s="55"/>
      <c r="C11" s="55"/>
      <c r="D11" s="55"/>
      <c r="E11" s="55"/>
      <c r="G11" s="48">
        <v>8</v>
      </c>
      <c r="H11" s="46">
        <v>173</v>
      </c>
      <c r="I11" s="47" t="s">
        <v>233</v>
      </c>
    </row>
    <row r="12" spans="1:14" x14ac:dyDescent="0.25">
      <c r="A12" s="348" t="s">
        <v>234</v>
      </c>
      <c r="B12" s="349"/>
      <c r="C12" s="349"/>
      <c r="D12" s="349"/>
      <c r="E12" s="350"/>
      <c r="G12" s="48">
        <v>9</v>
      </c>
      <c r="H12" s="49">
        <v>113</v>
      </c>
      <c r="I12" s="50" t="s">
        <v>235</v>
      </c>
    </row>
    <row r="13" spans="1:14" x14ac:dyDescent="0.25">
      <c r="A13" s="42" t="s">
        <v>210</v>
      </c>
      <c r="B13" s="43" t="s">
        <v>211</v>
      </c>
      <c r="C13" s="43" t="s">
        <v>212</v>
      </c>
      <c r="D13" s="43" t="s">
        <v>213</v>
      </c>
      <c r="E13" s="44" t="s">
        <v>214</v>
      </c>
      <c r="G13" s="48">
        <v>10</v>
      </c>
      <c r="H13" s="49">
        <v>130</v>
      </c>
      <c r="I13" s="50" t="s">
        <v>236</v>
      </c>
    </row>
    <row r="14" spans="1:14" x14ac:dyDescent="0.25">
      <c r="A14" s="56">
        <v>1</v>
      </c>
      <c r="B14" s="57">
        <v>16.399999999999999</v>
      </c>
      <c r="C14" s="57" t="s">
        <v>220</v>
      </c>
      <c r="D14" s="57" t="s">
        <v>237</v>
      </c>
      <c r="E14" s="58" t="s">
        <v>238</v>
      </c>
      <c r="G14" s="48">
        <v>11</v>
      </c>
      <c r="H14" s="49">
        <v>140</v>
      </c>
      <c r="I14" s="50" t="s">
        <v>239</v>
      </c>
    </row>
    <row r="15" spans="1:14" x14ac:dyDescent="0.25">
      <c r="A15" s="48">
        <v>2</v>
      </c>
      <c r="B15" s="49">
        <v>9.6999999999999993</v>
      </c>
      <c r="C15" s="49" t="s">
        <v>240</v>
      </c>
      <c r="D15" s="49" t="s">
        <v>237</v>
      </c>
      <c r="E15" s="50" t="s">
        <v>241</v>
      </c>
      <c r="G15" s="59">
        <v>12</v>
      </c>
      <c r="H15" s="52">
        <v>120</v>
      </c>
      <c r="I15" s="53" t="s">
        <v>242</v>
      </c>
    </row>
    <row r="16" spans="1:14" x14ac:dyDescent="0.25">
      <c r="A16" s="48">
        <v>3</v>
      </c>
      <c r="B16" s="49">
        <v>12.59</v>
      </c>
      <c r="C16" s="49" t="s">
        <v>243</v>
      </c>
      <c r="D16" s="49" t="s">
        <v>237</v>
      </c>
      <c r="E16" s="50" t="s">
        <v>244</v>
      </c>
      <c r="G16" s="46" t="s">
        <v>230</v>
      </c>
      <c r="H16" s="54">
        <f>AVERAGE(H4:H15)</f>
        <v>139.08333333333334</v>
      </c>
      <c r="I16" s="60"/>
    </row>
    <row r="17" spans="1:14" x14ac:dyDescent="0.25">
      <c r="A17" s="48">
        <v>4</v>
      </c>
      <c r="B17" s="49">
        <v>16.53</v>
      </c>
      <c r="C17" s="49" t="s">
        <v>245</v>
      </c>
      <c r="D17" s="49" t="s">
        <v>237</v>
      </c>
      <c r="E17" s="50" t="s">
        <v>246</v>
      </c>
      <c r="G17" s="55"/>
      <c r="H17" s="55"/>
      <c r="I17" s="55"/>
    </row>
    <row r="18" spans="1:14" x14ac:dyDescent="0.25">
      <c r="A18" s="51">
        <v>5</v>
      </c>
      <c r="B18" s="52">
        <v>11.4</v>
      </c>
      <c r="C18" s="52" t="s">
        <v>243</v>
      </c>
      <c r="D18" s="52" t="s">
        <v>247</v>
      </c>
      <c r="E18" s="53" t="s">
        <v>248</v>
      </c>
      <c r="G18" s="55"/>
      <c r="H18" s="55"/>
      <c r="I18" s="55"/>
    </row>
    <row r="19" spans="1:14" x14ac:dyDescent="0.25">
      <c r="A19" s="57" t="s">
        <v>230</v>
      </c>
      <c r="B19" s="61">
        <f>AVERAGE(B14:B18)</f>
        <v>13.324000000000002</v>
      </c>
      <c r="C19" s="62"/>
      <c r="D19" s="63"/>
      <c r="E19" s="63"/>
      <c r="G19" s="348" t="s">
        <v>249</v>
      </c>
      <c r="H19" s="349"/>
      <c r="I19" s="350"/>
    </row>
    <row r="20" spans="1:14" x14ac:dyDescent="0.25">
      <c r="G20" s="42" t="s">
        <v>210</v>
      </c>
      <c r="H20" s="43" t="s">
        <v>215</v>
      </c>
      <c r="I20" s="44" t="s">
        <v>214</v>
      </c>
    </row>
    <row r="21" spans="1:14" x14ac:dyDescent="0.25">
      <c r="G21" s="56">
        <v>1</v>
      </c>
      <c r="H21" s="57">
        <v>222</v>
      </c>
      <c r="I21" s="58" t="s">
        <v>250</v>
      </c>
    </row>
    <row r="22" spans="1:14" x14ac:dyDescent="0.25">
      <c r="G22" s="48">
        <v>2</v>
      </c>
      <c r="H22" s="49">
        <v>181</v>
      </c>
      <c r="I22" s="50" t="s">
        <v>251</v>
      </c>
    </row>
    <row r="23" spans="1:14" x14ac:dyDescent="0.25">
      <c r="G23" s="48">
        <v>3</v>
      </c>
      <c r="H23" s="49">
        <v>199</v>
      </c>
      <c r="I23" s="50" t="s">
        <v>252</v>
      </c>
    </row>
    <row r="24" spans="1:14" x14ac:dyDescent="0.25">
      <c r="G24" s="48">
        <v>4</v>
      </c>
      <c r="H24" s="49">
        <v>233</v>
      </c>
      <c r="I24" s="50" t="s">
        <v>253</v>
      </c>
    </row>
    <row r="25" spans="1:14" x14ac:dyDescent="0.25">
      <c r="G25" s="48">
        <v>5</v>
      </c>
      <c r="H25" s="49">
        <v>170</v>
      </c>
      <c r="I25" s="50" t="s">
        <v>254</v>
      </c>
    </row>
    <row r="26" spans="1:14" x14ac:dyDescent="0.25">
      <c r="G26" s="48">
        <v>6</v>
      </c>
      <c r="H26" s="49">
        <v>162</v>
      </c>
      <c r="I26" s="50" t="s">
        <v>255</v>
      </c>
    </row>
    <row r="27" spans="1:14" x14ac:dyDescent="0.25">
      <c r="G27" s="48">
        <v>7</v>
      </c>
      <c r="H27" s="49">
        <v>180</v>
      </c>
      <c r="I27" s="50" t="s">
        <v>256</v>
      </c>
    </row>
    <row r="28" spans="1:14" x14ac:dyDescent="0.25">
      <c r="G28" s="51">
        <v>12</v>
      </c>
      <c r="H28" s="52">
        <v>197</v>
      </c>
      <c r="I28" s="53" t="s">
        <v>257</v>
      </c>
    </row>
    <row r="29" spans="1:14" x14ac:dyDescent="0.25">
      <c r="G29" s="57" t="s">
        <v>230</v>
      </c>
      <c r="H29" s="61">
        <f>AVERAGE(H21:H28)</f>
        <v>193</v>
      </c>
      <c r="I29" s="62"/>
    </row>
    <row r="32" spans="1:14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4" x14ac:dyDescent="0.25">
      <c r="A33" s="348" t="s">
        <v>258</v>
      </c>
      <c r="B33" s="349"/>
      <c r="C33" s="349"/>
      <c r="D33" s="349"/>
      <c r="E33" s="349"/>
      <c r="F33" s="349"/>
      <c r="G33" s="349"/>
      <c r="H33" s="349"/>
      <c r="I33" s="350"/>
      <c r="J33" s="39"/>
      <c r="K33" s="64" t="s">
        <v>259</v>
      </c>
      <c r="L33" s="64" t="s">
        <v>260</v>
      </c>
      <c r="M33" s="64" t="s">
        <v>261</v>
      </c>
      <c r="N33" s="64" t="s">
        <v>262</v>
      </c>
    </row>
    <row r="34" spans="1:14" x14ac:dyDescent="0.25">
      <c r="A34" s="65" t="s">
        <v>210</v>
      </c>
      <c r="B34" s="65" t="s">
        <v>263</v>
      </c>
      <c r="C34" s="65" t="s">
        <v>264</v>
      </c>
      <c r="D34" s="65" t="s">
        <v>265</v>
      </c>
      <c r="E34" s="65" t="s">
        <v>266</v>
      </c>
      <c r="F34" s="65" t="s">
        <v>267</v>
      </c>
      <c r="G34" s="65" t="s">
        <v>268</v>
      </c>
      <c r="H34" s="65" t="s">
        <v>269</v>
      </c>
      <c r="I34" s="65" t="s">
        <v>214</v>
      </c>
      <c r="J34" s="39"/>
      <c r="K34" s="49" t="s">
        <v>270</v>
      </c>
      <c r="L34" s="49">
        <v>24</v>
      </c>
      <c r="M34" s="49" t="s">
        <v>271</v>
      </c>
      <c r="N34" s="66" t="s">
        <v>272</v>
      </c>
    </row>
    <row r="35" spans="1:14" x14ac:dyDescent="0.25">
      <c r="A35" s="56">
        <v>1</v>
      </c>
      <c r="B35" s="57">
        <v>1320</v>
      </c>
      <c r="C35" s="57">
        <v>4</v>
      </c>
      <c r="D35" s="57">
        <v>2</v>
      </c>
      <c r="E35" s="57">
        <v>0</v>
      </c>
      <c r="F35" s="57">
        <f t="shared" ref="F35:F40" si="0">D35*$L$36+E35*$L$37</f>
        <v>386</v>
      </c>
      <c r="G35" s="67">
        <f t="shared" ref="G35:G40" si="1">C35*$L$34</f>
        <v>96</v>
      </c>
      <c r="H35" s="57">
        <f t="shared" ref="H35:H40" si="2">B35-F35-G35</f>
        <v>838</v>
      </c>
      <c r="I35" s="58" t="s">
        <v>273</v>
      </c>
      <c r="J35" s="39"/>
      <c r="K35" s="49" t="s">
        <v>274</v>
      </c>
      <c r="L35" s="49">
        <v>20</v>
      </c>
      <c r="M35" s="49" t="s">
        <v>271</v>
      </c>
      <c r="N35" s="66" t="s">
        <v>275</v>
      </c>
    </row>
    <row r="36" spans="1:14" x14ac:dyDescent="0.25">
      <c r="A36" s="48">
        <v>2</v>
      </c>
      <c r="B36" s="49">
        <v>1312</v>
      </c>
      <c r="C36" s="49">
        <v>6</v>
      </c>
      <c r="D36" s="49">
        <v>2</v>
      </c>
      <c r="E36" s="49">
        <v>0</v>
      </c>
      <c r="F36" s="68">
        <f t="shared" si="0"/>
        <v>386</v>
      </c>
      <c r="G36" s="49">
        <f t="shared" si="1"/>
        <v>144</v>
      </c>
      <c r="H36" s="69">
        <f t="shared" si="2"/>
        <v>782</v>
      </c>
      <c r="I36" s="50" t="s">
        <v>276</v>
      </c>
      <c r="J36" s="39"/>
      <c r="K36" s="49" t="s">
        <v>277</v>
      </c>
      <c r="L36" s="49">
        <v>193</v>
      </c>
      <c r="M36" s="49" t="s">
        <v>278</v>
      </c>
      <c r="N36" s="49" t="s">
        <v>279</v>
      </c>
    </row>
    <row r="37" spans="1:14" x14ac:dyDescent="0.25">
      <c r="A37" s="48">
        <v>3</v>
      </c>
      <c r="B37" s="49">
        <v>1242</v>
      </c>
      <c r="C37" s="49">
        <v>8</v>
      </c>
      <c r="D37" s="49">
        <v>1</v>
      </c>
      <c r="E37" s="49">
        <v>1</v>
      </c>
      <c r="F37" s="68">
        <f t="shared" si="0"/>
        <v>332</v>
      </c>
      <c r="G37" s="49">
        <f t="shared" si="1"/>
        <v>192</v>
      </c>
      <c r="H37" s="69">
        <f t="shared" si="2"/>
        <v>718</v>
      </c>
      <c r="I37" s="50" t="s">
        <v>280</v>
      </c>
      <c r="J37" s="39"/>
      <c r="K37" s="49" t="s">
        <v>281</v>
      </c>
      <c r="L37" s="49">
        <v>139</v>
      </c>
      <c r="M37" s="49" t="s">
        <v>278</v>
      </c>
      <c r="N37" s="49" t="s">
        <v>279</v>
      </c>
    </row>
    <row r="38" spans="1:14" x14ac:dyDescent="0.25">
      <c r="A38" s="48">
        <v>4</v>
      </c>
      <c r="B38" s="49">
        <v>1210</v>
      </c>
      <c r="C38" s="49">
        <v>8</v>
      </c>
      <c r="D38" s="49">
        <v>2</v>
      </c>
      <c r="E38" s="49">
        <v>0</v>
      </c>
      <c r="F38" s="68">
        <f t="shared" si="0"/>
        <v>386</v>
      </c>
      <c r="G38" s="49">
        <f t="shared" si="1"/>
        <v>192</v>
      </c>
      <c r="H38" s="69">
        <f t="shared" si="2"/>
        <v>632</v>
      </c>
      <c r="I38" s="50" t="s">
        <v>282</v>
      </c>
      <c r="J38" s="39"/>
      <c r="K38" s="39"/>
      <c r="L38" s="39"/>
      <c r="M38" s="39"/>
      <c r="N38" s="39"/>
    </row>
    <row r="39" spans="1:14" x14ac:dyDescent="0.25">
      <c r="A39" s="48">
        <v>5</v>
      </c>
      <c r="B39" s="49">
        <v>1247</v>
      </c>
      <c r="C39" s="49">
        <v>4</v>
      </c>
      <c r="D39" s="49">
        <v>0</v>
      </c>
      <c r="E39" s="49">
        <v>2</v>
      </c>
      <c r="F39" s="68">
        <f t="shared" si="0"/>
        <v>278</v>
      </c>
      <c r="G39" s="49">
        <f t="shared" si="1"/>
        <v>96</v>
      </c>
      <c r="H39" s="69">
        <f t="shared" si="2"/>
        <v>873</v>
      </c>
      <c r="I39" s="50" t="s">
        <v>283</v>
      </c>
      <c r="J39" s="39"/>
      <c r="K39" s="39"/>
      <c r="L39" s="39"/>
      <c r="M39" s="39"/>
      <c r="N39" s="39"/>
    </row>
    <row r="40" spans="1:14" x14ac:dyDescent="0.25">
      <c r="A40" s="51">
        <v>6</v>
      </c>
      <c r="B40" s="52">
        <v>1035</v>
      </c>
      <c r="C40" s="52">
        <v>2</v>
      </c>
      <c r="D40" s="52">
        <v>1</v>
      </c>
      <c r="E40" s="52">
        <v>0</v>
      </c>
      <c r="F40" s="52">
        <f t="shared" si="0"/>
        <v>193</v>
      </c>
      <c r="G40" s="70">
        <f t="shared" si="1"/>
        <v>48</v>
      </c>
      <c r="H40" s="52">
        <f t="shared" si="2"/>
        <v>794</v>
      </c>
      <c r="I40" s="53" t="s">
        <v>284</v>
      </c>
      <c r="J40" s="39"/>
      <c r="K40" s="39"/>
      <c r="L40" s="39"/>
      <c r="M40" s="39"/>
      <c r="N40" s="39"/>
    </row>
    <row r="41" spans="1:14" x14ac:dyDescent="0.25">
      <c r="A41" s="46" t="s">
        <v>230</v>
      </c>
      <c r="B41" s="54">
        <f>AVERAGE(B35:B40)</f>
        <v>1227.6666666666667</v>
      </c>
      <c r="C41" s="39"/>
      <c r="D41" s="39"/>
      <c r="E41" s="39"/>
      <c r="F41" s="54">
        <f>AVERAGE(F35:F40)</f>
        <v>326.83333333333331</v>
      </c>
      <c r="G41" s="54">
        <f>AVERAGE(G35:G40)</f>
        <v>128</v>
      </c>
      <c r="H41" s="54">
        <f>AVERAGE(H35:H40)</f>
        <v>772.83333333333337</v>
      </c>
      <c r="I41" s="39"/>
      <c r="J41" s="39"/>
      <c r="K41" s="39"/>
      <c r="L41" s="39"/>
      <c r="M41" s="39"/>
      <c r="N41" s="39"/>
    </row>
    <row r="42" spans="1:14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1:14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1:14" x14ac:dyDescent="0.25">
      <c r="A44" s="348" t="s">
        <v>285</v>
      </c>
      <c r="B44" s="349"/>
      <c r="C44" s="349"/>
      <c r="D44" s="349"/>
      <c r="E44" s="349"/>
      <c r="F44" s="349"/>
      <c r="G44" s="349"/>
      <c r="H44" s="349"/>
      <c r="I44" s="350"/>
      <c r="J44" s="39"/>
      <c r="K44" s="39"/>
      <c r="L44" s="39"/>
      <c r="M44" s="39"/>
      <c r="N44" s="39"/>
    </row>
    <row r="45" spans="1:14" x14ac:dyDescent="0.25">
      <c r="A45" s="65" t="s">
        <v>210</v>
      </c>
      <c r="B45" s="65" t="s">
        <v>263</v>
      </c>
      <c r="C45" s="65" t="s">
        <v>264</v>
      </c>
      <c r="D45" s="65" t="s">
        <v>265</v>
      </c>
      <c r="E45" s="65" t="s">
        <v>266</v>
      </c>
      <c r="F45" s="65" t="s">
        <v>267</v>
      </c>
      <c r="G45" s="65" t="s">
        <v>268</v>
      </c>
      <c r="H45" s="65" t="s">
        <v>269</v>
      </c>
      <c r="I45" s="65" t="s">
        <v>214</v>
      </c>
      <c r="J45" s="39"/>
      <c r="K45" s="39"/>
      <c r="L45" s="39"/>
      <c r="M45" s="39"/>
      <c r="N45" s="39"/>
    </row>
    <row r="46" spans="1:14" x14ac:dyDescent="0.25">
      <c r="A46" s="56">
        <v>1</v>
      </c>
      <c r="B46" s="57">
        <v>842</v>
      </c>
      <c r="C46" s="57">
        <v>4</v>
      </c>
      <c r="D46" s="57">
        <v>1</v>
      </c>
      <c r="E46" s="57">
        <v>0</v>
      </c>
      <c r="F46" s="57">
        <f t="shared" ref="F46:F48" si="3">D46*$L$36+E46*$L$37</f>
        <v>193</v>
      </c>
      <c r="G46" s="67">
        <f t="shared" ref="G46:G48" si="4">C46*$L$35</f>
        <v>80</v>
      </c>
      <c r="H46" s="57">
        <f t="shared" ref="H46:H48" si="5">B46-F46-G46</f>
        <v>569</v>
      </c>
      <c r="I46" s="58" t="s">
        <v>286</v>
      </c>
      <c r="J46" s="39"/>
      <c r="K46" s="39"/>
      <c r="L46" s="39"/>
      <c r="M46" s="39"/>
      <c r="N46" s="39"/>
    </row>
    <row r="47" spans="1:14" x14ac:dyDescent="0.25">
      <c r="A47" s="48">
        <v>2</v>
      </c>
      <c r="B47" s="49">
        <v>692</v>
      </c>
      <c r="C47" s="49">
        <v>4</v>
      </c>
      <c r="D47" s="49">
        <v>1</v>
      </c>
      <c r="E47" s="49">
        <v>0</v>
      </c>
      <c r="F47" s="68">
        <f t="shared" si="3"/>
        <v>193</v>
      </c>
      <c r="G47" s="49">
        <f t="shared" si="4"/>
        <v>80</v>
      </c>
      <c r="H47" s="69">
        <f t="shared" si="5"/>
        <v>419</v>
      </c>
      <c r="I47" s="50" t="s">
        <v>287</v>
      </c>
      <c r="J47" s="39"/>
      <c r="K47" s="39"/>
      <c r="L47" s="39"/>
      <c r="M47" s="39"/>
      <c r="N47" s="39"/>
    </row>
    <row r="48" spans="1:14" x14ac:dyDescent="0.25">
      <c r="A48" s="51">
        <v>3</v>
      </c>
      <c r="B48" s="52">
        <v>700</v>
      </c>
      <c r="C48" s="52">
        <v>8</v>
      </c>
      <c r="D48" s="52">
        <v>0</v>
      </c>
      <c r="E48" s="52">
        <v>1</v>
      </c>
      <c r="F48" s="52">
        <f t="shared" si="3"/>
        <v>139</v>
      </c>
      <c r="G48" s="46">
        <f t="shared" si="4"/>
        <v>160</v>
      </c>
      <c r="H48" s="52">
        <f t="shared" si="5"/>
        <v>401</v>
      </c>
      <c r="I48" s="53" t="s">
        <v>288</v>
      </c>
      <c r="J48" s="39"/>
      <c r="K48" s="39"/>
      <c r="L48" s="39"/>
      <c r="M48" s="39"/>
      <c r="N48" s="39"/>
    </row>
    <row r="49" spans="1:14" x14ac:dyDescent="0.25">
      <c r="A49" s="57" t="s">
        <v>230</v>
      </c>
      <c r="B49" s="61">
        <f>AVERAGE(B46:B48)</f>
        <v>744.66666666666663</v>
      </c>
      <c r="C49" s="71"/>
      <c r="D49" s="72"/>
      <c r="E49" s="73"/>
      <c r="F49" s="61">
        <f>AVERAGE(F46:F48)</f>
        <v>175</v>
      </c>
      <c r="G49" s="61">
        <f>AVERAGE(G46:G48)</f>
        <v>106.66666666666667</v>
      </c>
      <c r="H49" s="61">
        <f>AVERAGE(H46:H48)</f>
        <v>463</v>
      </c>
      <c r="I49" s="71"/>
      <c r="J49" s="39"/>
      <c r="K49" s="39"/>
      <c r="L49" s="39"/>
      <c r="M49" s="39"/>
      <c r="N49" s="39"/>
    </row>
  </sheetData>
  <mergeCells count="6">
    <mergeCell ref="A33:I33"/>
    <mergeCell ref="A44:I44"/>
    <mergeCell ref="A2:E2"/>
    <mergeCell ref="A12:E12"/>
    <mergeCell ref="G2:I2"/>
    <mergeCell ref="G19:I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zoomScale="85" zoomScaleNormal="85" workbookViewId="0">
      <selection activeCell="C18" sqref="C18"/>
    </sheetView>
  </sheetViews>
  <sheetFormatPr baseColWidth="10" defaultRowHeight="12.5" x14ac:dyDescent="0.25"/>
  <cols>
    <col min="2" max="2" width="8.54296875" customWidth="1"/>
    <col min="3" max="3" width="6.54296875" customWidth="1"/>
    <col min="6" max="6" width="12.81640625" bestFit="1" customWidth="1"/>
    <col min="11" max="11" width="14.453125" bestFit="1" customWidth="1"/>
  </cols>
  <sheetData>
    <row r="1" spans="1:12" x14ac:dyDescent="0.25">
      <c r="A1" s="366" t="s">
        <v>1034</v>
      </c>
      <c r="B1" s="367"/>
      <c r="C1" s="367"/>
      <c r="D1" s="356" t="s">
        <v>873</v>
      </c>
      <c r="E1" s="357"/>
      <c r="F1" s="358"/>
      <c r="G1" s="356" t="s">
        <v>923</v>
      </c>
      <c r="H1" s="359"/>
      <c r="I1" s="359"/>
      <c r="J1" s="359"/>
      <c r="K1" s="360"/>
    </row>
    <row r="2" spans="1:12" x14ac:dyDescent="0.25">
      <c r="A2" s="368"/>
      <c r="B2" s="369"/>
      <c r="C2" s="369"/>
      <c r="D2" s="361" t="s">
        <v>1030</v>
      </c>
      <c r="E2" s="363"/>
      <c r="F2" s="364"/>
      <c r="G2" s="361" t="s">
        <v>913</v>
      </c>
      <c r="H2" s="362"/>
      <c r="I2" s="362" t="s">
        <v>587</v>
      </c>
      <c r="J2" s="362"/>
      <c r="K2" s="309" t="s">
        <v>922</v>
      </c>
    </row>
    <row r="3" spans="1:12" x14ac:dyDescent="0.25">
      <c r="A3" s="303" t="s">
        <v>991</v>
      </c>
      <c r="B3" s="362" t="s">
        <v>992</v>
      </c>
      <c r="C3" s="365"/>
      <c r="D3" s="308" t="s">
        <v>1031</v>
      </c>
      <c r="E3" s="302" t="s">
        <v>1020</v>
      </c>
      <c r="F3" s="309" t="s">
        <v>1010</v>
      </c>
      <c r="G3" s="308" t="s">
        <v>1032</v>
      </c>
      <c r="H3" s="302" t="s">
        <v>1020</v>
      </c>
      <c r="I3" s="302" t="s">
        <v>1033</v>
      </c>
      <c r="J3" s="302" t="s">
        <v>1020</v>
      </c>
      <c r="K3" s="309" t="s">
        <v>1010</v>
      </c>
    </row>
    <row r="4" spans="1:12" x14ac:dyDescent="0.25">
      <c r="A4" s="303" t="s">
        <v>1004</v>
      </c>
      <c r="B4" s="304">
        <v>0.4</v>
      </c>
      <c r="C4" s="307">
        <f>B4*8760</f>
        <v>3504</v>
      </c>
      <c r="D4" s="310">
        <v>28.05</v>
      </c>
      <c r="E4" s="306">
        <f>D4*C4/1000</f>
        <v>98.287199999999999</v>
      </c>
      <c r="F4" s="311">
        <f>SUM(E4:E6)*5*600</f>
        <v>303258.06</v>
      </c>
      <c r="G4" s="310">
        <v>2.7</v>
      </c>
      <c r="H4" s="305">
        <f>G4*C4/1000</f>
        <v>9.4608000000000008</v>
      </c>
      <c r="I4" s="306">
        <v>201.4</v>
      </c>
      <c r="J4" s="306">
        <f>I4*C4/1000</f>
        <v>705.7056</v>
      </c>
      <c r="K4" s="315">
        <f>(SUM(H4:H6)*600+SUM(J4:J6)*6)*5</f>
        <v>50535.126000000004</v>
      </c>
    </row>
    <row r="5" spans="1:12" x14ac:dyDescent="0.25">
      <c r="A5" s="303" t="s">
        <v>1009</v>
      </c>
      <c r="B5" s="304">
        <v>0.05</v>
      </c>
      <c r="C5" s="307">
        <f>B5*8760</f>
        <v>438</v>
      </c>
      <c r="D5" s="310">
        <v>2.4300000000000002</v>
      </c>
      <c r="E5" s="306">
        <f t="shared" ref="E5:E6" si="0">D5*C5/1000</f>
        <v>1.0643400000000001</v>
      </c>
      <c r="F5" s="311"/>
      <c r="G5" s="310">
        <v>0.05</v>
      </c>
      <c r="H5" s="305">
        <f>G5*C5/1000</f>
        <v>2.1900000000000003E-2</v>
      </c>
      <c r="I5" s="306">
        <v>11.4</v>
      </c>
      <c r="J5" s="306">
        <f>I5*C5/1000</f>
        <v>4.9931999999999999</v>
      </c>
      <c r="K5" s="315"/>
    </row>
    <row r="6" spans="1:12" ht="13" thickBot="1" x14ac:dyDescent="0.3">
      <c r="A6" s="303" t="s">
        <v>1006</v>
      </c>
      <c r="B6" s="304">
        <v>0.55000000000000004</v>
      </c>
      <c r="C6" s="307">
        <f>B6*8760</f>
        <v>4818</v>
      </c>
      <c r="D6" s="312">
        <v>0.36</v>
      </c>
      <c r="E6" s="313">
        <f t="shared" si="0"/>
        <v>1.73448</v>
      </c>
      <c r="F6" s="314"/>
      <c r="G6" s="312">
        <v>0.05</v>
      </c>
      <c r="H6" s="316">
        <f>G6*C6/1000</f>
        <v>0.2409</v>
      </c>
      <c r="I6" s="313">
        <v>0.3</v>
      </c>
      <c r="J6" s="313">
        <f>I6*C6/1000</f>
        <v>1.4453999999999998</v>
      </c>
      <c r="K6" s="317"/>
    </row>
    <row r="7" spans="1:12" x14ac:dyDescent="0.25">
      <c r="A7" s="301"/>
      <c r="B7" s="354"/>
      <c r="C7" s="354"/>
      <c r="D7" s="355"/>
      <c r="E7" s="354"/>
      <c r="F7" s="282"/>
      <c r="G7" s="355"/>
      <c r="H7" s="354"/>
      <c r="I7" s="355"/>
      <c r="J7" s="354"/>
      <c r="K7" s="282"/>
    </row>
    <row r="8" spans="1:12" x14ac:dyDescent="0.25">
      <c r="H8" s="270"/>
    </row>
    <row r="9" spans="1:12" x14ac:dyDescent="0.25">
      <c r="H9" s="270"/>
    </row>
    <row r="10" spans="1:12" x14ac:dyDescent="0.25">
      <c r="A10" s="300"/>
    </row>
    <row r="11" spans="1:12" x14ac:dyDescent="0.25">
      <c r="A11" s="300"/>
    </row>
    <row r="12" spans="1:12" x14ac:dyDescent="0.25">
      <c r="A12" s="300"/>
    </row>
    <row r="14" spans="1:12" ht="15" x14ac:dyDescent="0.25">
      <c r="A14" s="298" t="s">
        <v>1028</v>
      </c>
      <c r="B14" s="291"/>
      <c r="C14" s="291"/>
      <c r="D14" s="291"/>
      <c r="E14" s="370" t="s">
        <v>873</v>
      </c>
      <c r="F14" s="370"/>
      <c r="G14" s="370"/>
      <c r="H14" s="370" t="s">
        <v>923</v>
      </c>
      <c r="I14" s="370"/>
      <c r="J14" s="370"/>
      <c r="K14" s="370"/>
      <c r="L14" s="370"/>
    </row>
    <row r="15" spans="1:12" ht="27" x14ac:dyDescent="0.25">
      <c r="A15" s="292" t="s">
        <v>991</v>
      </c>
      <c r="B15" s="292" t="s">
        <v>992</v>
      </c>
      <c r="C15" s="292" t="s">
        <v>993</v>
      </c>
      <c r="D15" s="292" t="s">
        <v>994</v>
      </c>
      <c r="E15" s="292" t="s">
        <v>995</v>
      </c>
      <c r="F15" s="292" t="s">
        <v>996</v>
      </c>
      <c r="G15" s="292" t="s">
        <v>997</v>
      </c>
      <c r="H15" s="292" t="s">
        <v>998</v>
      </c>
      <c r="I15" s="292" t="s">
        <v>999</v>
      </c>
      <c r="J15" s="292" t="s">
        <v>1000</v>
      </c>
      <c r="K15" s="292" t="s">
        <v>1001</v>
      </c>
      <c r="L15" s="292" t="s">
        <v>997</v>
      </c>
    </row>
    <row r="16" spans="1:12" ht="40" x14ac:dyDescent="0.25">
      <c r="A16" s="293" t="s">
        <v>1002</v>
      </c>
      <c r="B16" s="294" t="s">
        <v>1003</v>
      </c>
      <c r="C16" s="295">
        <v>1092</v>
      </c>
      <c r="D16" s="296">
        <v>0.5</v>
      </c>
      <c r="E16" s="371">
        <v>290</v>
      </c>
      <c r="F16" s="295">
        <v>95004</v>
      </c>
      <c r="G16" s="372">
        <v>817034</v>
      </c>
      <c r="H16" s="371">
        <v>15</v>
      </c>
      <c r="I16" s="295">
        <v>4914</v>
      </c>
      <c r="J16" s="371">
        <v>1400</v>
      </c>
      <c r="K16" s="295">
        <v>4586</v>
      </c>
      <c r="L16" s="373">
        <v>81703</v>
      </c>
    </row>
    <row r="17" spans="1:12" ht="40" x14ac:dyDescent="0.25">
      <c r="A17" s="293" t="s">
        <v>1004</v>
      </c>
      <c r="B17" s="294" t="s">
        <v>1005</v>
      </c>
      <c r="C17" s="295">
        <v>3276</v>
      </c>
      <c r="D17" s="296">
        <v>0.12</v>
      </c>
      <c r="E17" s="371"/>
      <c r="F17" s="295">
        <v>68403</v>
      </c>
      <c r="G17" s="372"/>
      <c r="H17" s="371"/>
      <c r="I17" s="295">
        <v>3538</v>
      </c>
      <c r="J17" s="371"/>
      <c r="K17" s="295">
        <v>3302</v>
      </c>
      <c r="L17" s="373"/>
    </row>
    <row r="18" spans="1:12" ht="40" x14ac:dyDescent="0.25">
      <c r="A18" s="293" t="s">
        <v>1006</v>
      </c>
      <c r="B18" s="294" t="s">
        <v>1007</v>
      </c>
      <c r="C18" s="295">
        <v>4392</v>
      </c>
      <c r="D18" s="296">
        <v>0</v>
      </c>
      <c r="E18" s="371"/>
      <c r="F18" s="297" t="s">
        <v>1008</v>
      </c>
      <c r="G18" s="372"/>
      <c r="H18" s="371"/>
      <c r="I18" s="297" t="s">
        <v>1008</v>
      </c>
      <c r="J18" s="371"/>
      <c r="K18" s="297" t="s">
        <v>1008</v>
      </c>
      <c r="L18" s="373"/>
    </row>
  </sheetData>
  <mergeCells count="18">
    <mergeCell ref="E14:G14"/>
    <mergeCell ref="H14:L14"/>
    <mergeCell ref="E16:E18"/>
    <mergeCell ref="G16:G18"/>
    <mergeCell ref="H16:H18"/>
    <mergeCell ref="J16:J18"/>
    <mergeCell ref="L16:L18"/>
    <mergeCell ref="B7:C7"/>
    <mergeCell ref="D7:E7"/>
    <mergeCell ref="G7:H7"/>
    <mergeCell ref="I7:J7"/>
    <mergeCell ref="D1:F1"/>
    <mergeCell ref="G1:K1"/>
    <mergeCell ref="G2:H2"/>
    <mergeCell ref="D2:F2"/>
    <mergeCell ref="I2:J2"/>
    <mergeCell ref="B3:C3"/>
    <mergeCell ref="A1:C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outlinePr summaryBelow="0" summaryRight="0"/>
  </sheetPr>
  <dimension ref="A1:L391"/>
  <sheetViews>
    <sheetView topLeftCell="E1" workbookViewId="0">
      <selection activeCell="K12" sqref="K12"/>
    </sheetView>
  </sheetViews>
  <sheetFormatPr baseColWidth="10" defaultColWidth="12.54296875" defaultRowHeight="15.75" customHeight="1" x14ac:dyDescent="0.25"/>
  <cols>
    <col min="4" max="4" width="95.453125" customWidth="1"/>
    <col min="10" max="10" width="12.81640625" bestFit="1" customWidth="1"/>
  </cols>
  <sheetData>
    <row r="1" spans="1:12" ht="13" x14ac:dyDescent="0.3">
      <c r="A1" s="74" t="s">
        <v>289</v>
      </c>
      <c r="D1" s="74" t="s">
        <v>290</v>
      </c>
      <c r="E1" s="74" t="s">
        <v>291</v>
      </c>
      <c r="F1" s="74" t="s">
        <v>3</v>
      </c>
      <c r="H1" s="257" t="s">
        <v>561</v>
      </c>
      <c r="J1" s="282"/>
      <c r="K1" s="282"/>
      <c r="L1" s="282"/>
    </row>
    <row r="2" spans="1:12" ht="12.5" x14ac:dyDescent="0.25">
      <c r="A2" s="74" t="s">
        <v>292</v>
      </c>
      <c r="D2" s="74" t="s">
        <v>293</v>
      </c>
      <c r="E2" s="75">
        <v>224783</v>
      </c>
      <c r="F2" s="74" t="s">
        <v>294</v>
      </c>
      <c r="G2" s="74" t="s">
        <v>295</v>
      </c>
      <c r="H2" s="282">
        <f>IF(D2=$I$4,E2/$K$3*$J$3,0)</f>
        <v>0</v>
      </c>
      <c r="I2" s="282" t="s">
        <v>1022</v>
      </c>
      <c r="J2" s="282" t="s">
        <v>562</v>
      </c>
      <c r="K2" s="282" t="s">
        <v>1021</v>
      </c>
      <c r="L2" s="282"/>
    </row>
    <row r="3" spans="1:12" ht="12.5" x14ac:dyDescent="0.25">
      <c r="B3" s="74" t="s">
        <v>296</v>
      </c>
      <c r="D3" s="74" t="s">
        <v>297</v>
      </c>
      <c r="E3" s="75">
        <v>176683</v>
      </c>
      <c r="F3" s="74" t="s">
        <v>294</v>
      </c>
      <c r="G3" s="74" t="s">
        <v>295</v>
      </c>
      <c r="H3" s="282">
        <f t="shared" ref="H3:H66" si="0">IF(D3=$I$4,E3/$K$3*$J$3,0)</f>
        <v>0</v>
      </c>
      <c r="I3" s="283" t="s">
        <v>888</v>
      </c>
      <c r="J3" s="279">
        <f>'S3 - Energy use'!F4</f>
        <v>303258.06</v>
      </c>
      <c r="K3" s="282">
        <f>272*5*600</f>
        <v>816000</v>
      </c>
      <c r="L3" s="282"/>
    </row>
    <row r="4" spans="1:12" ht="13" x14ac:dyDescent="0.3">
      <c r="C4" s="74" t="s">
        <v>298</v>
      </c>
      <c r="D4" s="74" t="s">
        <v>299</v>
      </c>
      <c r="E4" s="75">
        <v>71506</v>
      </c>
      <c r="F4" s="74" t="s">
        <v>294</v>
      </c>
      <c r="G4" s="74" t="s">
        <v>295</v>
      </c>
      <c r="H4" s="282">
        <f t="shared" si="0"/>
        <v>0</v>
      </c>
      <c r="I4" s="287" t="s">
        <v>337</v>
      </c>
      <c r="J4" s="282"/>
      <c r="K4" s="282"/>
      <c r="L4" s="282"/>
    </row>
    <row r="5" spans="1:12" ht="12.5" x14ac:dyDescent="0.25">
      <c r="C5" s="74" t="s">
        <v>300</v>
      </c>
      <c r="D5" s="74" t="s">
        <v>301</v>
      </c>
      <c r="E5" s="75">
        <v>23449.4</v>
      </c>
      <c r="F5" s="74" t="s">
        <v>294</v>
      </c>
      <c r="G5" s="74" t="s">
        <v>295</v>
      </c>
      <c r="H5" s="282">
        <f t="shared" si="0"/>
        <v>0</v>
      </c>
      <c r="I5" s="282"/>
      <c r="J5" s="282"/>
      <c r="K5" s="282"/>
      <c r="L5" s="282"/>
    </row>
    <row r="6" spans="1:12" ht="12.5" x14ac:dyDescent="0.25">
      <c r="C6" s="74" t="s">
        <v>302</v>
      </c>
      <c r="D6" s="74" t="s">
        <v>303</v>
      </c>
      <c r="E6" s="75">
        <v>17140.3</v>
      </c>
      <c r="F6" s="74" t="s">
        <v>294</v>
      </c>
      <c r="G6" s="74" t="s">
        <v>295</v>
      </c>
      <c r="H6" s="282">
        <f t="shared" si="0"/>
        <v>0</v>
      </c>
      <c r="I6" s="282"/>
      <c r="J6" s="282"/>
      <c r="K6" s="282"/>
      <c r="L6" s="282"/>
    </row>
    <row r="7" spans="1:12" ht="12.5" x14ac:dyDescent="0.25">
      <c r="C7" s="74" t="s">
        <v>304</v>
      </c>
      <c r="D7" s="74" t="s">
        <v>305</v>
      </c>
      <c r="E7" s="75">
        <v>16845.3</v>
      </c>
      <c r="F7" s="74" t="s">
        <v>294</v>
      </c>
      <c r="G7" s="74" t="s">
        <v>295</v>
      </c>
      <c r="H7" s="282">
        <f t="shared" si="0"/>
        <v>0</v>
      </c>
      <c r="I7" s="282"/>
      <c r="J7" s="283"/>
      <c r="K7" s="283"/>
      <c r="L7" s="282"/>
    </row>
    <row r="8" spans="1:12" ht="12.5" x14ac:dyDescent="0.25">
      <c r="C8" s="74" t="s">
        <v>306</v>
      </c>
      <c r="D8" s="74" t="s">
        <v>307</v>
      </c>
      <c r="E8" s="75">
        <v>13898.1</v>
      </c>
      <c r="F8" s="74" t="s">
        <v>294</v>
      </c>
      <c r="G8" s="74" t="s">
        <v>295</v>
      </c>
      <c r="H8" s="282">
        <f t="shared" si="0"/>
        <v>0</v>
      </c>
      <c r="I8" s="282"/>
      <c r="J8" s="282"/>
      <c r="K8" s="282"/>
      <c r="L8" s="282"/>
    </row>
    <row r="9" spans="1:12" ht="12.5" x14ac:dyDescent="0.25">
      <c r="C9" s="74" t="s">
        <v>308</v>
      </c>
      <c r="D9" s="74" t="s">
        <v>309</v>
      </c>
      <c r="E9" s="74">
        <v>9689.8291399999998</v>
      </c>
      <c r="F9" s="74" t="s">
        <v>294</v>
      </c>
      <c r="G9" s="74" t="s">
        <v>295</v>
      </c>
      <c r="H9" s="282">
        <f t="shared" si="0"/>
        <v>0</v>
      </c>
      <c r="I9" s="282"/>
      <c r="J9" s="282"/>
      <c r="K9" s="282"/>
      <c r="L9" s="282"/>
    </row>
    <row r="10" spans="1:12" ht="12.5" x14ac:dyDescent="0.25">
      <c r="C10" s="74" t="s">
        <v>310</v>
      </c>
      <c r="D10" s="74" t="s">
        <v>311</v>
      </c>
      <c r="E10" s="74">
        <v>7722.6734299999998</v>
      </c>
      <c r="F10" s="74" t="s">
        <v>294</v>
      </c>
      <c r="G10" s="74" t="s">
        <v>295</v>
      </c>
      <c r="H10" s="282">
        <f t="shared" si="0"/>
        <v>0</v>
      </c>
      <c r="I10" s="282"/>
      <c r="J10" s="282"/>
      <c r="K10" s="282"/>
      <c r="L10" s="282"/>
    </row>
    <row r="11" spans="1:12" ht="12.5" x14ac:dyDescent="0.25">
      <c r="C11" s="74" t="s">
        <v>312</v>
      </c>
      <c r="D11" s="74" t="s">
        <v>313</v>
      </c>
      <c r="E11" s="74">
        <v>5496.3654200000001</v>
      </c>
      <c r="F11" s="74" t="s">
        <v>294</v>
      </c>
      <c r="G11" s="74" t="s">
        <v>295</v>
      </c>
      <c r="H11" s="282">
        <f t="shared" si="0"/>
        <v>0</v>
      </c>
      <c r="I11" s="282"/>
      <c r="J11" s="282"/>
      <c r="K11" s="282"/>
      <c r="L11" s="282"/>
    </row>
    <row r="12" spans="1:12" ht="12.5" x14ac:dyDescent="0.25">
      <c r="C12" s="74" t="s">
        <v>314</v>
      </c>
      <c r="D12" s="74" t="s">
        <v>315</v>
      </c>
      <c r="E12" s="74">
        <v>2812.5304099999998</v>
      </c>
      <c r="F12" s="74" t="s">
        <v>294</v>
      </c>
      <c r="G12" s="74" t="s">
        <v>295</v>
      </c>
      <c r="H12" s="282">
        <f t="shared" si="0"/>
        <v>0</v>
      </c>
      <c r="K12" s="290"/>
    </row>
    <row r="13" spans="1:12" ht="12.5" x14ac:dyDescent="0.25">
      <c r="C13" s="74" t="s">
        <v>316</v>
      </c>
      <c r="D13" s="74" t="s">
        <v>317</v>
      </c>
      <c r="E13" s="74">
        <v>2209.6146100000001</v>
      </c>
      <c r="F13" s="74" t="s">
        <v>294</v>
      </c>
      <c r="G13" s="74" t="s">
        <v>295</v>
      </c>
      <c r="H13" s="282">
        <f t="shared" si="0"/>
        <v>0</v>
      </c>
    </row>
    <row r="14" spans="1:12" ht="12.5" x14ac:dyDescent="0.25">
      <c r="C14" s="74" t="s">
        <v>318</v>
      </c>
      <c r="D14" s="74" t="s">
        <v>319</v>
      </c>
      <c r="E14" s="74">
        <v>1755.0391099999999</v>
      </c>
      <c r="F14" s="74" t="s">
        <v>294</v>
      </c>
      <c r="G14" s="74" t="s">
        <v>295</v>
      </c>
      <c r="H14" s="282">
        <f t="shared" si="0"/>
        <v>0</v>
      </c>
    </row>
    <row r="15" spans="1:12" ht="12.5" x14ac:dyDescent="0.25">
      <c r="C15" s="74" t="s">
        <v>320</v>
      </c>
      <c r="D15" s="74" t="s">
        <v>321</v>
      </c>
      <c r="E15" s="74">
        <v>1125.7459100000001</v>
      </c>
      <c r="F15" s="74" t="s">
        <v>294</v>
      </c>
      <c r="G15" s="74" t="s">
        <v>295</v>
      </c>
      <c r="H15" s="282">
        <f t="shared" si="0"/>
        <v>0</v>
      </c>
    </row>
    <row r="16" spans="1:12" ht="12.5" x14ac:dyDescent="0.25">
      <c r="C16" s="74" t="s">
        <v>322</v>
      </c>
      <c r="D16" s="74" t="s">
        <v>323</v>
      </c>
      <c r="E16" s="74">
        <v>913.13832000000002</v>
      </c>
      <c r="F16" s="74" t="s">
        <v>294</v>
      </c>
      <c r="G16" s="74" t="s">
        <v>295</v>
      </c>
      <c r="H16" s="282">
        <f t="shared" si="0"/>
        <v>0</v>
      </c>
    </row>
    <row r="17" spans="1:10" ht="12.5" x14ac:dyDescent="0.25">
      <c r="C17" s="74" t="s">
        <v>324</v>
      </c>
      <c r="D17" s="74" t="s">
        <v>325</v>
      </c>
      <c r="E17" s="74">
        <v>693.94403999999997</v>
      </c>
      <c r="F17" s="74" t="s">
        <v>294</v>
      </c>
      <c r="G17" s="74" t="s">
        <v>295</v>
      </c>
      <c r="H17" s="282">
        <f t="shared" si="0"/>
        <v>0</v>
      </c>
    </row>
    <row r="18" spans="1:10" ht="12.5" x14ac:dyDescent="0.25">
      <c r="C18" s="74" t="s">
        <v>326</v>
      </c>
      <c r="D18" s="74" t="s">
        <v>327</v>
      </c>
      <c r="E18" s="74">
        <v>682.78297999999995</v>
      </c>
      <c r="F18" s="74" t="s">
        <v>294</v>
      </c>
      <c r="G18" s="74" t="s">
        <v>295</v>
      </c>
      <c r="H18" s="282">
        <f t="shared" si="0"/>
        <v>0</v>
      </c>
    </row>
    <row r="19" spans="1:10" ht="12.5" x14ac:dyDescent="0.25">
      <c r="C19" s="74" t="s">
        <v>328</v>
      </c>
      <c r="D19" s="74" t="s">
        <v>329</v>
      </c>
      <c r="E19" s="74">
        <v>294.28773999999999</v>
      </c>
      <c r="F19" s="74" t="s">
        <v>294</v>
      </c>
      <c r="G19" s="74" t="s">
        <v>295</v>
      </c>
      <c r="H19" s="282">
        <f t="shared" si="0"/>
        <v>0</v>
      </c>
    </row>
    <row r="20" spans="1:10" ht="12.5" x14ac:dyDescent="0.25">
      <c r="C20" s="74" t="s">
        <v>330</v>
      </c>
      <c r="D20" s="74" t="s">
        <v>331</v>
      </c>
      <c r="E20" s="74">
        <v>209.72958</v>
      </c>
      <c r="F20" s="74" t="s">
        <v>294</v>
      </c>
      <c r="G20" s="74" t="s">
        <v>295</v>
      </c>
      <c r="H20" s="282">
        <f t="shared" si="0"/>
        <v>0</v>
      </c>
    </row>
    <row r="21" spans="1:10" ht="12.5" x14ac:dyDescent="0.25">
      <c r="C21" s="74" t="s">
        <v>332</v>
      </c>
      <c r="D21" s="74" t="s">
        <v>333</v>
      </c>
      <c r="E21" s="74">
        <v>157.45057</v>
      </c>
      <c r="F21" s="74" t="s">
        <v>294</v>
      </c>
      <c r="G21" s="74" t="s">
        <v>295</v>
      </c>
      <c r="H21" s="282">
        <f t="shared" si="0"/>
        <v>0</v>
      </c>
    </row>
    <row r="22" spans="1:10" ht="12.5" x14ac:dyDescent="0.25">
      <c r="C22" s="74" t="s">
        <v>334</v>
      </c>
      <c r="D22" s="74" t="s">
        <v>335</v>
      </c>
      <c r="E22" s="74">
        <v>80.689639999999997</v>
      </c>
      <c r="F22" s="74" t="s">
        <v>294</v>
      </c>
      <c r="G22" s="74" t="s">
        <v>295</v>
      </c>
      <c r="H22" s="282">
        <f t="shared" si="0"/>
        <v>0</v>
      </c>
    </row>
    <row r="23" spans="1:10" ht="12.5" x14ac:dyDescent="0.25">
      <c r="B23" s="74" t="s">
        <v>336</v>
      </c>
      <c r="D23" s="74" t="s">
        <v>337</v>
      </c>
      <c r="E23" s="75">
        <v>48100.2</v>
      </c>
      <c r="F23" s="74" t="s">
        <v>294</v>
      </c>
      <c r="G23" s="74" t="s">
        <v>295</v>
      </c>
      <c r="H23" s="282">
        <f t="shared" si="0"/>
        <v>17875.947717661762</v>
      </c>
      <c r="J23" s="271"/>
    </row>
    <row r="24" spans="1:10" ht="12.5" x14ac:dyDescent="0.25">
      <c r="A24" s="74" t="s">
        <v>289</v>
      </c>
      <c r="D24" s="74" t="s">
        <v>290</v>
      </c>
      <c r="E24" s="74" t="s">
        <v>291</v>
      </c>
      <c r="F24" s="74" t="s">
        <v>3</v>
      </c>
      <c r="H24" s="282">
        <f t="shared" si="0"/>
        <v>0</v>
      </c>
    </row>
    <row r="25" spans="1:10" ht="12.5" x14ac:dyDescent="0.25">
      <c r="A25" s="74" t="s">
        <v>292</v>
      </c>
      <c r="D25" s="74" t="s">
        <v>293</v>
      </c>
      <c r="E25" s="74">
        <v>582.89125999999999</v>
      </c>
      <c r="F25" s="74" t="s">
        <v>338</v>
      </c>
      <c r="G25" s="74" t="s">
        <v>339</v>
      </c>
      <c r="H25" s="282">
        <f t="shared" si="0"/>
        <v>0</v>
      </c>
    </row>
    <row r="26" spans="1:10" ht="12.5" x14ac:dyDescent="0.25">
      <c r="B26" s="74" t="s">
        <v>340</v>
      </c>
      <c r="D26" s="74" t="s">
        <v>297</v>
      </c>
      <c r="E26" s="74">
        <v>480.39004</v>
      </c>
      <c r="F26" s="74" t="s">
        <v>338</v>
      </c>
      <c r="G26" s="74" t="s">
        <v>339</v>
      </c>
      <c r="H26" s="282">
        <f t="shared" si="0"/>
        <v>0</v>
      </c>
    </row>
    <row r="27" spans="1:10" ht="12.5" x14ac:dyDescent="0.25">
      <c r="C27" s="74" t="s">
        <v>341</v>
      </c>
      <c r="D27" s="74" t="s">
        <v>299</v>
      </c>
      <c r="E27" s="74">
        <v>212.42240000000001</v>
      </c>
      <c r="F27" s="74" t="s">
        <v>338</v>
      </c>
      <c r="G27" s="74" t="s">
        <v>339</v>
      </c>
      <c r="H27" s="282">
        <f t="shared" si="0"/>
        <v>0</v>
      </c>
    </row>
    <row r="28" spans="1:10" ht="12.5" x14ac:dyDescent="0.25">
      <c r="C28" s="74" t="s">
        <v>342</v>
      </c>
      <c r="D28" s="74" t="s">
        <v>301</v>
      </c>
      <c r="E28" s="74">
        <v>64.967529999999996</v>
      </c>
      <c r="F28" s="74" t="s">
        <v>338</v>
      </c>
      <c r="G28" s="74" t="s">
        <v>339</v>
      </c>
      <c r="H28" s="282">
        <f t="shared" si="0"/>
        <v>0</v>
      </c>
    </row>
    <row r="29" spans="1:10" ht="12.5" x14ac:dyDescent="0.25">
      <c r="C29" s="74" t="s">
        <v>343</v>
      </c>
      <c r="D29" s="74" t="s">
        <v>303</v>
      </c>
      <c r="E29" s="74">
        <v>49.59646</v>
      </c>
      <c r="F29" s="74" t="s">
        <v>338</v>
      </c>
      <c r="G29" s="74" t="s">
        <v>339</v>
      </c>
      <c r="H29" s="282">
        <f t="shared" si="0"/>
        <v>0</v>
      </c>
    </row>
    <row r="30" spans="1:10" ht="12.5" x14ac:dyDescent="0.25">
      <c r="C30" s="74" t="s">
        <v>344</v>
      </c>
      <c r="D30" s="74" t="s">
        <v>305</v>
      </c>
      <c r="E30" s="74">
        <v>46.822240000000001</v>
      </c>
      <c r="F30" s="74" t="s">
        <v>338</v>
      </c>
      <c r="G30" s="74" t="s">
        <v>339</v>
      </c>
      <c r="H30" s="282">
        <f t="shared" si="0"/>
        <v>0</v>
      </c>
    </row>
    <row r="31" spans="1:10" ht="12.5" x14ac:dyDescent="0.25">
      <c r="C31" s="74" t="s">
        <v>345</v>
      </c>
      <c r="D31" s="74" t="s">
        <v>307</v>
      </c>
      <c r="E31" s="74">
        <v>35.581940000000003</v>
      </c>
      <c r="F31" s="74" t="s">
        <v>338</v>
      </c>
      <c r="G31" s="74" t="s">
        <v>339</v>
      </c>
      <c r="H31" s="282">
        <f t="shared" si="0"/>
        <v>0</v>
      </c>
    </row>
    <row r="32" spans="1:10" ht="12.5" x14ac:dyDescent="0.25">
      <c r="C32" s="74" t="s">
        <v>346</v>
      </c>
      <c r="D32" s="74" t="s">
        <v>309</v>
      </c>
      <c r="E32" s="74">
        <v>22.729009999999999</v>
      </c>
      <c r="F32" s="74" t="s">
        <v>338</v>
      </c>
      <c r="G32" s="74" t="s">
        <v>339</v>
      </c>
      <c r="H32" s="282">
        <f t="shared" si="0"/>
        <v>0</v>
      </c>
    </row>
    <row r="33" spans="1:8" ht="12.5" x14ac:dyDescent="0.25">
      <c r="C33" s="74" t="s">
        <v>347</v>
      </c>
      <c r="D33" s="74" t="s">
        <v>311</v>
      </c>
      <c r="E33" s="74">
        <v>18.7163</v>
      </c>
      <c r="F33" s="74" t="s">
        <v>338</v>
      </c>
      <c r="G33" s="74" t="s">
        <v>339</v>
      </c>
      <c r="H33" s="282">
        <f t="shared" si="0"/>
        <v>0</v>
      </c>
    </row>
    <row r="34" spans="1:8" ht="12.5" x14ac:dyDescent="0.25">
      <c r="C34" s="74" t="s">
        <v>348</v>
      </c>
      <c r="D34" s="74" t="s">
        <v>313</v>
      </c>
      <c r="E34" s="74">
        <v>12.261329999999999</v>
      </c>
      <c r="F34" s="74" t="s">
        <v>338</v>
      </c>
      <c r="G34" s="74" t="s">
        <v>339</v>
      </c>
      <c r="H34" s="282">
        <f t="shared" si="0"/>
        <v>0</v>
      </c>
    </row>
    <row r="35" spans="1:8" ht="12.5" x14ac:dyDescent="0.25">
      <c r="C35" s="74" t="s">
        <v>349</v>
      </c>
      <c r="D35" s="74" t="s">
        <v>321</v>
      </c>
      <c r="E35" s="74">
        <v>6.1523599999999998</v>
      </c>
      <c r="F35" s="74" t="s">
        <v>338</v>
      </c>
      <c r="G35" s="74" t="s">
        <v>339</v>
      </c>
      <c r="H35" s="282">
        <f t="shared" si="0"/>
        <v>0</v>
      </c>
    </row>
    <row r="36" spans="1:8" ht="12.5" x14ac:dyDescent="0.25">
      <c r="C36" s="74" t="s">
        <v>350</v>
      </c>
      <c r="D36" s="74" t="s">
        <v>319</v>
      </c>
      <c r="E36" s="74">
        <v>2.6791299999999998</v>
      </c>
      <c r="F36" s="74" t="s">
        <v>338</v>
      </c>
      <c r="G36" s="74" t="s">
        <v>339</v>
      </c>
      <c r="H36" s="282">
        <f t="shared" si="0"/>
        <v>0</v>
      </c>
    </row>
    <row r="37" spans="1:8" ht="12.5" x14ac:dyDescent="0.25">
      <c r="C37" s="74" t="s">
        <v>351</v>
      </c>
      <c r="D37" s="74" t="s">
        <v>317</v>
      </c>
      <c r="E37" s="74">
        <v>2.4592000000000001</v>
      </c>
      <c r="F37" s="74" t="s">
        <v>338</v>
      </c>
      <c r="G37" s="74" t="s">
        <v>339</v>
      </c>
      <c r="H37" s="282">
        <f t="shared" si="0"/>
        <v>0</v>
      </c>
    </row>
    <row r="38" spans="1:8" ht="12.5" x14ac:dyDescent="0.25">
      <c r="C38" s="74" t="s">
        <v>352</v>
      </c>
      <c r="D38" s="74" t="s">
        <v>315</v>
      </c>
      <c r="E38" s="74">
        <v>1.92618</v>
      </c>
      <c r="F38" s="74" t="s">
        <v>338</v>
      </c>
      <c r="G38" s="74" t="s">
        <v>339</v>
      </c>
      <c r="H38" s="282">
        <f t="shared" si="0"/>
        <v>0</v>
      </c>
    </row>
    <row r="39" spans="1:8" ht="12.5" x14ac:dyDescent="0.25">
      <c r="C39" s="74" t="s">
        <v>353</v>
      </c>
      <c r="D39" s="74" t="s">
        <v>327</v>
      </c>
      <c r="E39" s="74">
        <v>1.54267</v>
      </c>
      <c r="F39" s="74" t="s">
        <v>338</v>
      </c>
      <c r="G39" s="74" t="s">
        <v>339</v>
      </c>
      <c r="H39" s="282">
        <f t="shared" si="0"/>
        <v>0</v>
      </c>
    </row>
    <row r="40" spans="1:8" ht="12.5" x14ac:dyDescent="0.25">
      <c r="C40" s="74" t="s">
        <v>353</v>
      </c>
      <c r="D40" s="74" t="s">
        <v>323</v>
      </c>
      <c r="E40" s="74">
        <v>1.54068</v>
      </c>
      <c r="F40" s="74" t="s">
        <v>338</v>
      </c>
      <c r="G40" s="74" t="s">
        <v>339</v>
      </c>
      <c r="H40" s="282">
        <f t="shared" si="0"/>
        <v>0</v>
      </c>
    </row>
    <row r="41" spans="1:8" ht="12.5" x14ac:dyDescent="0.25">
      <c r="C41" s="74" t="s">
        <v>330</v>
      </c>
      <c r="D41" s="74" t="s">
        <v>329</v>
      </c>
      <c r="E41" s="74">
        <v>0.52337</v>
      </c>
      <c r="F41" s="74" t="s">
        <v>338</v>
      </c>
      <c r="G41" s="74" t="s">
        <v>339</v>
      </c>
      <c r="H41" s="282">
        <f t="shared" si="0"/>
        <v>0</v>
      </c>
    </row>
    <row r="42" spans="1:8" ht="12.5" x14ac:dyDescent="0.25">
      <c r="C42" s="74" t="s">
        <v>354</v>
      </c>
      <c r="D42" s="74" t="s">
        <v>335</v>
      </c>
      <c r="E42" s="74">
        <v>0.17422000000000001</v>
      </c>
      <c r="F42" s="74" t="s">
        <v>338</v>
      </c>
      <c r="G42" s="74" t="s">
        <v>339</v>
      </c>
      <c r="H42" s="282">
        <f t="shared" si="0"/>
        <v>0</v>
      </c>
    </row>
    <row r="43" spans="1:8" ht="12.5" x14ac:dyDescent="0.25">
      <c r="C43" s="74" t="s">
        <v>354</v>
      </c>
      <c r="D43" s="74" t="s">
        <v>331</v>
      </c>
      <c r="E43" s="74">
        <v>0.16983999999999999</v>
      </c>
      <c r="F43" s="74" t="s">
        <v>338</v>
      </c>
      <c r="G43" s="74" t="s">
        <v>339</v>
      </c>
      <c r="H43" s="282">
        <f t="shared" si="0"/>
        <v>0</v>
      </c>
    </row>
    <row r="44" spans="1:8" ht="12.5" x14ac:dyDescent="0.25">
      <c r="C44" s="74" t="s">
        <v>355</v>
      </c>
      <c r="D44" s="74" t="s">
        <v>325</v>
      </c>
      <c r="E44" s="74">
        <v>0.11883000000000001</v>
      </c>
      <c r="F44" s="74" t="s">
        <v>338</v>
      </c>
      <c r="G44" s="74" t="s">
        <v>339</v>
      </c>
      <c r="H44" s="282">
        <f t="shared" si="0"/>
        <v>0</v>
      </c>
    </row>
    <row r="45" spans="1:8" ht="12.5" x14ac:dyDescent="0.25">
      <c r="C45" s="74" t="s">
        <v>356</v>
      </c>
      <c r="D45" s="74" t="s">
        <v>333</v>
      </c>
      <c r="E45" s="74">
        <v>6.3499999999999997E-3</v>
      </c>
      <c r="F45" s="74" t="s">
        <v>338</v>
      </c>
      <c r="G45" s="74" t="s">
        <v>339</v>
      </c>
      <c r="H45" s="282">
        <f t="shared" si="0"/>
        <v>0</v>
      </c>
    </row>
    <row r="46" spans="1:8" ht="12.5" x14ac:dyDescent="0.25">
      <c r="B46" s="74" t="s">
        <v>357</v>
      </c>
      <c r="D46" s="74" t="s">
        <v>337</v>
      </c>
      <c r="E46" s="74">
        <v>102.50122</v>
      </c>
      <c r="F46" s="74" t="s">
        <v>338</v>
      </c>
      <c r="G46" s="74" t="s">
        <v>339</v>
      </c>
      <c r="H46" s="282">
        <f t="shared" si="0"/>
        <v>38.093530790236763</v>
      </c>
    </row>
    <row r="47" spans="1:8" ht="12.5" x14ac:dyDescent="0.25">
      <c r="A47" s="74" t="s">
        <v>289</v>
      </c>
      <c r="D47" s="74" t="s">
        <v>290</v>
      </c>
      <c r="E47" s="74" t="s">
        <v>291</v>
      </c>
      <c r="F47" s="74" t="s">
        <v>3</v>
      </c>
      <c r="H47" s="282">
        <f t="shared" si="0"/>
        <v>0</v>
      </c>
    </row>
    <row r="48" spans="1:8" ht="12.5" x14ac:dyDescent="0.25">
      <c r="A48" s="74" t="s">
        <v>292</v>
      </c>
      <c r="D48" s="74" t="s">
        <v>293</v>
      </c>
      <c r="E48" s="75">
        <v>57723.5</v>
      </c>
      <c r="F48" s="74" t="s">
        <v>358</v>
      </c>
      <c r="G48" s="74" t="s">
        <v>359</v>
      </c>
      <c r="H48" s="282">
        <f t="shared" si="0"/>
        <v>0</v>
      </c>
    </row>
    <row r="49" spans="2:8" ht="12.5" x14ac:dyDescent="0.25">
      <c r="B49" s="74" t="s">
        <v>360</v>
      </c>
      <c r="D49" s="74" t="s">
        <v>297</v>
      </c>
      <c r="E49" s="75">
        <v>45303.4</v>
      </c>
      <c r="F49" s="74" t="s">
        <v>358</v>
      </c>
      <c r="G49" s="74" t="s">
        <v>359</v>
      </c>
      <c r="H49" s="282">
        <f t="shared" si="0"/>
        <v>0</v>
      </c>
    </row>
    <row r="50" spans="2:8" ht="12.5" x14ac:dyDescent="0.25">
      <c r="C50" s="74" t="s">
        <v>361</v>
      </c>
      <c r="D50" s="74" t="s">
        <v>299</v>
      </c>
      <c r="E50" s="75">
        <v>18587.900000000001</v>
      </c>
      <c r="F50" s="74" t="s">
        <v>358</v>
      </c>
      <c r="G50" s="74" t="s">
        <v>359</v>
      </c>
      <c r="H50" s="282">
        <f t="shared" si="0"/>
        <v>0</v>
      </c>
    </row>
    <row r="51" spans="2:8" ht="12.5" x14ac:dyDescent="0.25">
      <c r="C51" s="74" t="s">
        <v>362</v>
      </c>
      <c r="D51" s="74" t="s">
        <v>301</v>
      </c>
      <c r="E51" s="74">
        <v>6235.1630800000003</v>
      </c>
      <c r="F51" s="74" t="s">
        <v>358</v>
      </c>
      <c r="G51" s="74" t="s">
        <v>359</v>
      </c>
      <c r="H51" s="282">
        <f t="shared" si="0"/>
        <v>0</v>
      </c>
    </row>
    <row r="52" spans="2:8" ht="12.5" x14ac:dyDescent="0.25">
      <c r="C52" s="74" t="s">
        <v>363</v>
      </c>
      <c r="D52" s="74" t="s">
        <v>303</v>
      </c>
      <c r="E52" s="74">
        <v>4414.4202699999996</v>
      </c>
      <c r="F52" s="74" t="s">
        <v>358</v>
      </c>
      <c r="G52" s="74" t="s">
        <v>359</v>
      </c>
      <c r="H52" s="282">
        <f t="shared" si="0"/>
        <v>0</v>
      </c>
    </row>
    <row r="53" spans="2:8" ht="12.5" x14ac:dyDescent="0.25">
      <c r="C53" s="74" t="s">
        <v>364</v>
      </c>
      <c r="D53" s="74" t="s">
        <v>305</v>
      </c>
      <c r="E53" s="74">
        <v>4300.86121</v>
      </c>
      <c r="F53" s="74" t="s">
        <v>358</v>
      </c>
      <c r="G53" s="74" t="s">
        <v>359</v>
      </c>
      <c r="H53" s="282">
        <f t="shared" si="0"/>
        <v>0</v>
      </c>
    </row>
    <row r="54" spans="2:8" ht="12.5" x14ac:dyDescent="0.25">
      <c r="C54" s="74" t="s">
        <v>365</v>
      </c>
      <c r="D54" s="74" t="s">
        <v>307</v>
      </c>
      <c r="E54" s="74">
        <v>3682.4736800000001</v>
      </c>
      <c r="F54" s="74" t="s">
        <v>358</v>
      </c>
      <c r="G54" s="74" t="s">
        <v>359</v>
      </c>
      <c r="H54" s="282">
        <f t="shared" si="0"/>
        <v>0</v>
      </c>
    </row>
    <row r="55" spans="2:8" ht="12.5" x14ac:dyDescent="0.25">
      <c r="C55" s="74" t="s">
        <v>366</v>
      </c>
      <c r="D55" s="74" t="s">
        <v>309</v>
      </c>
      <c r="E55" s="74">
        <v>2362.0788899999998</v>
      </c>
      <c r="F55" s="74" t="s">
        <v>358</v>
      </c>
      <c r="G55" s="74" t="s">
        <v>359</v>
      </c>
      <c r="H55" s="282">
        <f t="shared" si="0"/>
        <v>0</v>
      </c>
    </row>
    <row r="56" spans="2:8" ht="12.5" x14ac:dyDescent="0.25">
      <c r="C56" s="74" t="s">
        <v>367</v>
      </c>
      <c r="D56" s="74" t="s">
        <v>311</v>
      </c>
      <c r="E56" s="74">
        <v>1920.2880399999999</v>
      </c>
      <c r="F56" s="74" t="s">
        <v>358</v>
      </c>
      <c r="G56" s="74" t="s">
        <v>359</v>
      </c>
      <c r="H56" s="282">
        <f t="shared" si="0"/>
        <v>0</v>
      </c>
    </row>
    <row r="57" spans="2:8" ht="12.5" x14ac:dyDescent="0.25">
      <c r="C57" s="74" t="s">
        <v>368</v>
      </c>
      <c r="D57" s="74" t="s">
        <v>313</v>
      </c>
      <c r="E57" s="74">
        <v>1421.57116</v>
      </c>
      <c r="F57" s="74" t="s">
        <v>358</v>
      </c>
      <c r="G57" s="74" t="s">
        <v>359</v>
      </c>
      <c r="H57" s="282">
        <f t="shared" si="0"/>
        <v>0</v>
      </c>
    </row>
    <row r="58" spans="2:8" ht="12.5" x14ac:dyDescent="0.25">
      <c r="C58" s="74" t="s">
        <v>369</v>
      </c>
      <c r="D58" s="74" t="s">
        <v>317</v>
      </c>
      <c r="E58" s="74">
        <v>765.12562000000003</v>
      </c>
      <c r="F58" s="74" t="s">
        <v>358</v>
      </c>
      <c r="G58" s="74" t="s">
        <v>359</v>
      </c>
      <c r="H58" s="282">
        <f t="shared" si="0"/>
        <v>0</v>
      </c>
    </row>
    <row r="59" spans="2:8" ht="12.5" x14ac:dyDescent="0.25">
      <c r="C59" s="74" t="s">
        <v>370</v>
      </c>
      <c r="D59" s="74" t="s">
        <v>321</v>
      </c>
      <c r="E59" s="74">
        <v>356.8229</v>
      </c>
      <c r="F59" s="74" t="s">
        <v>358</v>
      </c>
      <c r="G59" s="74" t="s">
        <v>359</v>
      </c>
      <c r="H59" s="282">
        <f t="shared" si="0"/>
        <v>0</v>
      </c>
    </row>
    <row r="60" spans="2:8" ht="12.5" x14ac:dyDescent="0.25">
      <c r="C60" s="74" t="s">
        <v>371</v>
      </c>
      <c r="D60" s="74" t="s">
        <v>319</v>
      </c>
      <c r="E60" s="74">
        <v>341.09197</v>
      </c>
      <c r="F60" s="74" t="s">
        <v>358</v>
      </c>
      <c r="G60" s="74" t="s">
        <v>359</v>
      </c>
      <c r="H60" s="282">
        <f t="shared" si="0"/>
        <v>0</v>
      </c>
    </row>
    <row r="61" spans="2:8" ht="12.5" x14ac:dyDescent="0.25">
      <c r="C61" s="74" t="s">
        <v>372</v>
      </c>
      <c r="D61" s="74" t="s">
        <v>323</v>
      </c>
      <c r="E61" s="74">
        <v>260.06371000000001</v>
      </c>
      <c r="F61" s="74" t="s">
        <v>358</v>
      </c>
      <c r="G61" s="74" t="s">
        <v>359</v>
      </c>
      <c r="H61" s="282">
        <f t="shared" si="0"/>
        <v>0</v>
      </c>
    </row>
    <row r="62" spans="2:8" ht="12.5" x14ac:dyDescent="0.25">
      <c r="C62" s="74" t="s">
        <v>351</v>
      </c>
      <c r="D62" s="74" t="s">
        <v>315</v>
      </c>
      <c r="E62" s="74">
        <v>240.48228</v>
      </c>
      <c r="F62" s="74" t="s">
        <v>358</v>
      </c>
      <c r="G62" s="74" t="s">
        <v>359</v>
      </c>
      <c r="H62" s="282">
        <f t="shared" si="0"/>
        <v>0</v>
      </c>
    </row>
    <row r="63" spans="2:8" ht="12.5" x14ac:dyDescent="0.25">
      <c r="C63" s="74" t="s">
        <v>373</v>
      </c>
      <c r="D63" s="74" t="s">
        <v>327</v>
      </c>
      <c r="E63" s="74">
        <v>168.07948999999999</v>
      </c>
      <c r="F63" s="74" t="s">
        <v>358</v>
      </c>
      <c r="G63" s="74" t="s">
        <v>359</v>
      </c>
      <c r="H63" s="282">
        <f t="shared" si="0"/>
        <v>0</v>
      </c>
    </row>
    <row r="64" spans="2:8" ht="12.5" x14ac:dyDescent="0.25">
      <c r="C64" s="74" t="s">
        <v>353</v>
      </c>
      <c r="D64" s="74" t="s">
        <v>331</v>
      </c>
      <c r="E64" s="74">
        <v>150.37545</v>
      </c>
      <c r="F64" s="74" t="s">
        <v>358</v>
      </c>
      <c r="G64" s="74" t="s">
        <v>359</v>
      </c>
      <c r="H64" s="282">
        <f t="shared" si="0"/>
        <v>0</v>
      </c>
    </row>
    <row r="65" spans="1:8" ht="12.5" x14ac:dyDescent="0.25">
      <c r="C65" s="74" t="s">
        <v>374</v>
      </c>
      <c r="D65" s="74" t="s">
        <v>329</v>
      </c>
      <c r="E65" s="74">
        <v>62.634740000000001</v>
      </c>
      <c r="F65" s="74" t="s">
        <v>358</v>
      </c>
      <c r="G65" s="74" t="s">
        <v>359</v>
      </c>
      <c r="H65" s="282">
        <f t="shared" si="0"/>
        <v>0</v>
      </c>
    </row>
    <row r="66" spans="1:8" ht="12.5" x14ac:dyDescent="0.25">
      <c r="C66" s="74" t="s">
        <v>354</v>
      </c>
      <c r="D66" s="74" t="s">
        <v>335</v>
      </c>
      <c r="E66" s="74">
        <v>18.884209999999999</v>
      </c>
      <c r="F66" s="74" t="s">
        <v>358</v>
      </c>
      <c r="G66" s="74" t="s">
        <v>359</v>
      </c>
      <c r="H66" s="282">
        <f t="shared" si="0"/>
        <v>0</v>
      </c>
    </row>
    <row r="67" spans="1:8" ht="12.5" x14ac:dyDescent="0.25">
      <c r="C67" s="74" t="s">
        <v>355</v>
      </c>
      <c r="D67" s="74" t="s">
        <v>325</v>
      </c>
      <c r="E67" s="74">
        <v>14.18216</v>
      </c>
      <c r="F67" s="74" t="s">
        <v>358</v>
      </c>
      <c r="G67" s="74" t="s">
        <v>359</v>
      </c>
      <c r="H67" s="282">
        <f t="shared" ref="H67:H130" si="1">IF(D67=$I$4,E67/$K$3*$J$3,0)</f>
        <v>0</v>
      </c>
    </row>
    <row r="68" spans="1:8" ht="12.5" x14ac:dyDescent="0.25">
      <c r="C68" s="74" t="s">
        <v>356</v>
      </c>
      <c r="D68" s="74" t="s">
        <v>333</v>
      </c>
      <c r="E68" s="74">
        <v>0.90466999999999997</v>
      </c>
      <c r="F68" s="74" t="s">
        <v>358</v>
      </c>
      <c r="G68" s="74" t="s">
        <v>359</v>
      </c>
      <c r="H68" s="282">
        <f t="shared" si="1"/>
        <v>0</v>
      </c>
    </row>
    <row r="69" spans="1:8" ht="12.5" x14ac:dyDescent="0.25">
      <c r="B69" s="74" t="s">
        <v>375</v>
      </c>
      <c r="D69" s="74" t="s">
        <v>337</v>
      </c>
      <c r="E69" s="75">
        <v>12420.1</v>
      </c>
      <c r="F69" s="74" t="s">
        <v>358</v>
      </c>
      <c r="G69" s="74" t="s">
        <v>359</v>
      </c>
      <c r="H69" s="282">
        <f t="shared" si="1"/>
        <v>4615.8032242720583</v>
      </c>
    </row>
    <row r="70" spans="1:8" ht="12.5" x14ac:dyDescent="0.25">
      <c r="A70" s="74" t="s">
        <v>289</v>
      </c>
      <c r="D70" s="74" t="s">
        <v>290</v>
      </c>
      <c r="E70" s="74" t="s">
        <v>291</v>
      </c>
      <c r="F70" s="74" t="s">
        <v>3</v>
      </c>
      <c r="G70" s="74" t="s">
        <v>359</v>
      </c>
      <c r="H70" s="282">
        <f t="shared" si="1"/>
        <v>0</v>
      </c>
    </row>
    <row r="71" spans="1:8" ht="12.5" x14ac:dyDescent="0.25">
      <c r="A71" s="74" t="s">
        <v>292</v>
      </c>
      <c r="D71" s="74" t="s">
        <v>293</v>
      </c>
      <c r="E71" s="75">
        <v>101937</v>
      </c>
      <c r="F71" s="74" t="s">
        <v>376</v>
      </c>
      <c r="G71" s="74" t="s">
        <v>377</v>
      </c>
      <c r="H71" s="282">
        <f t="shared" si="1"/>
        <v>0</v>
      </c>
    </row>
    <row r="72" spans="1:8" ht="12.5" x14ac:dyDescent="0.25">
      <c r="B72" s="74" t="s">
        <v>378</v>
      </c>
      <c r="D72" s="74" t="s">
        <v>297</v>
      </c>
      <c r="E72" s="75">
        <v>80155</v>
      </c>
      <c r="F72" s="74" t="s">
        <v>376</v>
      </c>
      <c r="G72" s="74" t="s">
        <v>377</v>
      </c>
      <c r="H72" s="282">
        <f t="shared" si="1"/>
        <v>0</v>
      </c>
    </row>
    <row r="73" spans="1:8" ht="12.5" x14ac:dyDescent="0.25">
      <c r="C73" s="74" t="s">
        <v>379</v>
      </c>
      <c r="D73" s="74" t="s">
        <v>299</v>
      </c>
      <c r="E73" s="75">
        <v>45952.3</v>
      </c>
      <c r="F73" s="74" t="s">
        <v>376</v>
      </c>
      <c r="G73" s="74" t="s">
        <v>377</v>
      </c>
      <c r="H73" s="282">
        <f t="shared" si="1"/>
        <v>0</v>
      </c>
    </row>
    <row r="74" spans="1:8" ht="12.5" x14ac:dyDescent="0.25">
      <c r="C74" s="74" t="s">
        <v>380</v>
      </c>
      <c r="D74" s="74" t="s">
        <v>303</v>
      </c>
      <c r="E74" s="74">
        <v>7771.9188100000001</v>
      </c>
      <c r="F74" s="74" t="s">
        <v>376</v>
      </c>
      <c r="G74" s="74" t="s">
        <v>377</v>
      </c>
      <c r="H74" s="282">
        <f t="shared" si="1"/>
        <v>0</v>
      </c>
    </row>
    <row r="75" spans="1:8" ht="12.5" x14ac:dyDescent="0.25">
      <c r="C75" s="74" t="s">
        <v>381</v>
      </c>
      <c r="D75" s="74" t="s">
        <v>307</v>
      </c>
      <c r="E75" s="74">
        <v>6768.8585800000001</v>
      </c>
      <c r="F75" s="74" t="s">
        <v>376</v>
      </c>
      <c r="G75" s="74" t="s">
        <v>377</v>
      </c>
      <c r="H75" s="282">
        <f t="shared" si="1"/>
        <v>0</v>
      </c>
    </row>
    <row r="76" spans="1:8" ht="12.5" x14ac:dyDescent="0.25">
      <c r="C76" s="74" t="s">
        <v>382</v>
      </c>
      <c r="D76" s="74" t="s">
        <v>301</v>
      </c>
      <c r="E76" s="74">
        <v>4296.1438200000002</v>
      </c>
      <c r="F76" s="74" t="s">
        <v>376</v>
      </c>
      <c r="G76" s="74" t="s">
        <v>377</v>
      </c>
      <c r="H76" s="282">
        <f t="shared" si="1"/>
        <v>0</v>
      </c>
    </row>
    <row r="77" spans="1:8" ht="12.5" x14ac:dyDescent="0.25">
      <c r="C77" s="74" t="s">
        <v>366</v>
      </c>
      <c r="D77" s="74" t="s">
        <v>313</v>
      </c>
      <c r="E77" s="74">
        <v>4171.3950599999998</v>
      </c>
      <c r="F77" s="74" t="s">
        <v>376</v>
      </c>
      <c r="G77" s="74" t="s">
        <v>377</v>
      </c>
      <c r="H77" s="282">
        <f t="shared" si="1"/>
        <v>0</v>
      </c>
    </row>
    <row r="78" spans="1:8" ht="12.5" x14ac:dyDescent="0.25">
      <c r="C78" s="74" t="s">
        <v>383</v>
      </c>
      <c r="D78" s="74" t="s">
        <v>305</v>
      </c>
      <c r="E78" s="74">
        <v>3238.2011900000002</v>
      </c>
      <c r="F78" s="74" t="s">
        <v>376</v>
      </c>
      <c r="G78" s="74" t="s">
        <v>377</v>
      </c>
      <c r="H78" s="282">
        <f t="shared" si="1"/>
        <v>0</v>
      </c>
    </row>
    <row r="79" spans="1:8" ht="12.5" x14ac:dyDescent="0.25">
      <c r="C79" s="74" t="s">
        <v>384</v>
      </c>
      <c r="D79" s="74" t="s">
        <v>309</v>
      </c>
      <c r="E79" s="74">
        <v>3191.2304600000002</v>
      </c>
      <c r="F79" s="74" t="s">
        <v>376</v>
      </c>
      <c r="G79" s="74" t="s">
        <v>377</v>
      </c>
      <c r="H79" s="282">
        <f t="shared" si="1"/>
        <v>0</v>
      </c>
    </row>
    <row r="80" spans="1:8" ht="12.5" x14ac:dyDescent="0.25">
      <c r="C80" s="74" t="s">
        <v>385</v>
      </c>
      <c r="D80" s="74" t="s">
        <v>315</v>
      </c>
      <c r="E80" s="74">
        <v>3178.5144300000002</v>
      </c>
      <c r="F80" s="74" t="s">
        <v>376</v>
      </c>
      <c r="G80" s="74" t="s">
        <v>377</v>
      </c>
      <c r="H80" s="282">
        <f t="shared" si="1"/>
        <v>0</v>
      </c>
    </row>
    <row r="81" spans="1:8" ht="12.5" x14ac:dyDescent="0.25">
      <c r="C81" s="74" t="s">
        <v>386</v>
      </c>
      <c r="D81" s="74" t="s">
        <v>311</v>
      </c>
      <c r="E81" s="74">
        <v>1402.1104399999999</v>
      </c>
      <c r="F81" s="74" t="s">
        <v>376</v>
      </c>
      <c r="G81" s="74" t="s">
        <v>377</v>
      </c>
      <c r="H81" s="282">
        <f t="shared" si="1"/>
        <v>0</v>
      </c>
    </row>
    <row r="82" spans="1:8" ht="12.5" x14ac:dyDescent="0.25">
      <c r="C82" s="74" t="s">
        <v>334</v>
      </c>
      <c r="D82" s="74" t="s">
        <v>323</v>
      </c>
      <c r="E82" s="74">
        <v>35.976649999999999</v>
      </c>
      <c r="F82" s="74" t="s">
        <v>376</v>
      </c>
      <c r="G82" s="74" t="s">
        <v>377</v>
      </c>
      <c r="H82" s="282">
        <f t="shared" si="1"/>
        <v>0</v>
      </c>
    </row>
    <row r="83" spans="1:8" ht="12.5" x14ac:dyDescent="0.25">
      <c r="C83" s="74" t="s">
        <v>334</v>
      </c>
      <c r="D83" s="74" t="s">
        <v>325</v>
      </c>
      <c r="E83" s="74">
        <v>35.817900000000002</v>
      </c>
      <c r="F83" s="74" t="s">
        <v>376</v>
      </c>
      <c r="G83" s="74" t="s">
        <v>377</v>
      </c>
      <c r="H83" s="282">
        <f t="shared" si="1"/>
        <v>0</v>
      </c>
    </row>
    <row r="84" spans="1:8" ht="12.5" x14ac:dyDescent="0.25">
      <c r="C84" s="74" t="s">
        <v>354</v>
      </c>
      <c r="D84" s="74" t="s">
        <v>317</v>
      </c>
      <c r="E84" s="74">
        <v>31.754259999999999</v>
      </c>
      <c r="F84" s="74" t="s">
        <v>376</v>
      </c>
      <c r="G84" s="74" t="s">
        <v>377</v>
      </c>
      <c r="H84" s="282">
        <f t="shared" si="1"/>
        <v>0</v>
      </c>
    </row>
    <row r="85" spans="1:8" ht="12.5" x14ac:dyDescent="0.25">
      <c r="C85" s="74" t="s">
        <v>355</v>
      </c>
      <c r="D85" s="74" t="s">
        <v>319</v>
      </c>
      <c r="E85" s="74">
        <v>22.020050000000001</v>
      </c>
      <c r="F85" s="74" t="s">
        <v>376</v>
      </c>
      <c r="G85" s="74" t="s">
        <v>377</v>
      </c>
      <c r="H85" s="282">
        <f t="shared" si="1"/>
        <v>0</v>
      </c>
    </row>
    <row r="86" spans="1:8" ht="12.5" x14ac:dyDescent="0.25">
      <c r="C86" s="74" t="s">
        <v>355</v>
      </c>
      <c r="D86" s="74" t="s">
        <v>327</v>
      </c>
      <c r="E86" s="74">
        <v>18.510549999999999</v>
      </c>
      <c r="F86" s="74" t="s">
        <v>376</v>
      </c>
      <c r="G86" s="74" t="s">
        <v>377</v>
      </c>
      <c r="H86" s="282">
        <f t="shared" si="1"/>
        <v>0</v>
      </c>
    </row>
    <row r="87" spans="1:8" ht="12.5" x14ac:dyDescent="0.25">
      <c r="C87" s="74" t="s">
        <v>355</v>
      </c>
      <c r="D87" s="74" t="s">
        <v>333</v>
      </c>
      <c r="E87" s="74">
        <v>16.265429999999999</v>
      </c>
      <c r="F87" s="74" t="s">
        <v>376</v>
      </c>
      <c r="G87" s="74" t="s">
        <v>377</v>
      </c>
      <c r="H87" s="282">
        <f t="shared" si="1"/>
        <v>0</v>
      </c>
    </row>
    <row r="88" spans="1:8" ht="12.5" x14ac:dyDescent="0.25">
      <c r="C88" s="74" t="s">
        <v>387</v>
      </c>
      <c r="D88" s="74" t="s">
        <v>329</v>
      </c>
      <c r="E88" s="74">
        <v>14.29623</v>
      </c>
      <c r="F88" s="74" t="s">
        <v>376</v>
      </c>
      <c r="G88" s="74" t="s">
        <v>377</v>
      </c>
      <c r="H88" s="282">
        <f t="shared" si="1"/>
        <v>0</v>
      </c>
    </row>
    <row r="89" spans="1:8" ht="12.5" x14ac:dyDescent="0.25">
      <c r="C89" s="74" t="s">
        <v>387</v>
      </c>
      <c r="D89" s="74" t="s">
        <v>321</v>
      </c>
      <c r="E89" s="74">
        <v>7.5837000000000003</v>
      </c>
      <c r="F89" s="74" t="s">
        <v>376</v>
      </c>
      <c r="G89" s="74" t="s">
        <v>377</v>
      </c>
      <c r="H89" s="282">
        <f t="shared" si="1"/>
        <v>0</v>
      </c>
    </row>
    <row r="90" spans="1:8" ht="12.5" x14ac:dyDescent="0.25">
      <c r="C90" s="74" t="s">
        <v>356</v>
      </c>
      <c r="D90" s="74" t="s">
        <v>335</v>
      </c>
      <c r="E90" s="74">
        <v>1.6061399999999999</v>
      </c>
      <c r="F90" s="74" t="s">
        <v>376</v>
      </c>
      <c r="G90" s="74" t="s">
        <v>377</v>
      </c>
      <c r="H90" s="282">
        <f t="shared" si="1"/>
        <v>0</v>
      </c>
    </row>
    <row r="91" spans="1:8" ht="12.5" x14ac:dyDescent="0.25">
      <c r="C91" s="74" t="s">
        <v>356</v>
      </c>
      <c r="D91" s="74" t="s">
        <v>331</v>
      </c>
      <c r="E91" s="74">
        <v>0.51490999999999998</v>
      </c>
      <c r="F91" s="74" t="s">
        <v>376</v>
      </c>
      <c r="G91" s="74" t="s">
        <v>377</v>
      </c>
      <c r="H91" s="282">
        <f t="shared" si="1"/>
        <v>0</v>
      </c>
    </row>
    <row r="92" spans="1:8" ht="12.5" x14ac:dyDescent="0.25">
      <c r="B92" s="74" t="s">
        <v>388</v>
      </c>
      <c r="D92" s="74" t="s">
        <v>337</v>
      </c>
      <c r="E92" s="75">
        <v>21781.7</v>
      </c>
      <c r="F92" s="74" t="s">
        <v>376</v>
      </c>
      <c r="G92" s="74" t="s">
        <v>377</v>
      </c>
      <c r="H92" s="282">
        <f t="shared" si="1"/>
        <v>8094.9461832132356</v>
      </c>
    </row>
    <row r="93" spans="1:8" ht="12.5" x14ac:dyDescent="0.25">
      <c r="A93" s="74" t="s">
        <v>289</v>
      </c>
      <c r="D93" s="74" t="s">
        <v>290</v>
      </c>
      <c r="E93" s="74" t="s">
        <v>291</v>
      </c>
      <c r="F93" s="74" t="s">
        <v>3</v>
      </c>
      <c r="H93" s="282">
        <f t="shared" si="1"/>
        <v>0</v>
      </c>
    </row>
    <row r="94" spans="1:8" ht="12.5" x14ac:dyDescent="0.25">
      <c r="A94" s="74" t="s">
        <v>292</v>
      </c>
      <c r="D94" s="74" t="s">
        <v>293</v>
      </c>
      <c r="E94" s="74">
        <v>509.72197999999997</v>
      </c>
      <c r="F94" s="74" t="s">
        <v>389</v>
      </c>
      <c r="G94" s="74" t="s">
        <v>390</v>
      </c>
      <c r="H94" s="282">
        <f t="shared" si="1"/>
        <v>0</v>
      </c>
    </row>
    <row r="95" spans="1:8" ht="12.5" x14ac:dyDescent="0.25">
      <c r="B95" s="74" t="s">
        <v>391</v>
      </c>
      <c r="D95" s="74" t="s">
        <v>297</v>
      </c>
      <c r="E95" s="74">
        <v>475.74247000000003</v>
      </c>
      <c r="F95" s="74" t="s">
        <v>389</v>
      </c>
      <c r="G95" s="74" t="s">
        <v>390</v>
      </c>
      <c r="H95" s="282">
        <f t="shared" si="1"/>
        <v>0</v>
      </c>
    </row>
    <row r="96" spans="1:8" ht="12.5" x14ac:dyDescent="0.25">
      <c r="C96" s="74" t="s">
        <v>392</v>
      </c>
      <c r="D96" s="74" t="s">
        <v>299</v>
      </c>
      <c r="E96" s="74">
        <v>276.39717999999999</v>
      </c>
      <c r="F96" s="74" t="s">
        <v>389</v>
      </c>
      <c r="G96" s="74" t="s">
        <v>390</v>
      </c>
      <c r="H96" s="282">
        <f t="shared" si="1"/>
        <v>0</v>
      </c>
    </row>
    <row r="97" spans="3:8" ht="12.5" x14ac:dyDescent="0.25">
      <c r="C97" s="74" t="s">
        <v>393</v>
      </c>
      <c r="D97" s="74" t="s">
        <v>303</v>
      </c>
      <c r="E97" s="74">
        <v>48.777839999999998</v>
      </c>
      <c r="F97" s="74" t="s">
        <v>389</v>
      </c>
      <c r="G97" s="74" t="s">
        <v>390</v>
      </c>
      <c r="H97" s="282">
        <f t="shared" si="1"/>
        <v>0</v>
      </c>
    </row>
    <row r="98" spans="3:8" ht="12.5" x14ac:dyDescent="0.25">
      <c r="C98" s="74" t="s">
        <v>394</v>
      </c>
      <c r="D98" s="74" t="s">
        <v>307</v>
      </c>
      <c r="E98" s="74">
        <v>41.633659999999999</v>
      </c>
      <c r="F98" s="74" t="s">
        <v>389</v>
      </c>
      <c r="G98" s="74" t="s">
        <v>390</v>
      </c>
      <c r="H98" s="282">
        <f t="shared" si="1"/>
        <v>0</v>
      </c>
    </row>
    <row r="99" spans="3:8" ht="12.5" x14ac:dyDescent="0.25">
      <c r="C99" s="74" t="s">
        <v>395</v>
      </c>
      <c r="D99" s="74" t="s">
        <v>301</v>
      </c>
      <c r="E99" s="74">
        <v>30.402670000000001</v>
      </c>
      <c r="F99" s="74" t="s">
        <v>389</v>
      </c>
      <c r="G99" s="74" t="s">
        <v>390</v>
      </c>
      <c r="H99" s="282">
        <f t="shared" si="1"/>
        <v>0</v>
      </c>
    </row>
    <row r="100" spans="3:8" ht="12.5" x14ac:dyDescent="0.25">
      <c r="C100" s="74" t="s">
        <v>396</v>
      </c>
      <c r="D100" s="74" t="s">
        <v>313</v>
      </c>
      <c r="E100" s="74">
        <v>24.823360000000001</v>
      </c>
      <c r="F100" s="74" t="s">
        <v>389</v>
      </c>
      <c r="G100" s="74" t="s">
        <v>390</v>
      </c>
      <c r="H100" s="282">
        <f t="shared" si="1"/>
        <v>0</v>
      </c>
    </row>
    <row r="101" spans="3:8" ht="12.5" x14ac:dyDescent="0.25">
      <c r="C101" s="74" t="s">
        <v>397</v>
      </c>
      <c r="D101" s="74" t="s">
        <v>305</v>
      </c>
      <c r="E101" s="74">
        <v>20.554410000000001</v>
      </c>
      <c r="F101" s="74" t="s">
        <v>389</v>
      </c>
      <c r="G101" s="74" t="s">
        <v>390</v>
      </c>
      <c r="H101" s="282">
        <f t="shared" si="1"/>
        <v>0</v>
      </c>
    </row>
    <row r="102" spans="3:8" ht="12.5" x14ac:dyDescent="0.25">
      <c r="C102" s="74" t="s">
        <v>398</v>
      </c>
      <c r="D102" s="74" t="s">
        <v>309</v>
      </c>
      <c r="E102" s="74">
        <v>20.401340000000001</v>
      </c>
      <c r="F102" s="74" t="s">
        <v>389</v>
      </c>
      <c r="G102" s="74" t="s">
        <v>390</v>
      </c>
      <c r="H102" s="282">
        <f t="shared" si="1"/>
        <v>0</v>
      </c>
    </row>
    <row r="103" spans="3:8" ht="12.5" x14ac:dyDescent="0.25">
      <c r="C103" s="74" t="s">
        <v>399</v>
      </c>
      <c r="D103" s="74" t="s">
        <v>311</v>
      </c>
      <c r="E103" s="74">
        <v>10.67671</v>
      </c>
      <c r="F103" s="74" t="s">
        <v>389</v>
      </c>
      <c r="G103" s="74" t="s">
        <v>390</v>
      </c>
      <c r="H103" s="282">
        <f t="shared" si="1"/>
        <v>0</v>
      </c>
    </row>
    <row r="104" spans="3:8" ht="12.5" x14ac:dyDescent="0.25">
      <c r="C104" s="74" t="s">
        <v>374</v>
      </c>
      <c r="D104" s="74" t="s">
        <v>315</v>
      </c>
      <c r="E104" s="74">
        <v>0.54895000000000005</v>
      </c>
      <c r="F104" s="74" t="s">
        <v>389</v>
      </c>
      <c r="G104" s="74" t="s">
        <v>390</v>
      </c>
      <c r="H104" s="282">
        <f t="shared" si="1"/>
        <v>0</v>
      </c>
    </row>
    <row r="105" spans="3:8" ht="12.5" x14ac:dyDescent="0.25">
      <c r="C105" s="74" t="s">
        <v>400</v>
      </c>
      <c r="D105" s="74" t="s">
        <v>323</v>
      </c>
      <c r="E105" s="74">
        <v>0.41598000000000002</v>
      </c>
      <c r="F105" s="74" t="s">
        <v>389</v>
      </c>
      <c r="G105" s="74" t="s">
        <v>390</v>
      </c>
      <c r="H105" s="282">
        <f t="shared" si="1"/>
        <v>0</v>
      </c>
    </row>
    <row r="106" spans="3:8" ht="12.5" x14ac:dyDescent="0.25">
      <c r="C106" s="74" t="s">
        <v>401</v>
      </c>
      <c r="D106" s="74" t="s">
        <v>319</v>
      </c>
      <c r="E106" s="74">
        <v>0.32395000000000002</v>
      </c>
      <c r="F106" s="74" t="s">
        <v>389</v>
      </c>
      <c r="G106" s="74" t="s">
        <v>390</v>
      </c>
      <c r="H106" s="282">
        <f t="shared" si="1"/>
        <v>0</v>
      </c>
    </row>
    <row r="107" spans="3:8" ht="12.5" x14ac:dyDescent="0.25">
      <c r="C107" s="74" t="s">
        <v>401</v>
      </c>
      <c r="D107" s="74" t="s">
        <v>327</v>
      </c>
      <c r="E107" s="74">
        <v>0.30786999999999998</v>
      </c>
      <c r="F107" s="74" t="s">
        <v>389</v>
      </c>
      <c r="G107" s="74" t="s">
        <v>390</v>
      </c>
      <c r="H107" s="282">
        <f t="shared" si="1"/>
        <v>0</v>
      </c>
    </row>
    <row r="108" spans="3:8" ht="12.5" x14ac:dyDescent="0.25">
      <c r="C108" s="74" t="s">
        <v>354</v>
      </c>
      <c r="D108" s="74" t="s">
        <v>317</v>
      </c>
      <c r="E108" s="74">
        <v>0.17158000000000001</v>
      </c>
      <c r="F108" s="74" t="s">
        <v>389</v>
      </c>
      <c r="G108" s="74" t="s">
        <v>390</v>
      </c>
      <c r="H108" s="282">
        <f t="shared" si="1"/>
        <v>0</v>
      </c>
    </row>
    <row r="109" spans="3:8" ht="12.5" x14ac:dyDescent="0.25">
      <c r="C109" s="74" t="s">
        <v>354</v>
      </c>
      <c r="D109" s="74" t="s">
        <v>321</v>
      </c>
      <c r="E109" s="74">
        <v>0.15132999999999999</v>
      </c>
      <c r="F109" s="74" t="s">
        <v>389</v>
      </c>
      <c r="G109" s="74" t="s">
        <v>390</v>
      </c>
      <c r="H109" s="282">
        <f t="shared" si="1"/>
        <v>0</v>
      </c>
    </row>
    <row r="110" spans="3:8" ht="12.5" x14ac:dyDescent="0.25">
      <c r="C110" s="74" t="s">
        <v>355</v>
      </c>
      <c r="D110" s="74" t="s">
        <v>329</v>
      </c>
      <c r="E110" s="74">
        <v>9.0469999999999995E-2</v>
      </c>
      <c r="F110" s="74" t="s">
        <v>389</v>
      </c>
      <c r="G110" s="74" t="s">
        <v>390</v>
      </c>
      <c r="H110" s="282">
        <f t="shared" si="1"/>
        <v>0</v>
      </c>
    </row>
    <row r="111" spans="3:8" ht="12.5" x14ac:dyDescent="0.25">
      <c r="C111" s="74" t="s">
        <v>387</v>
      </c>
      <c r="D111" s="74" t="s">
        <v>335</v>
      </c>
      <c r="E111" s="74">
        <v>4.011E-2</v>
      </c>
      <c r="F111" s="74" t="s">
        <v>389</v>
      </c>
      <c r="G111" s="74" t="s">
        <v>390</v>
      </c>
      <c r="H111" s="282">
        <f t="shared" si="1"/>
        <v>0</v>
      </c>
    </row>
    <row r="112" spans="3:8" ht="12.5" x14ac:dyDescent="0.25">
      <c r="C112" s="74" t="s">
        <v>356</v>
      </c>
      <c r="D112" s="74" t="s">
        <v>325</v>
      </c>
      <c r="E112" s="74">
        <v>1.753E-2</v>
      </c>
      <c r="F112" s="74" t="s">
        <v>389</v>
      </c>
      <c r="G112" s="74" t="s">
        <v>390</v>
      </c>
      <c r="H112" s="282">
        <f t="shared" si="1"/>
        <v>0</v>
      </c>
    </row>
    <row r="113" spans="1:8" ht="12.5" x14ac:dyDescent="0.25">
      <c r="C113" s="74" t="s">
        <v>356</v>
      </c>
      <c r="D113" s="74" t="s">
        <v>331</v>
      </c>
      <c r="E113" s="74">
        <v>7.1799999999999998E-3</v>
      </c>
      <c r="F113" s="74" t="s">
        <v>389</v>
      </c>
      <c r="G113" s="74" t="s">
        <v>390</v>
      </c>
      <c r="H113" s="282">
        <f t="shared" si="1"/>
        <v>0</v>
      </c>
    </row>
    <row r="114" spans="1:8" ht="12.5" x14ac:dyDescent="0.25">
      <c r="C114" s="74" t="s">
        <v>356</v>
      </c>
      <c r="D114" s="74" t="s">
        <v>333</v>
      </c>
      <c r="E114" s="74">
        <v>3.3E-4</v>
      </c>
      <c r="F114" s="74" t="s">
        <v>389</v>
      </c>
      <c r="G114" s="74" t="s">
        <v>390</v>
      </c>
      <c r="H114" s="282">
        <f t="shared" si="1"/>
        <v>0</v>
      </c>
    </row>
    <row r="115" spans="1:8" ht="12.5" x14ac:dyDescent="0.25">
      <c r="B115" s="74" t="s">
        <v>402</v>
      </c>
      <c r="D115" s="74" t="s">
        <v>337</v>
      </c>
      <c r="E115" s="74">
        <v>33.979509999999998</v>
      </c>
      <c r="F115" s="74" t="s">
        <v>389</v>
      </c>
      <c r="G115" s="74" t="s">
        <v>390</v>
      </c>
      <c r="H115" s="282">
        <f t="shared" si="1"/>
        <v>12.628137600919851</v>
      </c>
    </row>
    <row r="116" spans="1:8" ht="12.5" x14ac:dyDescent="0.25">
      <c r="A116" s="74" t="s">
        <v>289</v>
      </c>
      <c r="D116" s="74" t="s">
        <v>290</v>
      </c>
      <c r="E116" s="74" t="s">
        <v>291</v>
      </c>
      <c r="F116" s="74" t="s">
        <v>3</v>
      </c>
      <c r="H116" s="282">
        <f t="shared" si="1"/>
        <v>0</v>
      </c>
    </row>
    <row r="117" spans="1:8" ht="12.5" x14ac:dyDescent="0.25">
      <c r="A117" s="74" t="s">
        <v>292</v>
      </c>
      <c r="D117" s="74" t="s">
        <v>293</v>
      </c>
      <c r="E117" s="75">
        <v>35129.199999999997</v>
      </c>
      <c r="F117" s="74" t="s">
        <v>376</v>
      </c>
      <c r="G117" s="74" t="s">
        <v>403</v>
      </c>
      <c r="H117" s="282">
        <f t="shared" si="1"/>
        <v>0</v>
      </c>
    </row>
    <row r="118" spans="1:8" ht="12.5" x14ac:dyDescent="0.25">
      <c r="B118" s="74" t="s">
        <v>404</v>
      </c>
      <c r="D118" s="74" t="s">
        <v>297</v>
      </c>
      <c r="E118" s="75">
        <v>29299.4</v>
      </c>
      <c r="F118" s="74" t="s">
        <v>376</v>
      </c>
      <c r="G118" s="74" t="s">
        <v>403</v>
      </c>
      <c r="H118" s="282">
        <f t="shared" si="1"/>
        <v>0</v>
      </c>
    </row>
    <row r="119" spans="1:8" ht="12.5" x14ac:dyDescent="0.25">
      <c r="C119" s="74" t="s">
        <v>405</v>
      </c>
      <c r="D119" s="74" t="s">
        <v>299</v>
      </c>
      <c r="E119" s="75">
        <v>11601.7</v>
      </c>
      <c r="F119" s="74" t="s">
        <v>376</v>
      </c>
      <c r="G119" s="74" t="s">
        <v>403</v>
      </c>
      <c r="H119" s="282">
        <f t="shared" si="1"/>
        <v>0</v>
      </c>
    </row>
    <row r="120" spans="1:8" ht="12.5" x14ac:dyDescent="0.25">
      <c r="C120" s="74" t="s">
        <v>406</v>
      </c>
      <c r="D120" s="74" t="s">
        <v>305</v>
      </c>
      <c r="E120" s="74">
        <v>6446.1836000000003</v>
      </c>
      <c r="F120" s="74" t="s">
        <v>376</v>
      </c>
      <c r="G120" s="74" t="s">
        <v>403</v>
      </c>
      <c r="H120" s="282">
        <f t="shared" si="1"/>
        <v>0</v>
      </c>
    </row>
    <row r="121" spans="1:8" ht="12.5" x14ac:dyDescent="0.25">
      <c r="C121" s="74" t="s">
        <v>407</v>
      </c>
      <c r="D121" s="74" t="s">
        <v>301</v>
      </c>
      <c r="E121" s="74">
        <v>3297.2991200000001</v>
      </c>
      <c r="F121" s="74" t="s">
        <v>376</v>
      </c>
      <c r="G121" s="74" t="s">
        <v>403</v>
      </c>
      <c r="H121" s="282">
        <f t="shared" si="1"/>
        <v>0</v>
      </c>
    </row>
    <row r="122" spans="1:8" ht="12.5" x14ac:dyDescent="0.25">
      <c r="C122" s="74" t="s">
        <v>408</v>
      </c>
      <c r="D122" s="74" t="s">
        <v>307</v>
      </c>
      <c r="E122" s="74">
        <v>2389.0249899999999</v>
      </c>
      <c r="F122" s="74" t="s">
        <v>376</v>
      </c>
      <c r="G122" s="74" t="s">
        <v>403</v>
      </c>
      <c r="H122" s="282">
        <f t="shared" si="1"/>
        <v>0</v>
      </c>
    </row>
    <row r="123" spans="1:8" ht="12.5" x14ac:dyDescent="0.25">
      <c r="C123" s="74" t="s">
        <v>409</v>
      </c>
      <c r="D123" s="74" t="s">
        <v>303</v>
      </c>
      <c r="E123" s="74">
        <v>2140.9032299999999</v>
      </c>
      <c r="F123" s="74" t="s">
        <v>376</v>
      </c>
      <c r="G123" s="74" t="s">
        <v>403</v>
      </c>
      <c r="H123" s="282">
        <f t="shared" si="1"/>
        <v>0</v>
      </c>
    </row>
    <row r="124" spans="1:8" ht="12.5" x14ac:dyDescent="0.25">
      <c r="C124" s="74" t="s">
        <v>410</v>
      </c>
      <c r="D124" s="74" t="s">
        <v>309</v>
      </c>
      <c r="E124" s="74">
        <v>1428.4391800000001</v>
      </c>
      <c r="F124" s="74" t="s">
        <v>376</v>
      </c>
      <c r="G124" s="74" t="s">
        <v>403</v>
      </c>
      <c r="H124" s="282">
        <f t="shared" si="1"/>
        <v>0</v>
      </c>
    </row>
    <row r="125" spans="1:8" ht="12.5" x14ac:dyDescent="0.25">
      <c r="C125" s="74" t="s">
        <v>411</v>
      </c>
      <c r="D125" s="74" t="s">
        <v>313</v>
      </c>
      <c r="E125" s="74">
        <v>976.21384</v>
      </c>
      <c r="F125" s="74" t="s">
        <v>376</v>
      </c>
      <c r="G125" s="74" t="s">
        <v>403</v>
      </c>
      <c r="H125" s="282">
        <f t="shared" si="1"/>
        <v>0</v>
      </c>
    </row>
    <row r="126" spans="1:8" ht="12.5" x14ac:dyDescent="0.25">
      <c r="C126" s="74" t="s">
        <v>412</v>
      </c>
      <c r="D126" s="74" t="s">
        <v>311</v>
      </c>
      <c r="E126" s="74">
        <v>556.43934000000002</v>
      </c>
      <c r="F126" s="74" t="s">
        <v>376</v>
      </c>
      <c r="G126" s="74" t="s">
        <v>403</v>
      </c>
      <c r="H126" s="282">
        <f t="shared" si="1"/>
        <v>0</v>
      </c>
    </row>
    <row r="127" spans="1:8" ht="12.5" x14ac:dyDescent="0.25">
      <c r="C127" s="74" t="s">
        <v>413</v>
      </c>
      <c r="D127" s="74" t="s">
        <v>327</v>
      </c>
      <c r="E127" s="74">
        <v>126.09865000000001</v>
      </c>
      <c r="F127" s="74" t="s">
        <v>376</v>
      </c>
      <c r="G127" s="74" t="s">
        <v>403</v>
      </c>
      <c r="H127" s="282">
        <f t="shared" si="1"/>
        <v>0</v>
      </c>
    </row>
    <row r="128" spans="1:8" ht="12.5" x14ac:dyDescent="0.25">
      <c r="C128" s="74" t="s">
        <v>414</v>
      </c>
      <c r="D128" s="74" t="s">
        <v>315</v>
      </c>
      <c r="E128" s="74">
        <v>119.90237999999999</v>
      </c>
      <c r="F128" s="74" t="s">
        <v>376</v>
      </c>
      <c r="G128" s="74" t="s">
        <v>403</v>
      </c>
      <c r="H128" s="282">
        <f t="shared" si="1"/>
        <v>0</v>
      </c>
    </row>
    <row r="129" spans="1:8" ht="12.5" x14ac:dyDescent="0.25">
      <c r="C129" s="74" t="s">
        <v>415</v>
      </c>
      <c r="D129" s="74" t="s">
        <v>319</v>
      </c>
      <c r="E129" s="74">
        <v>49.166379999999997</v>
      </c>
      <c r="F129" s="74" t="s">
        <v>376</v>
      </c>
      <c r="G129" s="74" t="s">
        <v>403</v>
      </c>
      <c r="H129" s="282">
        <f t="shared" si="1"/>
        <v>0</v>
      </c>
    </row>
    <row r="130" spans="1:8" ht="12.5" x14ac:dyDescent="0.25">
      <c r="C130" s="74" t="s">
        <v>328</v>
      </c>
      <c r="D130" s="74" t="s">
        <v>317</v>
      </c>
      <c r="E130" s="74">
        <v>44.842590000000001</v>
      </c>
      <c r="F130" s="74" t="s">
        <v>376</v>
      </c>
      <c r="G130" s="74" t="s">
        <v>403</v>
      </c>
      <c r="H130" s="282">
        <f t="shared" si="1"/>
        <v>0</v>
      </c>
    </row>
    <row r="131" spans="1:8" ht="12.5" x14ac:dyDescent="0.25">
      <c r="C131" s="74" t="s">
        <v>374</v>
      </c>
      <c r="D131" s="74" t="s">
        <v>329</v>
      </c>
      <c r="E131" s="74">
        <v>40.21275</v>
      </c>
      <c r="F131" s="74" t="s">
        <v>376</v>
      </c>
      <c r="G131" s="74" t="s">
        <v>403</v>
      </c>
      <c r="H131" s="282">
        <f t="shared" ref="H131:H194" si="2">IF(D131=$I$4,E131/$K$3*$J$3,0)</f>
        <v>0</v>
      </c>
    </row>
    <row r="132" spans="1:8" ht="12.5" x14ac:dyDescent="0.25">
      <c r="C132" s="74" t="s">
        <v>374</v>
      </c>
      <c r="D132" s="74" t="s">
        <v>323</v>
      </c>
      <c r="E132" s="74">
        <v>38.341340000000002</v>
      </c>
      <c r="F132" s="74" t="s">
        <v>376</v>
      </c>
      <c r="G132" s="74" t="s">
        <v>403</v>
      </c>
      <c r="H132" s="282">
        <f t="shared" si="2"/>
        <v>0</v>
      </c>
    </row>
    <row r="133" spans="1:8" ht="12.5" x14ac:dyDescent="0.25">
      <c r="C133" s="74" t="s">
        <v>332</v>
      </c>
      <c r="D133" s="74" t="s">
        <v>321</v>
      </c>
      <c r="E133" s="74">
        <v>23.30602</v>
      </c>
      <c r="F133" s="74" t="s">
        <v>376</v>
      </c>
      <c r="G133" s="74" t="s">
        <v>403</v>
      </c>
      <c r="H133" s="282">
        <f t="shared" si="2"/>
        <v>0</v>
      </c>
    </row>
    <row r="134" spans="1:8" ht="12.5" x14ac:dyDescent="0.25">
      <c r="C134" s="74" t="s">
        <v>334</v>
      </c>
      <c r="D134" s="74" t="s">
        <v>325</v>
      </c>
      <c r="E134" s="74">
        <v>14.040609999999999</v>
      </c>
      <c r="F134" s="74" t="s">
        <v>376</v>
      </c>
      <c r="G134" s="74" t="s">
        <v>403</v>
      </c>
      <c r="H134" s="282">
        <f t="shared" si="2"/>
        <v>0</v>
      </c>
    </row>
    <row r="135" spans="1:8" ht="12.5" x14ac:dyDescent="0.25">
      <c r="C135" s="74" t="s">
        <v>387</v>
      </c>
      <c r="D135" s="74" t="s">
        <v>331</v>
      </c>
      <c r="E135" s="74">
        <v>3.714</v>
      </c>
      <c r="F135" s="74" t="s">
        <v>376</v>
      </c>
      <c r="G135" s="74" t="s">
        <v>403</v>
      </c>
      <c r="H135" s="282">
        <f t="shared" si="2"/>
        <v>0</v>
      </c>
    </row>
    <row r="136" spans="1:8" ht="12.5" x14ac:dyDescent="0.25">
      <c r="C136" s="74" t="s">
        <v>387</v>
      </c>
      <c r="D136" s="74" t="s">
        <v>335</v>
      </c>
      <c r="E136" s="74">
        <v>2.7955399999999999</v>
      </c>
      <c r="F136" s="74" t="s">
        <v>376</v>
      </c>
      <c r="G136" s="74" t="s">
        <v>403</v>
      </c>
      <c r="H136" s="282">
        <f t="shared" si="2"/>
        <v>0</v>
      </c>
    </row>
    <row r="137" spans="1:8" ht="12.5" x14ac:dyDescent="0.25">
      <c r="C137" s="74" t="s">
        <v>356</v>
      </c>
      <c r="D137" s="74" t="s">
        <v>333</v>
      </c>
      <c r="E137" s="74">
        <v>0.71333000000000002</v>
      </c>
      <c r="F137" s="74" t="s">
        <v>376</v>
      </c>
      <c r="G137" s="74" t="s">
        <v>403</v>
      </c>
      <c r="H137" s="282">
        <f t="shared" si="2"/>
        <v>0</v>
      </c>
    </row>
    <row r="138" spans="1:8" ht="12.5" x14ac:dyDescent="0.25">
      <c r="B138" s="74" t="s">
        <v>416</v>
      </c>
      <c r="D138" s="74" t="s">
        <v>337</v>
      </c>
      <c r="E138" s="74">
        <v>5829.8069100000002</v>
      </c>
      <c r="F138" s="74" t="s">
        <v>376</v>
      </c>
      <c r="G138" s="74" t="s">
        <v>403</v>
      </c>
      <c r="H138" s="282">
        <f t="shared" si="2"/>
        <v>2166.5881540455816</v>
      </c>
    </row>
    <row r="139" spans="1:8" ht="12.5" x14ac:dyDescent="0.25">
      <c r="A139" s="74" t="s">
        <v>289</v>
      </c>
      <c r="D139" s="74" t="s">
        <v>290</v>
      </c>
      <c r="E139" s="74" t="s">
        <v>291</v>
      </c>
      <c r="F139" s="74" t="s">
        <v>3</v>
      </c>
      <c r="H139" s="282">
        <f t="shared" si="2"/>
        <v>0</v>
      </c>
    </row>
    <row r="140" spans="1:8" ht="12.5" x14ac:dyDescent="0.25">
      <c r="A140" s="74" t="s">
        <v>292</v>
      </c>
      <c r="D140" s="74" t="s">
        <v>293</v>
      </c>
      <c r="E140" s="75">
        <v>2782320</v>
      </c>
      <c r="F140" s="74" t="s">
        <v>376</v>
      </c>
      <c r="G140" s="74" t="s">
        <v>417</v>
      </c>
      <c r="H140" s="282">
        <f t="shared" si="2"/>
        <v>0</v>
      </c>
    </row>
    <row r="141" spans="1:8" ht="12.5" x14ac:dyDescent="0.25">
      <c r="B141" s="74" t="s">
        <v>418</v>
      </c>
      <c r="D141" s="74" t="s">
        <v>297</v>
      </c>
      <c r="E141" s="75">
        <v>2649170</v>
      </c>
      <c r="F141" s="74" t="s">
        <v>376</v>
      </c>
      <c r="G141" s="74" t="s">
        <v>417</v>
      </c>
      <c r="H141" s="282">
        <f t="shared" si="2"/>
        <v>0</v>
      </c>
    </row>
    <row r="142" spans="1:8" ht="12.5" x14ac:dyDescent="0.25">
      <c r="C142" s="74" t="s">
        <v>419</v>
      </c>
      <c r="D142" s="74" t="s">
        <v>299</v>
      </c>
      <c r="E142" s="75">
        <v>1581580</v>
      </c>
      <c r="F142" s="74" t="s">
        <v>376</v>
      </c>
      <c r="G142" s="74" t="s">
        <v>417</v>
      </c>
      <c r="H142" s="282">
        <f t="shared" si="2"/>
        <v>0</v>
      </c>
    </row>
    <row r="143" spans="1:8" ht="12.5" x14ac:dyDescent="0.25">
      <c r="C143" s="74" t="s">
        <v>393</v>
      </c>
      <c r="D143" s="74" t="s">
        <v>303</v>
      </c>
      <c r="E143" s="75">
        <v>266209</v>
      </c>
      <c r="F143" s="74" t="s">
        <v>376</v>
      </c>
      <c r="G143" s="74" t="s">
        <v>417</v>
      </c>
      <c r="H143" s="282">
        <f t="shared" si="2"/>
        <v>0</v>
      </c>
    </row>
    <row r="144" spans="1:8" ht="12.5" x14ac:dyDescent="0.25">
      <c r="C144" s="74" t="s">
        <v>420</v>
      </c>
      <c r="D144" s="74" t="s">
        <v>307</v>
      </c>
      <c r="E144" s="75">
        <v>232718</v>
      </c>
      <c r="F144" s="74" t="s">
        <v>376</v>
      </c>
      <c r="G144" s="74" t="s">
        <v>417</v>
      </c>
      <c r="H144" s="282">
        <f t="shared" si="2"/>
        <v>0</v>
      </c>
    </row>
    <row r="145" spans="3:8" ht="12.5" x14ac:dyDescent="0.25">
      <c r="C145" s="74" t="s">
        <v>421</v>
      </c>
      <c r="D145" s="74" t="s">
        <v>301</v>
      </c>
      <c r="E145" s="75">
        <v>149704</v>
      </c>
      <c r="F145" s="74" t="s">
        <v>376</v>
      </c>
      <c r="G145" s="74" t="s">
        <v>417</v>
      </c>
      <c r="H145" s="282">
        <f t="shared" si="2"/>
        <v>0</v>
      </c>
    </row>
    <row r="146" spans="3:8" ht="12.5" x14ac:dyDescent="0.25">
      <c r="C146" s="74" t="s">
        <v>422</v>
      </c>
      <c r="D146" s="74" t="s">
        <v>313</v>
      </c>
      <c r="E146" s="75">
        <v>143147</v>
      </c>
      <c r="F146" s="74" t="s">
        <v>376</v>
      </c>
      <c r="G146" s="74" t="s">
        <v>417</v>
      </c>
      <c r="H146" s="282">
        <f t="shared" si="2"/>
        <v>0</v>
      </c>
    </row>
    <row r="147" spans="3:8" ht="12.5" x14ac:dyDescent="0.25">
      <c r="C147" s="74" t="s">
        <v>423</v>
      </c>
      <c r="D147" s="74" t="s">
        <v>305</v>
      </c>
      <c r="E147" s="75">
        <v>110763</v>
      </c>
      <c r="F147" s="74" t="s">
        <v>376</v>
      </c>
      <c r="G147" s="74" t="s">
        <v>417</v>
      </c>
      <c r="H147" s="282">
        <f t="shared" si="2"/>
        <v>0</v>
      </c>
    </row>
    <row r="148" spans="3:8" ht="12.5" x14ac:dyDescent="0.25">
      <c r="C148" s="74" t="s">
        <v>424</v>
      </c>
      <c r="D148" s="74" t="s">
        <v>309</v>
      </c>
      <c r="E148" s="75">
        <v>107980</v>
      </c>
      <c r="F148" s="74" t="s">
        <v>376</v>
      </c>
      <c r="G148" s="74" t="s">
        <v>417</v>
      </c>
      <c r="H148" s="282">
        <f t="shared" si="2"/>
        <v>0</v>
      </c>
    </row>
    <row r="149" spans="3:8" ht="12.5" x14ac:dyDescent="0.25">
      <c r="C149" s="74" t="s">
        <v>425</v>
      </c>
      <c r="D149" s="74" t="s">
        <v>311</v>
      </c>
      <c r="E149" s="75">
        <v>47473.2</v>
      </c>
      <c r="F149" s="74" t="s">
        <v>376</v>
      </c>
      <c r="G149" s="74" t="s">
        <v>417</v>
      </c>
      <c r="H149" s="282">
        <f t="shared" si="2"/>
        <v>0</v>
      </c>
    </row>
    <row r="150" spans="3:8" ht="12.5" x14ac:dyDescent="0.25">
      <c r="C150" s="74" t="s">
        <v>426</v>
      </c>
      <c r="D150" s="74" t="s">
        <v>315</v>
      </c>
      <c r="E150" s="74">
        <v>4665.0448399999996</v>
      </c>
      <c r="F150" s="74" t="s">
        <v>376</v>
      </c>
      <c r="G150" s="74" t="s">
        <v>417</v>
      </c>
      <c r="H150" s="282">
        <f t="shared" si="2"/>
        <v>0</v>
      </c>
    </row>
    <row r="151" spans="3:8" ht="12.5" x14ac:dyDescent="0.25">
      <c r="C151" s="74" t="s">
        <v>427</v>
      </c>
      <c r="D151" s="74" t="s">
        <v>317</v>
      </c>
      <c r="E151" s="74">
        <v>1264.41137</v>
      </c>
      <c r="F151" s="74" t="s">
        <v>376</v>
      </c>
      <c r="G151" s="74" t="s">
        <v>417</v>
      </c>
      <c r="H151" s="282">
        <f t="shared" si="2"/>
        <v>0</v>
      </c>
    </row>
    <row r="152" spans="3:8" ht="12.5" x14ac:dyDescent="0.25">
      <c r="C152" s="74" t="s">
        <v>334</v>
      </c>
      <c r="D152" s="74" t="s">
        <v>323</v>
      </c>
      <c r="E152" s="74">
        <v>1155.2578599999999</v>
      </c>
      <c r="F152" s="74" t="s">
        <v>376</v>
      </c>
      <c r="G152" s="74" t="s">
        <v>417</v>
      </c>
      <c r="H152" s="282">
        <f t="shared" si="2"/>
        <v>0</v>
      </c>
    </row>
    <row r="153" spans="3:8" ht="12.5" x14ac:dyDescent="0.25">
      <c r="C153" s="74" t="s">
        <v>354</v>
      </c>
      <c r="D153" s="74" t="s">
        <v>325</v>
      </c>
      <c r="E153" s="74">
        <v>901.64324999999997</v>
      </c>
      <c r="F153" s="74" t="s">
        <v>376</v>
      </c>
      <c r="G153" s="74" t="s">
        <v>417</v>
      </c>
      <c r="H153" s="282">
        <f t="shared" si="2"/>
        <v>0</v>
      </c>
    </row>
    <row r="154" spans="3:8" ht="12.5" x14ac:dyDescent="0.25">
      <c r="C154" s="74" t="s">
        <v>387</v>
      </c>
      <c r="D154" s="74" t="s">
        <v>327</v>
      </c>
      <c r="E154" s="74">
        <v>412.50819000000001</v>
      </c>
      <c r="F154" s="74" t="s">
        <v>376</v>
      </c>
      <c r="G154" s="74" t="s">
        <v>417</v>
      </c>
      <c r="H154" s="282">
        <f t="shared" si="2"/>
        <v>0</v>
      </c>
    </row>
    <row r="155" spans="3:8" ht="12.5" x14ac:dyDescent="0.25">
      <c r="C155" s="74" t="s">
        <v>387</v>
      </c>
      <c r="D155" s="74" t="s">
        <v>319</v>
      </c>
      <c r="E155" s="74">
        <v>406.29892000000001</v>
      </c>
      <c r="F155" s="74" t="s">
        <v>376</v>
      </c>
      <c r="G155" s="74" t="s">
        <v>417</v>
      </c>
      <c r="H155" s="282">
        <f t="shared" si="2"/>
        <v>0</v>
      </c>
    </row>
    <row r="156" spans="3:8" ht="12.5" x14ac:dyDescent="0.25">
      <c r="C156" s="74" t="s">
        <v>387</v>
      </c>
      <c r="D156" s="74" t="s">
        <v>329</v>
      </c>
      <c r="E156" s="74">
        <v>374.38931000000002</v>
      </c>
      <c r="F156" s="74" t="s">
        <v>376</v>
      </c>
      <c r="G156" s="74" t="s">
        <v>417</v>
      </c>
      <c r="H156" s="282">
        <f t="shared" si="2"/>
        <v>0</v>
      </c>
    </row>
    <row r="157" spans="3:8" ht="12.5" x14ac:dyDescent="0.25">
      <c r="C157" s="74" t="s">
        <v>387</v>
      </c>
      <c r="D157" s="74" t="s">
        <v>321</v>
      </c>
      <c r="E157" s="74">
        <v>196.13307</v>
      </c>
      <c r="F157" s="74" t="s">
        <v>376</v>
      </c>
      <c r="G157" s="74" t="s">
        <v>417</v>
      </c>
      <c r="H157" s="282">
        <f t="shared" si="2"/>
        <v>0</v>
      </c>
    </row>
    <row r="158" spans="3:8" ht="12.5" x14ac:dyDescent="0.25">
      <c r="C158" s="74" t="s">
        <v>387</v>
      </c>
      <c r="D158" s="74" t="s">
        <v>333</v>
      </c>
      <c r="E158" s="74">
        <v>165.39174</v>
      </c>
      <c r="F158" s="74" t="s">
        <v>376</v>
      </c>
      <c r="G158" s="74" t="s">
        <v>417</v>
      </c>
      <c r="H158" s="282">
        <f t="shared" si="2"/>
        <v>0</v>
      </c>
    </row>
    <row r="159" spans="3:8" ht="12.5" x14ac:dyDescent="0.25">
      <c r="C159" s="74" t="s">
        <v>356</v>
      </c>
      <c r="D159" s="74" t="s">
        <v>335</v>
      </c>
      <c r="E159" s="74">
        <v>40.075159999999997</v>
      </c>
      <c r="F159" s="74" t="s">
        <v>376</v>
      </c>
      <c r="G159" s="74" t="s">
        <v>417</v>
      </c>
      <c r="H159" s="282">
        <f t="shared" si="2"/>
        <v>0</v>
      </c>
    </row>
    <row r="160" spans="3:8" ht="12.5" x14ac:dyDescent="0.25">
      <c r="C160" s="74" t="s">
        <v>356</v>
      </c>
      <c r="D160" s="74" t="s">
        <v>331</v>
      </c>
      <c r="E160" s="74">
        <v>13.907260000000001</v>
      </c>
      <c r="F160" s="74" t="s">
        <v>376</v>
      </c>
      <c r="G160" s="74" t="s">
        <v>417</v>
      </c>
      <c r="H160" s="282">
        <f t="shared" si="2"/>
        <v>0</v>
      </c>
    </row>
    <row r="161" spans="1:8" ht="12.5" x14ac:dyDescent="0.25">
      <c r="B161" s="74" t="s">
        <v>428</v>
      </c>
      <c r="D161" s="74" t="s">
        <v>337</v>
      </c>
      <c r="E161" s="75">
        <v>133144</v>
      </c>
      <c r="F161" s="74" t="s">
        <v>376</v>
      </c>
      <c r="G161" s="74" t="s">
        <v>417</v>
      </c>
      <c r="H161" s="282">
        <f t="shared" si="2"/>
        <v>49481.606789999998</v>
      </c>
    </row>
    <row r="162" spans="1:8" ht="12.5" x14ac:dyDescent="0.25">
      <c r="A162" s="74" t="s">
        <v>289</v>
      </c>
      <c r="D162" s="74" t="s">
        <v>290</v>
      </c>
      <c r="E162" s="74" t="s">
        <v>291</v>
      </c>
      <c r="F162" s="74" t="s">
        <v>3</v>
      </c>
      <c r="H162" s="282">
        <f t="shared" si="2"/>
        <v>0</v>
      </c>
    </row>
    <row r="163" spans="1:8" ht="12.5" x14ac:dyDescent="0.25">
      <c r="A163" s="74" t="s">
        <v>292</v>
      </c>
      <c r="D163" s="74" t="s">
        <v>293</v>
      </c>
      <c r="E163" s="75">
        <v>541900</v>
      </c>
      <c r="F163" s="74" t="s">
        <v>429</v>
      </c>
      <c r="G163" s="74" t="s">
        <v>430</v>
      </c>
      <c r="H163" s="282">
        <f t="shared" si="2"/>
        <v>0</v>
      </c>
    </row>
    <row r="164" spans="1:8" ht="12.5" x14ac:dyDescent="0.25">
      <c r="B164" s="74" t="s">
        <v>431</v>
      </c>
      <c r="D164" s="74" t="s">
        <v>337</v>
      </c>
      <c r="E164" s="75">
        <v>525460</v>
      </c>
      <c r="F164" s="74" t="s">
        <v>429</v>
      </c>
      <c r="G164" s="74" t="s">
        <v>430</v>
      </c>
      <c r="H164" s="282">
        <f t="shared" si="2"/>
        <v>195281.83848970587</v>
      </c>
    </row>
    <row r="165" spans="1:8" ht="12.5" x14ac:dyDescent="0.25">
      <c r="B165" s="74" t="s">
        <v>432</v>
      </c>
      <c r="D165" s="74" t="s">
        <v>297</v>
      </c>
      <c r="E165" s="75">
        <v>16440.400000000001</v>
      </c>
      <c r="F165" s="74" t="s">
        <v>429</v>
      </c>
      <c r="G165" s="74" t="s">
        <v>430</v>
      </c>
      <c r="H165" s="282">
        <f t="shared" si="2"/>
        <v>0</v>
      </c>
    </row>
    <row r="166" spans="1:8" ht="12.5" x14ac:dyDescent="0.25">
      <c r="C166" s="74" t="s">
        <v>433</v>
      </c>
      <c r="D166" s="74" t="s">
        <v>299</v>
      </c>
      <c r="E166" s="74">
        <v>7138.0447800000002</v>
      </c>
      <c r="F166" s="74" t="s">
        <v>429</v>
      </c>
      <c r="G166" s="74" t="s">
        <v>430</v>
      </c>
      <c r="H166" s="282">
        <f t="shared" si="2"/>
        <v>0</v>
      </c>
    </row>
    <row r="167" spans="1:8" ht="12.5" x14ac:dyDescent="0.25">
      <c r="C167" s="74" t="s">
        <v>434</v>
      </c>
      <c r="D167" s="74" t="s">
        <v>301</v>
      </c>
      <c r="E167" s="74">
        <v>2328.5946399999998</v>
      </c>
      <c r="F167" s="74" t="s">
        <v>429</v>
      </c>
      <c r="G167" s="74" t="s">
        <v>430</v>
      </c>
      <c r="H167" s="282">
        <f t="shared" si="2"/>
        <v>0</v>
      </c>
    </row>
    <row r="168" spans="1:8" ht="12.5" x14ac:dyDescent="0.25">
      <c r="C168" s="74" t="s">
        <v>435</v>
      </c>
      <c r="D168" s="74" t="s">
        <v>303</v>
      </c>
      <c r="E168" s="74">
        <v>1751.94748</v>
      </c>
      <c r="F168" s="74" t="s">
        <v>429</v>
      </c>
      <c r="G168" s="74" t="s">
        <v>430</v>
      </c>
      <c r="H168" s="282">
        <f t="shared" si="2"/>
        <v>0</v>
      </c>
    </row>
    <row r="169" spans="1:8" ht="12.5" x14ac:dyDescent="0.25">
      <c r="C169" s="74" t="s">
        <v>436</v>
      </c>
      <c r="D169" s="74" t="s">
        <v>307</v>
      </c>
      <c r="E169" s="74">
        <v>1361.42066</v>
      </c>
      <c r="F169" s="74" t="s">
        <v>429</v>
      </c>
      <c r="G169" s="74" t="s">
        <v>430</v>
      </c>
      <c r="H169" s="282">
        <f t="shared" si="2"/>
        <v>0</v>
      </c>
    </row>
    <row r="170" spans="1:8" ht="12.5" x14ac:dyDescent="0.25">
      <c r="C170" s="74" t="s">
        <v>437</v>
      </c>
      <c r="D170" s="74" t="s">
        <v>305</v>
      </c>
      <c r="E170" s="74">
        <v>1177.07583</v>
      </c>
      <c r="F170" s="74" t="s">
        <v>429</v>
      </c>
      <c r="G170" s="74" t="s">
        <v>430</v>
      </c>
      <c r="H170" s="282">
        <f t="shared" si="2"/>
        <v>0</v>
      </c>
    </row>
    <row r="171" spans="1:8" ht="12.5" x14ac:dyDescent="0.25">
      <c r="C171" s="74" t="s">
        <v>438</v>
      </c>
      <c r="D171" s="74" t="s">
        <v>309</v>
      </c>
      <c r="E171" s="74">
        <v>1002.30362</v>
      </c>
      <c r="F171" s="74" t="s">
        <v>429</v>
      </c>
      <c r="G171" s="74" t="s">
        <v>430</v>
      </c>
      <c r="H171" s="282">
        <f t="shared" si="2"/>
        <v>0</v>
      </c>
    </row>
    <row r="172" spans="1:8" ht="12.5" x14ac:dyDescent="0.25">
      <c r="C172" s="74" t="s">
        <v>439</v>
      </c>
      <c r="D172" s="74" t="s">
        <v>311</v>
      </c>
      <c r="E172" s="74">
        <v>849.98416999999995</v>
      </c>
      <c r="F172" s="74" t="s">
        <v>429</v>
      </c>
      <c r="G172" s="74" t="s">
        <v>430</v>
      </c>
      <c r="H172" s="282">
        <f t="shared" si="2"/>
        <v>0</v>
      </c>
    </row>
    <row r="173" spans="1:8" ht="12.5" x14ac:dyDescent="0.25">
      <c r="C173" s="74" t="s">
        <v>440</v>
      </c>
      <c r="D173" s="74" t="s">
        <v>313</v>
      </c>
      <c r="E173" s="74">
        <v>554.61201000000005</v>
      </c>
      <c r="F173" s="74" t="s">
        <v>429</v>
      </c>
      <c r="G173" s="74" t="s">
        <v>430</v>
      </c>
      <c r="H173" s="282">
        <f t="shared" si="2"/>
        <v>0</v>
      </c>
    </row>
    <row r="174" spans="1:8" ht="12.5" x14ac:dyDescent="0.25">
      <c r="C174" s="74" t="s">
        <v>387</v>
      </c>
      <c r="D174" s="74" t="s">
        <v>315</v>
      </c>
      <c r="E174" s="74">
        <v>54.121850000000002</v>
      </c>
      <c r="F174" s="74" t="s">
        <v>429</v>
      </c>
      <c r="G174" s="74" t="s">
        <v>430</v>
      </c>
      <c r="H174" s="282">
        <f t="shared" si="2"/>
        <v>0</v>
      </c>
    </row>
    <row r="175" spans="1:8" ht="12.5" x14ac:dyDescent="0.25">
      <c r="C175" s="74" t="s">
        <v>387</v>
      </c>
      <c r="D175" s="74" t="s">
        <v>327</v>
      </c>
      <c r="E175" s="74">
        <v>48.54139</v>
      </c>
      <c r="F175" s="74" t="s">
        <v>429</v>
      </c>
      <c r="G175" s="74" t="s">
        <v>430</v>
      </c>
      <c r="H175" s="282">
        <f t="shared" si="2"/>
        <v>0</v>
      </c>
    </row>
    <row r="176" spans="1:8" ht="12.5" x14ac:dyDescent="0.25">
      <c r="C176" s="74" t="s">
        <v>387</v>
      </c>
      <c r="D176" s="74" t="s">
        <v>321</v>
      </c>
      <c r="E176" s="74">
        <v>45.138030000000001</v>
      </c>
      <c r="F176" s="74" t="s">
        <v>429</v>
      </c>
      <c r="G176" s="74" t="s">
        <v>430</v>
      </c>
      <c r="H176" s="282">
        <f t="shared" si="2"/>
        <v>0</v>
      </c>
    </row>
    <row r="177" spans="1:8" ht="12.5" x14ac:dyDescent="0.25">
      <c r="C177" s="74" t="s">
        <v>387</v>
      </c>
      <c r="D177" s="74" t="s">
        <v>323</v>
      </c>
      <c r="E177" s="74">
        <v>41.114049999999999</v>
      </c>
      <c r="F177" s="74" t="s">
        <v>429</v>
      </c>
      <c r="G177" s="74" t="s">
        <v>430</v>
      </c>
      <c r="H177" s="282">
        <f t="shared" si="2"/>
        <v>0</v>
      </c>
    </row>
    <row r="178" spans="1:8" ht="12.5" x14ac:dyDescent="0.25">
      <c r="C178" s="74" t="s">
        <v>387</v>
      </c>
      <c r="D178" s="74" t="s">
        <v>317</v>
      </c>
      <c r="E178" s="74">
        <v>39.302210000000002</v>
      </c>
      <c r="F178" s="74" t="s">
        <v>429</v>
      </c>
      <c r="G178" s="74" t="s">
        <v>430</v>
      </c>
      <c r="H178" s="282">
        <f t="shared" si="2"/>
        <v>0</v>
      </c>
    </row>
    <row r="179" spans="1:8" ht="12.5" x14ac:dyDescent="0.25">
      <c r="C179" s="74" t="s">
        <v>387</v>
      </c>
      <c r="D179" s="74" t="s">
        <v>319</v>
      </c>
      <c r="E179" s="74">
        <v>27.339279999999999</v>
      </c>
      <c r="F179" s="74" t="s">
        <v>429</v>
      </c>
      <c r="G179" s="74" t="s">
        <v>430</v>
      </c>
      <c r="H179" s="282">
        <f t="shared" si="2"/>
        <v>0</v>
      </c>
    </row>
    <row r="180" spans="1:8" ht="12.5" x14ac:dyDescent="0.25">
      <c r="C180" s="74" t="s">
        <v>356</v>
      </c>
      <c r="D180" s="74" t="s">
        <v>329</v>
      </c>
      <c r="E180" s="74">
        <v>9.5775900000000007</v>
      </c>
      <c r="F180" s="74" t="s">
        <v>429</v>
      </c>
      <c r="G180" s="74" t="s">
        <v>430</v>
      </c>
      <c r="H180" s="282">
        <f t="shared" si="2"/>
        <v>0</v>
      </c>
    </row>
    <row r="181" spans="1:8" ht="12.5" x14ac:dyDescent="0.25">
      <c r="C181" s="74" t="s">
        <v>356</v>
      </c>
      <c r="D181" s="74" t="s">
        <v>335</v>
      </c>
      <c r="E181" s="74">
        <v>9.3525299999999998</v>
      </c>
      <c r="F181" s="74" t="s">
        <v>429</v>
      </c>
      <c r="G181" s="74" t="s">
        <v>430</v>
      </c>
      <c r="H181" s="282">
        <f t="shared" si="2"/>
        <v>0</v>
      </c>
    </row>
    <row r="182" spans="1:8" ht="12.5" x14ac:dyDescent="0.25">
      <c r="C182" s="74" t="s">
        <v>356</v>
      </c>
      <c r="D182" s="74" t="s">
        <v>325</v>
      </c>
      <c r="E182" s="74">
        <v>1.62561</v>
      </c>
      <c r="F182" s="74" t="s">
        <v>429</v>
      </c>
      <c r="G182" s="74" t="s">
        <v>430</v>
      </c>
      <c r="H182" s="282">
        <f t="shared" si="2"/>
        <v>0</v>
      </c>
    </row>
    <row r="183" spans="1:8" ht="12.5" x14ac:dyDescent="0.25">
      <c r="C183" s="74" t="s">
        <v>356</v>
      </c>
      <c r="D183" s="74" t="s">
        <v>331</v>
      </c>
      <c r="E183" s="74">
        <v>0.22564000000000001</v>
      </c>
      <c r="F183" s="74" t="s">
        <v>429</v>
      </c>
      <c r="G183" s="74" t="s">
        <v>430</v>
      </c>
      <c r="H183" s="282">
        <f t="shared" si="2"/>
        <v>0</v>
      </c>
    </row>
    <row r="184" spans="1:8" ht="12.5" x14ac:dyDescent="0.25">
      <c r="C184" s="74" t="s">
        <v>356</v>
      </c>
      <c r="D184" s="74" t="s">
        <v>333</v>
      </c>
      <c r="E184" s="74">
        <v>5.3850000000000002E-2</v>
      </c>
      <c r="F184" s="74" t="s">
        <v>429</v>
      </c>
      <c r="G184" s="74" t="s">
        <v>430</v>
      </c>
      <c r="H184" s="282">
        <f t="shared" si="2"/>
        <v>0</v>
      </c>
    </row>
    <row r="185" spans="1:8" ht="12.5" x14ac:dyDescent="0.25">
      <c r="A185" s="74" t="s">
        <v>289</v>
      </c>
      <c r="D185" s="74" t="s">
        <v>290</v>
      </c>
      <c r="E185" s="74" t="s">
        <v>291</v>
      </c>
      <c r="F185" s="74" t="s">
        <v>3</v>
      </c>
      <c r="H185" s="282">
        <f t="shared" si="2"/>
        <v>0</v>
      </c>
    </row>
    <row r="186" spans="1:8" ht="12.5" x14ac:dyDescent="0.25">
      <c r="A186" s="74" t="s">
        <v>292</v>
      </c>
      <c r="D186" s="74" t="s">
        <v>293</v>
      </c>
      <c r="E186" s="74">
        <v>3345.28235</v>
      </c>
      <c r="F186" s="74" t="s">
        <v>441</v>
      </c>
      <c r="G186" s="74" t="s">
        <v>442</v>
      </c>
      <c r="H186" s="282">
        <f t="shared" si="2"/>
        <v>0</v>
      </c>
    </row>
    <row r="187" spans="1:8" ht="12.5" x14ac:dyDescent="0.25">
      <c r="B187" s="74" t="s">
        <v>443</v>
      </c>
      <c r="D187" s="74" t="s">
        <v>297</v>
      </c>
      <c r="E187" s="74">
        <v>3010.3285000000001</v>
      </c>
      <c r="F187" s="74" t="s">
        <v>441</v>
      </c>
      <c r="G187" s="74" t="s">
        <v>442</v>
      </c>
      <c r="H187" s="282">
        <f t="shared" si="2"/>
        <v>0</v>
      </c>
    </row>
    <row r="188" spans="1:8" ht="12.5" x14ac:dyDescent="0.25">
      <c r="C188" s="74" t="s">
        <v>444</v>
      </c>
      <c r="D188" s="74" t="s">
        <v>299</v>
      </c>
      <c r="E188" s="74">
        <v>1509.6926900000001</v>
      </c>
      <c r="F188" s="74" t="s">
        <v>441</v>
      </c>
      <c r="G188" s="74" t="s">
        <v>442</v>
      </c>
      <c r="H188" s="282">
        <f t="shared" si="2"/>
        <v>0</v>
      </c>
    </row>
    <row r="189" spans="1:8" ht="12.5" x14ac:dyDescent="0.25">
      <c r="C189" s="74" t="s">
        <v>445</v>
      </c>
      <c r="D189" s="74" t="s">
        <v>301</v>
      </c>
      <c r="E189" s="74">
        <v>434.00957</v>
      </c>
      <c r="F189" s="74" t="s">
        <v>441</v>
      </c>
      <c r="G189" s="74" t="s">
        <v>442</v>
      </c>
      <c r="H189" s="282">
        <f t="shared" si="2"/>
        <v>0</v>
      </c>
    </row>
    <row r="190" spans="1:8" ht="12.5" x14ac:dyDescent="0.25">
      <c r="C190" s="74" t="s">
        <v>446</v>
      </c>
      <c r="D190" s="74" t="s">
        <v>303</v>
      </c>
      <c r="E190" s="74">
        <v>285.67948000000001</v>
      </c>
      <c r="F190" s="74" t="s">
        <v>441</v>
      </c>
      <c r="G190" s="74" t="s">
        <v>442</v>
      </c>
      <c r="H190" s="282">
        <f t="shared" si="2"/>
        <v>0</v>
      </c>
    </row>
    <row r="191" spans="1:8" ht="12.5" x14ac:dyDescent="0.25">
      <c r="C191" s="74" t="s">
        <v>447</v>
      </c>
      <c r="D191" s="74" t="s">
        <v>307</v>
      </c>
      <c r="E191" s="74">
        <v>228.07740000000001</v>
      </c>
      <c r="F191" s="74" t="s">
        <v>441</v>
      </c>
      <c r="G191" s="74" t="s">
        <v>442</v>
      </c>
      <c r="H191" s="282">
        <f t="shared" si="2"/>
        <v>0</v>
      </c>
    </row>
    <row r="192" spans="1:8" ht="12.5" x14ac:dyDescent="0.25">
      <c r="C192" s="74" t="s">
        <v>448</v>
      </c>
      <c r="D192" s="74" t="s">
        <v>305</v>
      </c>
      <c r="E192" s="74">
        <v>126.83839999999999</v>
      </c>
      <c r="F192" s="74" t="s">
        <v>441</v>
      </c>
      <c r="G192" s="74" t="s">
        <v>442</v>
      </c>
      <c r="H192" s="282">
        <f t="shared" si="2"/>
        <v>0</v>
      </c>
    </row>
    <row r="193" spans="1:8" ht="12.5" x14ac:dyDescent="0.25">
      <c r="C193" s="74" t="s">
        <v>449</v>
      </c>
      <c r="D193" s="74" t="s">
        <v>309</v>
      </c>
      <c r="E193" s="74">
        <v>126.25628</v>
      </c>
      <c r="F193" s="74" t="s">
        <v>441</v>
      </c>
      <c r="G193" s="74" t="s">
        <v>442</v>
      </c>
      <c r="H193" s="282">
        <f t="shared" si="2"/>
        <v>0</v>
      </c>
    </row>
    <row r="194" spans="1:8" ht="12.5" x14ac:dyDescent="0.25">
      <c r="C194" s="74" t="s">
        <v>450</v>
      </c>
      <c r="D194" s="74" t="s">
        <v>313</v>
      </c>
      <c r="E194" s="74">
        <v>121.2811</v>
      </c>
      <c r="F194" s="74" t="s">
        <v>441</v>
      </c>
      <c r="G194" s="74" t="s">
        <v>442</v>
      </c>
      <c r="H194" s="282">
        <f t="shared" si="2"/>
        <v>0</v>
      </c>
    </row>
    <row r="195" spans="1:8" ht="12.5" x14ac:dyDescent="0.25">
      <c r="C195" s="74" t="s">
        <v>399</v>
      </c>
      <c r="D195" s="74" t="s">
        <v>317</v>
      </c>
      <c r="E195" s="74">
        <v>69.955430000000007</v>
      </c>
      <c r="F195" s="74" t="s">
        <v>441</v>
      </c>
      <c r="G195" s="74" t="s">
        <v>442</v>
      </c>
      <c r="H195" s="282">
        <f t="shared" ref="H195:H258" si="3">IF(D195=$I$4,E195/$K$3*$J$3,0)</f>
        <v>0</v>
      </c>
    </row>
    <row r="196" spans="1:8" ht="12.5" x14ac:dyDescent="0.25">
      <c r="C196" s="74" t="s">
        <v>451</v>
      </c>
      <c r="D196" s="74" t="s">
        <v>311</v>
      </c>
      <c r="E196" s="74">
        <v>65.343329999999995</v>
      </c>
      <c r="F196" s="74" t="s">
        <v>441</v>
      </c>
      <c r="G196" s="74" t="s">
        <v>442</v>
      </c>
      <c r="H196" s="282">
        <f t="shared" si="3"/>
        <v>0</v>
      </c>
    </row>
    <row r="197" spans="1:8" ht="12.5" x14ac:dyDescent="0.25">
      <c r="C197" s="74" t="s">
        <v>452</v>
      </c>
      <c r="D197" s="74" t="s">
        <v>315</v>
      </c>
      <c r="E197" s="74">
        <v>12.4091</v>
      </c>
      <c r="F197" s="74" t="s">
        <v>441</v>
      </c>
      <c r="G197" s="74" t="s">
        <v>442</v>
      </c>
      <c r="H197" s="282">
        <f t="shared" si="3"/>
        <v>0</v>
      </c>
    </row>
    <row r="198" spans="1:8" ht="12.5" x14ac:dyDescent="0.25">
      <c r="C198" s="74" t="s">
        <v>414</v>
      </c>
      <c r="D198" s="74" t="s">
        <v>323</v>
      </c>
      <c r="E198" s="74">
        <v>11.237740000000001</v>
      </c>
      <c r="F198" s="74" t="s">
        <v>441</v>
      </c>
      <c r="G198" s="74" t="s">
        <v>442</v>
      </c>
      <c r="H198" s="282">
        <f t="shared" si="3"/>
        <v>0</v>
      </c>
    </row>
    <row r="199" spans="1:8" ht="12.5" x14ac:dyDescent="0.25">
      <c r="C199" s="74" t="s">
        <v>435</v>
      </c>
      <c r="D199" s="74" t="s">
        <v>319</v>
      </c>
      <c r="E199" s="74">
        <v>10.83161</v>
      </c>
      <c r="F199" s="74" t="s">
        <v>441</v>
      </c>
      <c r="G199" s="74" t="s">
        <v>442</v>
      </c>
      <c r="H199" s="282">
        <f t="shared" si="3"/>
        <v>0</v>
      </c>
    </row>
    <row r="200" spans="1:8" ht="12.5" x14ac:dyDescent="0.25">
      <c r="C200" s="74" t="s">
        <v>440</v>
      </c>
      <c r="D200" s="74" t="s">
        <v>327</v>
      </c>
      <c r="E200" s="74">
        <v>3.3279399999999999</v>
      </c>
      <c r="F200" s="74" t="s">
        <v>441</v>
      </c>
      <c r="G200" s="74" t="s">
        <v>442</v>
      </c>
      <c r="H200" s="282">
        <f t="shared" si="3"/>
        <v>0</v>
      </c>
    </row>
    <row r="201" spans="1:8" ht="12.5" x14ac:dyDescent="0.25">
      <c r="C201" s="74" t="s">
        <v>400</v>
      </c>
      <c r="D201" s="74" t="s">
        <v>321</v>
      </c>
      <c r="E201" s="74">
        <v>2.6607699999999999</v>
      </c>
      <c r="F201" s="74" t="s">
        <v>441</v>
      </c>
      <c r="G201" s="74" t="s">
        <v>442</v>
      </c>
      <c r="H201" s="282">
        <f t="shared" si="3"/>
        <v>0</v>
      </c>
    </row>
    <row r="202" spans="1:8" ht="12.5" x14ac:dyDescent="0.25">
      <c r="C202" s="74" t="s">
        <v>332</v>
      </c>
      <c r="D202" s="74" t="s">
        <v>329</v>
      </c>
      <c r="E202" s="74">
        <v>2.3839199999999998</v>
      </c>
      <c r="F202" s="74" t="s">
        <v>441</v>
      </c>
      <c r="G202" s="74" t="s">
        <v>442</v>
      </c>
      <c r="H202" s="282">
        <f t="shared" si="3"/>
        <v>0</v>
      </c>
    </row>
    <row r="203" spans="1:8" ht="12.5" x14ac:dyDescent="0.25">
      <c r="C203" s="74" t="s">
        <v>387</v>
      </c>
      <c r="D203" s="74" t="s">
        <v>335</v>
      </c>
      <c r="E203" s="74">
        <v>0.31757000000000002</v>
      </c>
      <c r="F203" s="74" t="s">
        <v>441</v>
      </c>
      <c r="G203" s="74" t="s">
        <v>442</v>
      </c>
      <c r="H203" s="282">
        <f t="shared" si="3"/>
        <v>0</v>
      </c>
    </row>
    <row r="204" spans="1:8" ht="12.5" x14ac:dyDescent="0.25">
      <c r="C204" s="74" t="s">
        <v>387</v>
      </c>
      <c r="D204" s="74" t="s">
        <v>331</v>
      </c>
      <c r="E204" s="74">
        <v>0.27743000000000001</v>
      </c>
      <c r="F204" s="74" t="s">
        <v>441</v>
      </c>
      <c r="G204" s="74" t="s">
        <v>442</v>
      </c>
      <c r="H204" s="282">
        <f t="shared" si="3"/>
        <v>0</v>
      </c>
    </row>
    <row r="205" spans="1:8" ht="12.5" x14ac:dyDescent="0.25">
      <c r="C205" s="74" t="s">
        <v>356</v>
      </c>
      <c r="D205" s="74" t="s">
        <v>333</v>
      </c>
      <c r="E205" s="74">
        <v>0.15203</v>
      </c>
      <c r="F205" s="74" t="s">
        <v>441</v>
      </c>
      <c r="G205" s="74" t="s">
        <v>442</v>
      </c>
      <c r="H205" s="282">
        <f t="shared" si="3"/>
        <v>0</v>
      </c>
    </row>
    <row r="206" spans="1:8" ht="12.5" x14ac:dyDescent="0.25">
      <c r="C206" s="74" t="s">
        <v>453</v>
      </c>
      <c r="D206" s="74" t="s">
        <v>325</v>
      </c>
      <c r="E206" s="74">
        <v>-0.40329999999999999</v>
      </c>
      <c r="F206" s="74" t="s">
        <v>441</v>
      </c>
      <c r="G206" s="74" t="s">
        <v>442</v>
      </c>
      <c r="H206" s="282">
        <f t="shared" si="3"/>
        <v>0</v>
      </c>
    </row>
    <row r="207" spans="1:8" ht="12.5" x14ac:dyDescent="0.25">
      <c r="B207" s="74" t="s">
        <v>454</v>
      </c>
      <c r="D207" s="74" t="s">
        <v>337</v>
      </c>
      <c r="E207" s="74">
        <v>334.95384999999999</v>
      </c>
      <c r="F207" s="74" t="s">
        <v>441</v>
      </c>
      <c r="G207" s="74" t="s">
        <v>442</v>
      </c>
      <c r="H207" s="282">
        <f t="shared" si="3"/>
        <v>124.48217492712131</v>
      </c>
    </row>
    <row r="208" spans="1:8" ht="12.5" x14ac:dyDescent="0.25">
      <c r="A208" s="74" t="s">
        <v>289</v>
      </c>
      <c r="D208" s="74" t="s">
        <v>290</v>
      </c>
      <c r="E208" s="74" t="s">
        <v>291</v>
      </c>
      <c r="F208" s="74" t="s">
        <v>3</v>
      </c>
      <c r="H208" s="282">
        <f t="shared" si="3"/>
        <v>0</v>
      </c>
    </row>
    <row r="209" spans="1:8" ht="12.5" x14ac:dyDescent="0.25">
      <c r="A209" s="74" t="s">
        <v>292</v>
      </c>
      <c r="D209" s="74" t="s">
        <v>293</v>
      </c>
      <c r="E209" s="75">
        <v>141162</v>
      </c>
      <c r="F209" s="74" t="s">
        <v>376</v>
      </c>
      <c r="G209" s="74" t="s">
        <v>455</v>
      </c>
      <c r="H209" s="282">
        <f t="shared" si="3"/>
        <v>0</v>
      </c>
    </row>
    <row r="210" spans="1:8" ht="12.5" x14ac:dyDescent="0.25">
      <c r="B210" s="74" t="s">
        <v>456</v>
      </c>
      <c r="D210" s="74" t="s">
        <v>297</v>
      </c>
      <c r="E210" s="75">
        <v>114208</v>
      </c>
      <c r="F210" s="74" t="s">
        <v>376</v>
      </c>
      <c r="G210" s="74" t="s">
        <v>455</v>
      </c>
      <c r="H210" s="282">
        <f t="shared" si="3"/>
        <v>0</v>
      </c>
    </row>
    <row r="211" spans="1:8" ht="12.5" x14ac:dyDescent="0.25">
      <c r="C211" s="74" t="s">
        <v>457</v>
      </c>
      <c r="D211" s="74" t="s">
        <v>299</v>
      </c>
      <c r="E211" s="75">
        <v>65925.8</v>
      </c>
      <c r="F211" s="74" t="s">
        <v>376</v>
      </c>
      <c r="G211" s="74" t="s">
        <v>455</v>
      </c>
      <c r="H211" s="282">
        <f t="shared" si="3"/>
        <v>0</v>
      </c>
    </row>
    <row r="212" spans="1:8" ht="12.5" x14ac:dyDescent="0.25">
      <c r="C212" s="74" t="s">
        <v>458</v>
      </c>
      <c r="D212" s="74" t="s">
        <v>303</v>
      </c>
      <c r="E212" s="75">
        <v>11195.4</v>
      </c>
      <c r="F212" s="74" t="s">
        <v>376</v>
      </c>
      <c r="G212" s="74" t="s">
        <v>455</v>
      </c>
      <c r="H212" s="282">
        <f t="shared" si="3"/>
        <v>0</v>
      </c>
    </row>
    <row r="213" spans="1:8" ht="12.5" x14ac:dyDescent="0.25">
      <c r="C213" s="74" t="s">
        <v>459</v>
      </c>
      <c r="D213" s="74" t="s">
        <v>307</v>
      </c>
      <c r="E213" s="74">
        <v>9591.4307599999993</v>
      </c>
      <c r="F213" s="74" t="s">
        <v>376</v>
      </c>
      <c r="G213" s="74" t="s">
        <v>455</v>
      </c>
      <c r="H213" s="282">
        <f t="shared" si="3"/>
        <v>0</v>
      </c>
    </row>
    <row r="214" spans="1:8" ht="12.5" x14ac:dyDescent="0.25">
      <c r="C214" s="74" t="s">
        <v>460</v>
      </c>
      <c r="D214" s="74" t="s">
        <v>301</v>
      </c>
      <c r="E214" s="74">
        <v>6378.6202400000002</v>
      </c>
      <c r="F214" s="74" t="s">
        <v>376</v>
      </c>
      <c r="G214" s="74" t="s">
        <v>455</v>
      </c>
      <c r="H214" s="282">
        <f t="shared" si="3"/>
        <v>0</v>
      </c>
    </row>
    <row r="215" spans="1:8" ht="12.5" x14ac:dyDescent="0.25">
      <c r="C215" s="74" t="s">
        <v>461</v>
      </c>
      <c r="D215" s="74" t="s">
        <v>313</v>
      </c>
      <c r="E215" s="74">
        <v>5862.9715900000001</v>
      </c>
      <c r="F215" s="74" t="s">
        <v>376</v>
      </c>
      <c r="G215" s="74" t="s">
        <v>455</v>
      </c>
      <c r="H215" s="282">
        <f t="shared" si="3"/>
        <v>0</v>
      </c>
    </row>
    <row r="216" spans="1:8" ht="12.5" x14ac:dyDescent="0.25">
      <c r="C216" s="74" t="s">
        <v>462</v>
      </c>
      <c r="D216" s="74" t="s">
        <v>305</v>
      </c>
      <c r="E216" s="74">
        <v>4664.7911000000004</v>
      </c>
      <c r="F216" s="74" t="s">
        <v>376</v>
      </c>
      <c r="G216" s="74" t="s">
        <v>455</v>
      </c>
      <c r="H216" s="282">
        <f t="shared" si="3"/>
        <v>0</v>
      </c>
    </row>
    <row r="217" spans="1:8" ht="12.5" x14ac:dyDescent="0.25">
      <c r="C217" s="74" t="s">
        <v>463</v>
      </c>
      <c r="D217" s="74" t="s">
        <v>309</v>
      </c>
      <c r="E217" s="74">
        <v>4515.2309999999998</v>
      </c>
      <c r="F217" s="74" t="s">
        <v>376</v>
      </c>
      <c r="G217" s="74" t="s">
        <v>455</v>
      </c>
      <c r="H217" s="282">
        <f t="shared" si="3"/>
        <v>0</v>
      </c>
    </row>
    <row r="218" spans="1:8" ht="12.5" x14ac:dyDescent="0.25">
      <c r="C218" s="74" t="s">
        <v>464</v>
      </c>
      <c r="D218" s="74" t="s">
        <v>315</v>
      </c>
      <c r="E218" s="74">
        <v>3809.16624</v>
      </c>
      <c r="F218" s="74" t="s">
        <v>376</v>
      </c>
      <c r="G218" s="74" t="s">
        <v>455</v>
      </c>
      <c r="H218" s="282">
        <f t="shared" si="3"/>
        <v>0</v>
      </c>
    </row>
    <row r="219" spans="1:8" ht="12.5" x14ac:dyDescent="0.25">
      <c r="C219" s="74" t="s">
        <v>465</v>
      </c>
      <c r="D219" s="74" t="s">
        <v>311</v>
      </c>
      <c r="E219" s="74">
        <v>1995.17383</v>
      </c>
      <c r="F219" s="74" t="s">
        <v>376</v>
      </c>
      <c r="G219" s="74" t="s">
        <v>455</v>
      </c>
      <c r="H219" s="282">
        <f t="shared" si="3"/>
        <v>0</v>
      </c>
    </row>
    <row r="220" spans="1:8" ht="12.5" x14ac:dyDescent="0.25">
      <c r="C220" s="74" t="s">
        <v>334</v>
      </c>
      <c r="D220" s="74" t="s">
        <v>317</v>
      </c>
      <c r="E220" s="74">
        <v>57.57208</v>
      </c>
      <c r="F220" s="74" t="s">
        <v>376</v>
      </c>
      <c r="G220" s="74" t="s">
        <v>455</v>
      </c>
      <c r="H220" s="282">
        <f t="shared" si="3"/>
        <v>0</v>
      </c>
    </row>
    <row r="221" spans="1:8" ht="12.5" x14ac:dyDescent="0.25">
      <c r="C221" s="74" t="s">
        <v>334</v>
      </c>
      <c r="D221" s="74" t="s">
        <v>323</v>
      </c>
      <c r="E221" s="74">
        <v>50.750039999999998</v>
      </c>
      <c r="F221" s="74" t="s">
        <v>376</v>
      </c>
      <c r="G221" s="74" t="s">
        <v>455</v>
      </c>
      <c r="H221" s="282">
        <f t="shared" si="3"/>
        <v>0</v>
      </c>
    </row>
    <row r="222" spans="1:8" ht="12.5" x14ac:dyDescent="0.25">
      <c r="C222" s="74" t="s">
        <v>354</v>
      </c>
      <c r="D222" s="74" t="s">
        <v>325</v>
      </c>
      <c r="E222" s="74">
        <v>47.830010000000001</v>
      </c>
      <c r="F222" s="74" t="s">
        <v>376</v>
      </c>
      <c r="G222" s="74" t="s">
        <v>455</v>
      </c>
      <c r="H222" s="282">
        <f t="shared" si="3"/>
        <v>0</v>
      </c>
    </row>
    <row r="223" spans="1:8" ht="12.5" x14ac:dyDescent="0.25">
      <c r="C223" s="74" t="s">
        <v>355</v>
      </c>
      <c r="D223" s="74" t="s">
        <v>319</v>
      </c>
      <c r="E223" s="74">
        <v>29.758659999999999</v>
      </c>
      <c r="F223" s="74" t="s">
        <v>376</v>
      </c>
      <c r="G223" s="74" t="s">
        <v>455</v>
      </c>
      <c r="H223" s="282">
        <f t="shared" si="3"/>
        <v>0</v>
      </c>
    </row>
    <row r="224" spans="1:8" ht="12.5" x14ac:dyDescent="0.25">
      <c r="C224" s="74" t="s">
        <v>355</v>
      </c>
      <c r="D224" s="74" t="s">
        <v>327</v>
      </c>
      <c r="E224" s="74">
        <v>25.736139999999999</v>
      </c>
      <c r="F224" s="74" t="s">
        <v>376</v>
      </c>
      <c r="G224" s="74" t="s">
        <v>455</v>
      </c>
      <c r="H224" s="282">
        <f t="shared" si="3"/>
        <v>0</v>
      </c>
    </row>
    <row r="225" spans="1:8" ht="12.5" x14ac:dyDescent="0.25">
      <c r="C225" s="74" t="s">
        <v>355</v>
      </c>
      <c r="D225" s="74" t="s">
        <v>333</v>
      </c>
      <c r="E225" s="74">
        <v>23.256789999999999</v>
      </c>
      <c r="F225" s="74" t="s">
        <v>376</v>
      </c>
      <c r="G225" s="74" t="s">
        <v>455</v>
      </c>
      <c r="H225" s="282">
        <f t="shared" si="3"/>
        <v>0</v>
      </c>
    </row>
    <row r="226" spans="1:8" ht="12.5" x14ac:dyDescent="0.25">
      <c r="C226" s="74" t="s">
        <v>387</v>
      </c>
      <c r="D226" s="74" t="s">
        <v>329</v>
      </c>
      <c r="E226" s="74">
        <v>20.169090000000001</v>
      </c>
      <c r="F226" s="74" t="s">
        <v>376</v>
      </c>
      <c r="G226" s="74" t="s">
        <v>455</v>
      </c>
      <c r="H226" s="282">
        <f t="shared" si="3"/>
        <v>0</v>
      </c>
    </row>
    <row r="227" spans="1:8" ht="12.5" x14ac:dyDescent="0.25">
      <c r="C227" s="74" t="s">
        <v>387</v>
      </c>
      <c r="D227" s="74" t="s">
        <v>321</v>
      </c>
      <c r="E227" s="74">
        <v>11.76665</v>
      </c>
      <c r="F227" s="74" t="s">
        <v>376</v>
      </c>
      <c r="G227" s="74" t="s">
        <v>455</v>
      </c>
      <c r="H227" s="282">
        <f t="shared" si="3"/>
        <v>0</v>
      </c>
    </row>
    <row r="228" spans="1:8" ht="12.5" x14ac:dyDescent="0.25">
      <c r="C228" s="74" t="s">
        <v>356</v>
      </c>
      <c r="D228" s="74" t="s">
        <v>335</v>
      </c>
      <c r="E228" s="74">
        <v>2.2093099999999999</v>
      </c>
      <c r="F228" s="74" t="s">
        <v>376</v>
      </c>
      <c r="G228" s="74" t="s">
        <v>455</v>
      </c>
      <c r="H228" s="282">
        <f t="shared" si="3"/>
        <v>0</v>
      </c>
    </row>
    <row r="229" spans="1:8" ht="12.5" x14ac:dyDescent="0.25">
      <c r="C229" s="74" t="s">
        <v>356</v>
      </c>
      <c r="D229" s="74" t="s">
        <v>331</v>
      </c>
      <c r="E229" s="74">
        <v>0.74602999999999997</v>
      </c>
      <c r="F229" s="74" t="s">
        <v>376</v>
      </c>
      <c r="G229" s="74" t="s">
        <v>455</v>
      </c>
      <c r="H229" s="282">
        <f t="shared" si="3"/>
        <v>0</v>
      </c>
    </row>
    <row r="230" spans="1:8" ht="12.5" x14ac:dyDescent="0.25">
      <c r="B230" s="74" t="s">
        <v>466</v>
      </c>
      <c r="D230" s="74" t="s">
        <v>337</v>
      </c>
      <c r="E230" s="75">
        <v>26953.599999999999</v>
      </c>
      <c r="F230" s="74" t="s">
        <v>376</v>
      </c>
      <c r="G230" s="74" t="s">
        <v>455</v>
      </c>
      <c r="H230" s="282">
        <f t="shared" si="3"/>
        <v>10017.02995835294</v>
      </c>
    </row>
    <row r="231" spans="1:8" ht="12.5" x14ac:dyDescent="0.25">
      <c r="A231" s="74" t="s">
        <v>289</v>
      </c>
      <c r="D231" s="74" t="s">
        <v>290</v>
      </c>
      <c r="E231" s="74" t="s">
        <v>291</v>
      </c>
      <c r="F231" s="74" t="s">
        <v>3</v>
      </c>
      <c r="H231" s="282">
        <f t="shared" si="3"/>
        <v>0</v>
      </c>
    </row>
    <row r="232" spans="1:8" ht="12.5" x14ac:dyDescent="0.25">
      <c r="A232" s="74" t="s">
        <v>292</v>
      </c>
      <c r="D232" s="74" t="s">
        <v>293</v>
      </c>
      <c r="E232" s="74">
        <v>26.937000000000001</v>
      </c>
      <c r="F232" s="74" t="s">
        <v>467</v>
      </c>
      <c r="G232" s="74" t="s">
        <v>468</v>
      </c>
      <c r="H232" s="282">
        <f t="shared" si="3"/>
        <v>0</v>
      </c>
    </row>
    <row r="233" spans="1:8" ht="12.5" x14ac:dyDescent="0.25">
      <c r="B233" s="74" t="s">
        <v>469</v>
      </c>
      <c r="D233" s="74" t="s">
        <v>297</v>
      </c>
      <c r="E233" s="74">
        <v>15.574780000000001</v>
      </c>
      <c r="F233" s="74" t="s">
        <v>467</v>
      </c>
      <c r="G233" s="74" t="s">
        <v>468</v>
      </c>
      <c r="H233" s="282">
        <f t="shared" si="3"/>
        <v>0</v>
      </c>
    </row>
    <row r="234" spans="1:8" ht="12.5" x14ac:dyDescent="0.25">
      <c r="C234" s="74" t="s">
        <v>470</v>
      </c>
      <c r="D234" s="74" t="s">
        <v>299</v>
      </c>
      <c r="E234" s="74">
        <v>7.3767399999999999</v>
      </c>
      <c r="F234" s="74" t="s">
        <v>467</v>
      </c>
      <c r="G234" s="74" t="s">
        <v>468</v>
      </c>
      <c r="H234" s="282">
        <f t="shared" si="3"/>
        <v>0</v>
      </c>
    </row>
    <row r="235" spans="1:8" ht="12.5" x14ac:dyDescent="0.25">
      <c r="C235" s="74" t="s">
        <v>471</v>
      </c>
      <c r="D235" s="74" t="s">
        <v>301</v>
      </c>
      <c r="E235" s="74">
        <v>1.76311</v>
      </c>
      <c r="F235" s="74" t="s">
        <v>467</v>
      </c>
      <c r="G235" s="74" t="s">
        <v>468</v>
      </c>
      <c r="H235" s="282">
        <f t="shared" si="3"/>
        <v>0</v>
      </c>
    </row>
    <row r="236" spans="1:8" ht="12.5" x14ac:dyDescent="0.25">
      <c r="C236" s="74" t="s">
        <v>421</v>
      </c>
      <c r="D236" s="74" t="s">
        <v>303</v>
      </c>
      <c r="E236" s="74">
        <v>1.4503200000000001</v>
      </c>
      <c r="F236" s="74" t="s">
        <v>467</v>
      </c>
      <c r="G236" s="74" t="s">
        <v>468</v>
      </c>
      <c r="H236" s="282">
        <f t="shared" si="3"/>
        <v>0</v>
      </c>
    </row>
    <row r="237" spans="1:8" ht="12.5" x14ac:dyDescent="0.25">
      <c r="C237" s="74" t="s">
        <v>472</v>
      </c>
      <c r="D237" s="74" t="s">
        <v>307</v>
      </c>
      <c r="E237" s="74">
        <v>1.2745899999999999</v>
      </c>
      <c r="F237" s="74" t="s">
        <v>467</v>
      </c>
      <c r="G237" s="74" t="s">
        <v>468</v>
      </c>
      <c r="H237" s="282">
        <f t="shared" si="3"/>
        <v>0</v>
      </c>
    </row>
    <row r="238" spans="1:8" ht="12.5" x14ac:dyDescent="0.25">
      <c r="C238" s="74" t="s">
        <v>473</v>
      </c>
      <c r="D238" s="74" t="s">
        <v>305</v>
      </c>
      <c r="E238" s="74">
        <v>1.1837599999999999</v>
      </c>
      <c r="F238" s="74" t="s">
        <v>467</v>
      </c>
      <c r="G238" s="74" t="s">
        <v>468</v>
      </c>
      <c r="H238" s="282">
        <f t="shared" si="3"/>
        <v>0</v>
      </c>
    </row>
    <row r="239" spans="1:8" ht="12.5" x14ac:dyDescent="0.25">
      <c r="C239" s="74" t="s">
        <v>474</v>
      </c>
      <c r="D239" s="74" t="s">
        <v>309</v>
      </c>
      <c r="E239" s="74">
        <v>0.69423000000000001</v>
      </c>
      <c r="F239" s="74" t="s">
        <v>467</v>
      </c>
      <c r="G239" s="74" t="s">
        <v>468</v>
      </c>
      <c r="H239" s="282">
        <f t="shared" si="3"/>
        <v>0</v>
      </c>
    </row>
    <row r="240" spans="1:8" ht="12.5" x14ac:dyDescent="0.25">
      <c r="C240" s="74" t="s">
        <v>475</v>
      </c>
      <c r="D240" s="74" t="s">
        <v>313</v>
      </c>
      <c r="E240" s="74">
        <v>0.5726</v>
      </c>
      <c r="F240" s="74" t="s">
        <v>467</v>
      </c>
      <c r="G240" s="74" t="s">
        <v>468</v>
      </c>
      <c r="H240" s="282">
        <f t="shared" si="3"/>
        <v>0</v>
      </c>
    </row>
    <row r="241" spans="1:8" ht="12.5" x14ac:dyDescent="0.25">
      <c r="C241" s="74" t="s">
        <v>476</v>
      </c>
      <c r="D241" s="74" t="s">
        <v>311</v>
      </c>
      <c r="E241" s="74">
        <v>0.45295999999999997</v>
      </c>
      <c r="F241" s="74" t="s">
        <v>467</v>
      </c>
      <c r="G241" s="74" t="s">
        <v>468</v>
      </c>
      <c r="H241" s="282">
        <f t="shared" si="3"/>
        <v>0</v>
      </c>
    </row>
    <row r="242" spans="1:8" ht="12.5" x14ac:dyDescent="0.25">
      <c r="C242" s="74" t="s">
        <v>477</v>
      </c>
      <c r="D242" s="74" t="s">
        <v>325</v>
      </c>
      <c r="E242" s="74">
        <v>0.40100999999999998</v>
      </c>
      <c r="F242" s="74" t="s">
        <v>467</v>
      </c>
      <c r="G242" s="74" t="s">
        <v>468</v>
      </c>
      <c r="H242" s="282">
        <f t="shared" si="3"/>
        <v>0</v>
      </c>
    </row>
    <row r="243" spans="1:8" ht="12.5" x14ac:dyDescent="0.25">
      <c r="C243" s="74" t="s">
        <v>478</v>
      </c>
      <c r="D243" s="74" t="s">
        <v>323</v>
      </c>
      <c r="E243" s="74">
        <v>0.26113999999999998</v>
      </c>
      <c r="F243" s="74" t="s">
        <v>467</v>
      </c>
      <c r="G243" s="74" t="s">
        <v>468</v>
      </c>
      <c r="H243" s="282">
        <f t="shared" si="3"/>
        <v>0</v>
      </c>
    </row>
    <row r="244" spans="1:8" ht="12.5" x14ac:dyDescent="0.25">
      <c r="C244" s="74" t="s">
        <v>479</v>
      </c>
      <c r="D244" s="74" t="s">
        <v>315</v>
      </c>
      <c r="E244" s="74">
        <v>5.3830000000000003E-2</v>
      </c>
      <c r="F244" s="74" t="s">
        <v>467</v>
      </c>
      <c r="G244" s="74" t="s">
        <v>468</v>
      </c>
      <c r="H244" s="282">
        <f t="shared" si="3"/>
        <v>0</v>
      </c>
    </row>
    <row r="245" spans="1:8" ht="12.5" x14ac:dyDescent="0.25">
      <c r="C245" s="74" t="s">
        <v>330</v>
      </c>
      <c r="D245" s="74" t="s">
        <v>327</v>
      </c>
      <c r="E245" s="74">
        <v>2.3820000000000001E-2</v>
      </c>
      <c r="F245" s="74" t="s">
        <v>467</v>
      </c>
      <c r="G245" s="74" t="s">
        <v>468</v>
      </c>
      <c r="H245" s="282">
        <f t="shared" si="3"/>
        <v>0</v>
      </c>
    </row>
    <row r="246" spans="1:8" ht="12.5" x14ac:dyDescent="0.25">
      <c r="C246" s="74" t="s">
        <v>400</v>
      </c>
      <c r="D246" s="74" t="s">
        <v>319</v>
      </c>
      <c r="E246" s="74">
        <v>2.026E-2</v>
      </c>
      <c r="F246" s="74" t="s">
        <v>467</v>
      </c>
      <c r="G246" s="74" t="s">
        <v>468</v>
      </c>
      <c r="H246" s="282">
        <f t="shared" si="3"/>
        <v>0</v>
      </c>
    </row>
    <row r="247" spans="1:8" ht="12.5" x14ac:dyDescent="0.25">
      <c r="C247" s="74" t="s">
        <v>427</v>
      </c>
      <c r="D247" s="74" t="s">
        <v>317</v>
      </c>
      <c r="E247" s="74">
        <v>1.451E-2</v>
      </c>
      <c r="F247" s="74" t="s">
        <v>467</v>
      </c>
      <c r="G247" s="74" t="s">
        <v>468</v>
      </c>
      <c r="H247" s="282">
        <f t="shared" si="3"/>
        <v>0</v>
      </c>
    </row>
    <row r="248" spans="1:8" ht="12.5" x14ac:dyDescent="0.25">
      <c r="C248" s="74" t="s">
        <v>427</v>
      </c>
      <c r="D248" s="74" t="s">
        <v>329</v>
      </c>
      <c r="E248" s="74">
        <v>1.2760000000000001E-2</v>
      </c>
      <c r="F248" s="74" t="s">
        <v>467</v>
      </c>
      <c r="G248" s="74" t="s">
        <v>468</v>
      </c>
      <c r="H248" s="282">
        <f t="shared" si="3"/>
        <v>0</v>
      </c>
    </row>
    <row r="249" spans="1:8" ht="12.5" x14ac:dyDescent="0.25">
      <c r="C249" s="74" t="s">
        <v>334</v>
      </c>
      <c r="D249" s="74" t="s">
        <v>321</v>
      </c>
      <c r="E249" s="74">
        <v>1.107E-2</v>
      </c>
      <c r="F249" s="74" t="s">
        <v>467</v>
      </c>
      <c r="G249" s="74" t="s">
        <v>468</v>
      </c>
      <c r="H249" s="282">
        <f t="shared" si="3"/>
        <v>0</v>
      </c>
    </row>
    <row r="250" spans="1:8" ht="12.5" x14ac:dyDescent="0.25">
      <c r="C250" s="74" t="s">
        <v>355</v>
      </c>
      <c r="D250" s="74" t="s">
        <v>333</v>
      </c>
      <c r="E250" s="74">
        <v>4.2399999999999998E-3</v>
      </c>
      <c r="F250" s="74" t="s">
        <v>467</v>
      </c>
      <c r="G250" s="74" t="s">
        <v>468</v>
      </c>
      <c r="H250" s="282">
        <f t="shared" si="3"/>
        <v>0</v>
      </c>
    </row>
    <row r="251" spans="1:8" ht="12.5" x14ac:dyDescent="0.25">
      <c r="C251" s="74" t="s">
        <v>387</v>
      </c>
      <c r="D251" s="74" t="s">
        <v>335</v>
      </c>
      <c r="E251" s="74">
        <v>2.7499999999999998E-3</v>
      </c>
      <c r="F251" s="74" t="s">
        <v>467</v>
      </c>
      <c r="G251" s="74" t="s">
        <v>468</v>
      </c>
      <c r="H251" s="282">
        <f t="shared" si="3"/>
        <v>0</v>
      </c>
    </row>
    <row r="252" spans="1:8" ht="12.5" x14ac:dyDescent="0.25">
      <c r="C252" s="74" t="s">
        <v>356</v>
      </c>
      <c r="D252" s="74" t="s">
        <v>331</v>
      </c>
      <c r="E252" s="74">
        <v>1.06E-3</v>
      </c>
      <c r="F252" s="74" t="s">
        <v>467</v>
      </c>
      <c r="G252" s="74" t="s">
        <v>468</v>
      </c>
      <c r="H252" s="282">
        <f t="shared" si="3"/>
        <v>0</v>
      </c>
    </row>
    <row r="253" spans="1:8" ht="12.5" x14ac:dyDescent="0.25">
      <c r="B253" s="74" t="s">
        <v>480</v>
      </c>
      <c r="D253" s="74" t="s">
        <v>337</v>
      </c>
      <c r="E253" s="74">
        <v>11.362220000000001</v>
      </c>
      <c r="F253" s="74" t="s">
        <v>467</v>
      </c>
      <c r="G253" s="74" t="s">
        <v>468</v>
      </c>
      <c r="H253" s="282">
        <f t="shared" si="3"/>
        <v>4.2226529344279413</v>
      </c>
    </row>
    <row r="254" spans="1:8" ht="12.5" x14ac:dyDescent="0.25">
      <c r="A254" s="74" t="s">
        <v>289</v>
      </c>
      <c r="D254" s="74" t="s">
        <v>290</v>
      </c>
      <c r="E254" s="74" t="s">
        <v>291</v>
      </c>
      <c r="F254" s="74" t="s">
        <v>3</v>
      </c>
      <c r="H254" s="282">
        <f t="shared" si="3"/>
        <v>0</v>
      </c>
    </row>
    <row r="255" spans="1:8" ht="12.5" x14ac:dyDescent="0.25">
      <c r="A255" s="74" t="s">
        <v>292</v>
      </c>
      <c r="D255" s="74" t="s">
        <v>293</v>
      </c>
      <c r="E255" s="74">
        <v>6782.8372399999998</v>
      </c>
      <c r="F255" s="74" t="s">
        <v>481</v>
      </c>
      <c r="G255" s="74" t="s">
        <v>482</v>
      </c>
      <c r="H255" s="282">
        <f t="shared" si="3"/>
        <v>0</v>
      </c>
    </row>
    <row r="256" spans="1:8" ht="12.5" x14ac:dyDescent="0.25">
      <c r="B256" s="74" t="s">
        <v>483</v>
      </c>
      <c r="D256" s="74" t="s">
        <v>297</v>
      </c>
      <c r="E256" s="74">
        <v>5888.4172699999999</v>
      </c>
      <c r="F256" s="74" t="s">
        <v>481</v>
      </c>
      <c r="G256" s="74" t="s">
        <v>482</v>
      </c>
      <c r="H256" s="282">
        <f t="shared" si="3"/>
        <v>0</v>
      </c>
    </row>
    <row r="257" spans="3:8" ht="12.5" x14ac:dyDescent="0.25">
      <c r="C257" s="74" t="s">
        <v>484</v>
      </c>
      <c r="D257" s="74" t="s">
        <v>299</v>
      </c>
      <c r="E257" s="74">
        <v>2847.32456</v>
      </c>
      <c r="F257" s="74" t="s">
        <v>481</v>
      </c>
      <c r="G257" s="74" t="s">
        <v>482</v>
      </c>
      <c r="H257" s="282">
        <f t="shared" si="3"/>
        <v>0</v>
      </c>
    </row>
    <row r="258" spans="3:8" ht="12.5" x14ac:dyDescent="0.25">
      <c r="C258" s="74" t="s">
        <v>485</v>
      </c>
      <c r="D258" s="74" t="s">
        <v>301</v>
      </c>
      <c r="E258" s="74">
        <v>1019.30109</v>
      </c>
      <c r="F258" s="74" t="s">
        <v>481</v>
      </c>
      <c r="G258" s="74" t="s">
        <v>482</v>
      </c>
      <c r="H258" s="282">
        <f t="shared" si="3"/>
        <v>0</v>
      </c>
    </row>
    <row r="259" spans="3:8" ht="12.5" x14ac:dyDescent="0.25">
      <c r="C259" s="74" t="s">
        <v>486</v>
      </c>
      <c r="D259" s="74" t="s">
        <v>305</v>
      </c>
      <c r="E259" s="74">
        <v>569.38449000000003</v>
      </c>
      <c r="F259" s="74" t="s">
        <v>481</v>
      </c>
      <c r="G259" s="74" t="s">
        <v>482</v>
      </c>
      <c r="H259" s="282">
        <f t="shared" ref="H259:H322" si="4">IF(D259=$I$4,E259/$K$3*$J$3,0)</f>
        <v>0</v>
      </c>
    </row>
    <row r="260" spans="3:8" ht="12.5" x14ac:dyDescent="0.25">
      <c r="C260" s="74" t="s">
        <v>487</v>
      </c>
      <c r="D260" s="74" t="s">
        <v>303</v>
      </c>
      <c r="E260" s="74">
        <v>512.07624999999996</v>
      </c>
      <c r="F260" s="74" t="s">
        <v>481</v>
      </c>
      <c r="G260" s="74" t="s">
        <v>482</v>
      </c>
      <c r="H260" s="282">
        <f t="shared" si="4"/>
        <v>0</v>
      </c>
    </row>
    <row r="261" spans="3:8" ht="12.5" x14ac:dyDescent="0.25">
      <c r="C261" s="74" t="s">
        <v>488</v>
      </c>
      <c r="D261" s="74" t="s">
        <v>307</v>
      </c>
      <c r="E261" s="74">
        <v>422.29813999999999</v>
      </c>
      <c r="F261" s="74" t="s">
        <v>481</v>
      </c>
      <c r="G261" s="74" t="s">
        <v>482</v>
      </c>
      <c r="H261" s="282">
        <f t="shared" si="4"/>
        <v>0</v>
      </c>
    </row>
    <row r="262" spans="3:8" ht="12.5" x14ac:dyDescent="0.25">
      <c r="C262" s="74" t="s">
        <v>347</v>
      </c>
      <c r="D262" s="74" t="s">
        <v>309</v>
      </c>
      <c r="E262" s="74">
        <v>217.49276</v>
      </c>
      <c r="F262" s="74" t="s">
        <v>481</v>
      </c>
      <c r="G262" s="74" t="s">
        <v>482</v>
      </c>
      <c r="H262" s="282">
        <f t="shared" si="4"/>
        <v>0</v>
      </c>
    </row>
    <row r="263" spans="3:8" ht="12.5" x14ac:dyDescent="0.25">
      <c r="C263" s="74" t="s">
        <v>489</v>
      </c>
      <c r="D263" s="74" t="s">
        <v>313</v>
      </c>
      <c r="E263" s="74">
        <v>192.58821</v>
      </c>
      <c r="F263" s="74" t="s">
        <v>481</v>
      </c>
      <c r="G263" s="74" t="s">
        <v>482</v>
      </c>
      <c r="H263" s="282">
        <f t="shared" si="4"/>
        <v>0</v>
      </c>
    </row>
    <row r="264" spans="3:8" ht="12.5" x14ac:dyDescent="0.25">
      <c r="C264" s="74" t="s">
        <v>490</v>
      </c>
      <c r="D264" s="74" t="s">
        <v>311</v>
      </c>
      <c r="E264" s="74">
        <v>78.079859999999996</v>
      </c>
      <c r="F264" s="74" t="s">
        <v>481</v>
      </c>
      <c r="G264" s="74" t="s">
        <v>482</v>
      </c>
      <c r="H264" s="282">
        <f t="shared" si="4"/>
        <v>0</v>
      </c>
    </row>
    <row r="265" spans="3:8" ht="12.5" x14ac:dyDescent="0.25">
      <c r="C265" s="74" t="s">
        <v>491</v>
      </c>
      <c r="D265" s="74" t="s">
        <v>315</v>
      </c>
      <c r="E265" s="74">
        <v>10.02003</v>
      </c>
      <c r="F265" s="74" t="s">
        <v>481</v>
      </c>
      <c r="G265" s="74" t="s">
        <v>482</v>
      </c>
      <c r="H265" s="282">
        <f t="shared" si="4"/>
        <v>0</v>
      </c>
    </row>
    <row r="266" spans="3:8" ht="12.5" x14ac:dyDescent="0.25">
      <c r="C266" s="74" t="s">
        <v>330</v>
      </c>
      <c r="D266" s="74" t="s">
        <v>329</v>
      </c>
      <c r="E266" s="74">
        <v>6.0034000000000001</v>
      </c>
      <c r="F266" s="74" t="s">
        <v>481</v>
      </c>
      <c r="G266" s="74" t="s">
        <v>482</v>
      </c>
      <c r="H266" s="282">
        <f t="shared" si="4"/>
        <v>0</v>
      </c>
    </row>
    <row r="267" spans="3:8" ht="12.5" x14ac:dyDescent="0.25">
      <c r="C267" s="74" t="s">
        <v>401</v>
      </c>
      <c r="D267" s="74" t="s">
        <v>327</v>
      </c>
      <c r="E267" s="74">
        <v>4.0563799999999999</v>
      </c>
      <c r="F267" s="74" t="s">
        <v>481</v>
      </c>
      <c r="G267" s="74" t="s">
        <v>482</v>
      </c>
      <c r="H267" s="282">
        <f t="shared" si="4"/>
        <v>0</v>
      </c>
    </row>
    <row r="268" spans="3:8" ht="12.5" x14ac:dyDescent="0.25">
      <c r="C268" s="74" t="s">
        <v>401</v>
      </c>
      <c r="D268" s="74" t="s">
        <v>317</v>
      </c>
      <c r="E268" s="74">
        <v>3.9858899999999999</v>
      </c>
      <c r="F268" s="74" t="s">
        <v>481</v>
      </c>
      <c r="G268" s="74" t="s">
        <v>482</v>
      </c>
      <c r="H268" s="282">
        <f t="shared" si="4"/>
        <v>0</v>
      </c>
    </row>
    <row r="269" spans="3:8" ht="12.5" x14ac:dyDescent="0.25">
      <c r="C269" s="74" t="s">
        <v>427</v>
      </c>
      <c r="D269" s="74" t="s">
        <v>323</v>
      </c>
      <c r="E269" s="74">
        <v>3.5794700000000002</v>
      </c>
      <c r="F269" s="74" t="s">
        <v>481</v>
      </c>
      <c r="G269" s="74" t="s">
        <v>482</v>
      </c>
      <c r="H269" s="282">
        <f t="shared" si="4"/>
        <v>0</v>
      </c>
    </row>
    <row r="270" spans="3:8" ht="12.5" x14ac:dyDescent="0.25">
      <c r="C270" s="74" t="s">
        <v>355</v>
      </c>
      <c r="D270" s="74" t="s">
        <v>321</v>
      </c>
      <c r="E270" s="74">
        <v>1.36947</v>
      </c>
      <c r="F270" s="74" t="s">
        <v>481</v>
      </c>
      <c r="G270" s="74" t="s">
        <v>482</v>
      </c>
      <c r="H270" s="282">
        <f t="shared" si="4"/>
        <v>0</v>
      </c>
    </row>
    <row r="271" spans="3:8" ht="12.5" x14ac:dyDescent="0.25">
      <c r="C271" s="74" t="s">
        <v>387</v>
      </c>
      <c r="D271" s="74" t="s">
        <v>319</v>
      </c>
      <c r="E271" s="74">
        <v>0.57530000000000003</v>
      </c>
      <c r="F271" s="74" t="s">
        <v>481</v>
      </c>
      <c r="G271" s="74" t="s">
        <v>482</v>
      </c>
      <c r="H271" s="282">
        <f t="shared" si="4"/>
        <v>0</v>
      </c>
    </row>
    <row r="272" spans="3:8" ht="12.5" x14ac:dyDescent="0.25">
      <c r="C272" s="74" t="s">
        <v>356</v>
      </c>
      <c r="D272" s="74" t="s">
        <v>325</v>
      </c>
      <c r="E272" s="74">
        <v>0.18361</v>
      </c>
      <c r="F272" s="74" t="s">
        <v>481</v>
      </c>
      <c r="G272" s="74" t="s">
        <v>482</v>
      </c>
      <c r="H272" s="282">
        <f t="shared" si="4"/>
        <v>0</v>
      </c>
    </row>
    <row r="273" spans="1:8" ht="12.5" x14ac:dyDescent="0.25">
      <c r="C273" s="74" t="s">
        <v>356</v>
      </c>
      <c r="D273" s="74" t="s">
        <v>335</v>
      </c>
      <c r="E273" s="74">
        <v>4.5330000000000002E-2</v>
      </c>
      <c r="F273" s="74" t="s">
        <v>481</v>
      </c>
      <c r="G273" s="74" t="s">
        <v>482</v>
      </c>
      <c r="H273" s="282">
        <f t="shared" si="4"/>
        <v>0</v>
      </c>
    </row>
    <row r="274" spans="1:8" ht="12.5" x14ac:dyDescent="0.25">
      <c r="C274" s="74" t="s">
        <v>356</v>
      </c>
      <c r="D274" s="74" t="s">
        <v>331</v>
      </c>
      <c r="E274" s="74">
        <v>4.0730000000000002E-2</v>
      </c>
      <c r="F274" s="74" t="s">
        <v>481</v>
      </c>
      <c r="G274" s="74" t="s">
        <v>482</v>
      </c>
      <c r="H274" s="282">
        <f t="shared" si="4"/>
        <v>0</v>
      </c>
    </row>
    <row r="275" spans="1:8" ht="12.5" x14ac:dyDescent="0.25">
      <c r="C275" s="74" t="s">
        <v>356</v>
      </c>
      <c r="D275" s="74" t="s">
        <v>333</v>
      </c>
      <c r="E275" s="74">
        <v>1.2319999999999999E-2</v>
      </c>
      <c r="F275" s="74" t="s">
        <v>481</v>
      </c>
      <c r="G275" s="74" t="s">
        <v>482</v>
      </c>
      <c r="H275" s="282">
        <f t="shared" si="4"/>
        <v>0</v>
      </c>
    </row>
    <row r="276" spans="1:8" ht="12.5" x14ac:dyDescent="0.25">
      <c r="B276" s="74" t="s">
        <v>492</v>
      </c>
      <c r="D276" s="74" t="s">
        <v>337</v>
      </c>
      <c r="E276" s="74">
        <v>894.41997000000003</v>
      </c>
      <c r="F276" s="74" t="s">
        <v>481</v>
      </c>
      <c r="G276" s="74" t="s">
        <v>482</v>
      </c>
      <c r="H276" s="282">
        <f t="shared" si="4"/>
        <v>332.4020403522772</v>
      </c>
    </row>
    <row r="277" spans="1:8" ht="12.5" x14ac:dyDescent="0.25">
      <c r="A277" s="74" t="s">
        <v>289</v>
      </c>
      <c r="D277" s="74" t="s">
        <v>290</v>
      </c>
      <c r="E277" s="74" t="s">
        <v>291</v>
      </c>
      <c r="F277" s="74" t="s">
        <v>3</v>
      </c>
      <c r="H277" s="282">
        <f t="shared" si="4"/>
        <v>0</v>
      </c>
    </row>
    <row r="278" spans="1:8" ht="12.5" x14ac:dyDescent="0.25">
      <c r="A278" s="74" t="s">
        <v>292</v>
      </c>
      <c r="D278" s="74" t="s">
        <v>293</v>
      </c>
      <c r="E278" s="74">
        <v>695.46186</v>
      </c>
      <c r="F278" s="74" t="s">
        <v>493</v>
      </c>
      <c r="G278" s="74" t="s">
        <v>494</v>
      </c>
      <c r="H278" s="282">
        <f t="shared" si="4"/>
        <v>0</v>
      </c>
    </row>
    <row r="279" spans="1:8" ht="12.5" x14ac:dyDescent="0.25">
      <c r="B279" s="74" t="s">
        <v>495</v>
      </c>
      <c r="D279" s="74" t="s">
        <v>297</v>
      </c>
      <c r="E279" s="74">
        <v>575.68101999999999</v>
      </c>
      <c r="F279" s="74" t="s">
        <v>493</v>
      </c>
      <c r="G279" s="74" t="s">
        <v>494</v>
      </c>
      <c r="H279" s="282">
        <f t="shared" si="4"/>
        <v>0</v>
      </c>
    </row>
    <row r="280" spans="1:8" ht="12.5" x14ac:dyDescent="0.25">
      <c r="C280" s="74" t="s">
        <v>496</v>
      </c>
      <c r="D280" s="74" t="s">
        <v>299</v>
      </c>
      <c r="E280" s="74">
        <v>252.99172999999999</v>
      </c>
      <c r="F280" s="74" t="s">
        <v>493</v>
      </c>
      <c r="G280" s="74" t="s">
        <v>494</v>
      </c>
      <c r="H280" s="282">
        <f t="shared" si="4"/>
        <v>0</v>
      </c>
    </row>
    <row r="281" spans="1:8" ht="12.5" x14ac:dyDescent="0.25">
      <c r="C281" s="74" t="s">
        <v>497</v>
      </c>
      <c r="D281" s="74" t="s">
        <v>301</v>
      </c>
      <c r="E281" s="74">
        <v>75.563149999999993</v>
      </c>
      <c r="F281" s="74" t="s">
        <v>493</v>
      </c>
      <c r="G281" s="74" t="s">
        <v>494</v>
      </c>
      <c r="H281" s="282">
        <f t="shared" si="4"/>
        <v>0</v>
      </c>
    </row>
    <row r="282" spans="1:8" ht="12.5" x14ac:dyDescent="0.25">
      <c r="C282" s="74" t="s">
        <v>498</v>
      </c>
      <c r="D282" s="74" t="s">
        <v>303</v>
      </c>
      <c r="E282" s="74">
        <v>55.071550000000002</v>
      </c>
      <c r="F282" s="74" t="s">
        <v>493</v>
      </c>
      <c r="G282" s="74" t="s">
        <v>494</v>
      </c>
      <c r="H282" s="282">
        <f t="shared" si="4"/>
        <v>0</v>
      </c>
    </row>
    <row r="283" spans="1:8" ht="12.5" x14ac:dyDescent="0.25">
      <c r="C283" s="74" t="s">
        <v>499</v>
      </c>
      <c r="D283" s="74" t="s">
        <v>305</v>
      </c>
      <c r="E283" s="74">
        <v>45.687660000000001</v>
      </c>
      <c r="F283" s="74" t="s">
        <v>493</v>
      </c>
      <c r="G283" s="74" t="s">
        <v>494</v>
      </c>
      <c r="H283" s="282">
        <f t="shared" si="4"/>
        <v>0</v>
      </c>
    </row>
    <row r="284" spans="1:8" ht="12.5" x14ac:dyDescent="0.25">
      <c r="C284" s="74" t="s">
        <v>500</v>
      </c>
      <c r="D284" s="74" t="s">
        <v>307</v>
      </c>
      <c r="E284" s="74">
        <v>43.614310000000003</v>
      </c>
      <c r="F284" s="74" t="s">
        <v>493</v>
      </c>
      <c r="G284" s="74" t="s">
        <v>494</v>
      </c>
      <c r="H284" s="282">
        <f t="shared" si="4"/>
        <v>0</v>
      </c>
    </row>
    <row r="285" spans="1:8" ht="12.5" x14ac:dyDescent="0.25">
      <c r="C285" s="74" t="s">
        <v>501</v>
      </c>
      <c r="D285" s="74" t="s">
        <v>309</v>
      </c>
      <c r="E285" s="74">
        <v>28.389720000000001</v>
      </c>
      <c r="F285" s="74" t="s">
        <v>493</v>
      </c>
      <c r="G285" s="74" t="s">
        <v>494</v>
      </c>
      <c r="H285" s="282">
        <f t="shared" si="4"/>
        <v>0</v>
      </c>
    </row>
    <row r="286" spans="1:8" ht="12.5" x14ac:dyDescent="0.25">
      <c r="C286" s="74" t="s">
        <v>489</v>
      </c>
      <c r="D286" s="74" t="s">
        <v>311</v>
      </c>
      <c r="E286" s="74">
        <v>19.719059999999999</v>
      </c>
      <c r="F286" s="74" t="s">
        <v>493</v>
      </c>
      <c r="G286" s="74" t="s">
        <v>494</v>
      </c>
      <c r="H286" s="282">
        <f t="shared" si="4"/>
        <v>0</v>
      </c>
    </row>
    <row r="287" spans="1:8" ht="12.5" x14ac:dyDescent="0.25">
      <c r="C287" s="74" t="s">
        <v>502</v>
      </c>
      <c r="D287" s="74" t="s">
        <v>313</v>
      </c>
      <c r="E287" s="74">
        <v>18.619630000000001</v>
      </c>
      <c r="F287" s="74" t="s">
        <v>493</v>
      </c>
      <c r="G287" s="74" t="s">
        <v>494</v>
      </c>
      <c r="H287" s="282">
        <f t="shared" si="4"/>
        <v>0</v>
      </c>
    </row>
    <row r="288" spans="1:8" ht="12.5" x14ac:dyDescent="0.25">
      <c r="C288" s="74" t="s">
        <v>399</v>
      </c>
      <c r="D288" s="74" t="s">
        <v>321</v>
      </c>
      <c r="E288" s="74">
        <v>14.542479999999999</v>
      </c>
      <c r="F288" s="74" t="s">
        <v>493</v>
      </c>
      <c r="G288" s="74" t="s">
        <v>494</v>
      </c>
      <c r="H288" s="282">
        <f t="shared" si="4"/>
        <v>0</v>
      </c>
    </row>
    <row r="289" spans="1:8" ht="12.5" x14ac:dyDescent="0.25">
      <c r="C289" s="74" t="s">
        <v>503</v>
      </c>
      <c r="D289" s="74" t="s">
        <v>317</v>
      </c>
      <c r="E289" s="74">
        <v>6.9714700000000001</v>
      </c>
      <c r="F289" s="74" t="s">
        <v>493</v>
      </c>
      <c r="G289" s="74" t="s">
        <v>494</v>
      </c>
      <c r="H289" s="282">
        <f t="shared" si="4"/>
        <v>0</v>
      </c>
    </row>
    <row r="290" spans="1:8" ht="12.5" x14ac:dyDescent="0.25">
      <c r="C290" s="74" t="s">
        <v>504</v>
      </c>
      <c r="D290" s="74" t="s">
        <v>319</v>
      </c>
      <c r="E290" s="74">
        <v>4.8568300000000004</v>
      </c>
      <c r="F290" s="74" t="s">
        <v>493</v>
      </c>
      <c r="G290" s="74" t="s">
        <v>494</v>
      </c>
      <c r="H290" s="282">
        <f t="shared" si="4"/>
        <v>0</v>
      </c>
    </row>
    <row r="291" spans="1:8" ht="12.5" x14ac:dyDescent="0.25">
      <c r="C291" s="74" t="s">
        <v>505</v>
      </c>
      <c r="D291" s="74" t="s">
        <v>315</v>
      </c>
      <c r="E291" s="74">
        <v>3.3926699999999999</v>
      </c>
      <c r="F291" s="74" t="s">
        <v>493</v>
      </c>
      <c r="G291" s="74" t="s">
        <v>494</v>
      </c>
      <c r="H291" s="282">
        <f t="shared" si="4"/>
        <v>0</v>
      </c>
    </row>
    <row r="292" spans="1:8" ht="12.5" x14ac:dyDescent="0.25">
      <c r="C292" s="74" t="s">
        <v>452</v>
      </c>
      <c r="D292" s="74" t="s">
        <v>323</v>
      </c>
      <c r="E292" s="74">
        <v>2.5423800000000001</v>
      </c>
      <c r="F292" s="74" t="s">
        <v>493</v>
      </c>
      <c r="G292" s="74" t="s">
        <v>494</v>
      </c>
      <c r="H292" s="282">
        <f t="shared" si="4"/>
        <v>0</v>
      </c>
    </row>
    <row r="293" spans="1:8" ht="12.5" x14ac:dyDescent="0.25">
      <c r="C293" s="74" t="s">
        <v>506</v>
      </c>
      <c r="D293" s="74" t="s">
        <v>327</v>
      </c>
      <c r="E293" s="74">
        <v>1.6484099999999999</v>
      </c>
      <c r="F293" s="74" t="s">
        <v>493</v>
      </c>
      <c r="G293" s="74" t="s">
        <v>494</v>
      </c>
      <c r="H293" s="282">
        <f t="shared" si="4"/>
        <v>0</v>
      </c>
    </row>
    <row r="294" spans="1:8" ht="12.5" x14ac:dyDescent="0.25">
      <c r="C294" s="74" t="s">
        <v>374</v>
      </c>
      <c r="D294" s="74" t="s">
        <v>329</v>
      </c>
      <c r="E294" s="74">
        <v>0.75900000000000001</v>
      </c>
      <c r="F294" s="74" t="s">
        <v>493</v>
      </c>
      <c r="G294" s="74" t="s">
        <v>494</v>
      </c>
      <c r="H294" s="282">
        <f t="shared" si="4"/>
        <v>0</v>
      </c>
    </row>
    <row r="295" spans="1:8" ht="12.5" x14ac:dyDescent="0.25">
      <c r="C295" s="74" t="s">
        <v>332</v>
      </c>
      <c r="D295" s="74" t="s">
        <v>325</v>
      </c>
      <c r="E295" s="74">
        <v>0.45606000000000002</v>
      </c>
      <c r="F295" s="74" t="s">
        <v>493</v>
      </c>
      <c r="G295" s="74" t="s">
        <v>494</v>
      </c>
      <c r="H295" s="282">
        <f t="shared" si="4"/>
        <v>0</v>
      </c>
    </row>
    <row r="296" spans="1:8" ht="12.5" x14ac:dyDescent="0.25">
      <c r="C296" s="74" t="s">
        <v>401</v>
      </c>
      <c r="D296" s="74" t="s">
        <v>331</v>
      </c>
      <c r="E296" s="74">
        <v>0.43021999999999999</v>
      </c>
      <c r="F296" s="74" t="s">
        <v>493</v>
      </c>
      <c r="G296" s="74" t="s">
        <v>494</v>
      </c>
      <c r="H296" s="282">
        <f t="shared" si="4"/>
        <v>0</v>
      </c>
    </row>
    <row r="297" spans="1:8" ht="12.5" x14ac:dyDescent="0.25">
      <c r="C297" s="74" t="s">
        <v>401</v>
      </c>
      <c r="D297" s="74" t="s">
        <v>335</v>
      </c>
      <c r="E297" s="74">
        <v>0.39228000000000002</v>
      </c>
      <c r="F297" s="74" t="s">
        <v>493</v>
      </c>
      <c r="G297" s="74" t="s">
        <v>494</v>
      </c>
      <c r="H297" s="282">
        <f t="shared" si="4"/>
        <v>0</v>
      </c>
    </row>
    <row r="298" spans="1:8" ht="12.5" x14ac:dyDescent="0.25">
      <c r="C298" s="74" t="s">
        <v>356</v>
      </c>
      <c r="D298" s="74" t="s">
        <v>333</v>
      </c>
      <c r="E298" s="74">
        <v>3.2419999999999997E-2</v>
      </c>
      <c r="F298" s="74" t="s">
        <v>493</v>
      </c>
      <c r="G298" s="74" t="s">
        <v>494</v>
      </c>
      <c r="H298" s="282">
        <f t="shared" si="4"/>
        <v>0</v>
      </c>
    </row>
    <row r="299" spans="1:8" ht="12.5" x14ac:dyDescent="0.25">
      <c r="B299" s="74" t="s">
        <v>507</v>
      </c>
      <c r="D299" s="74" t="s">
        <v>337</v>
      </c>
      <c r="E299" s="74">
        <v>119.78084</v>
      </c>
      <c r="F299" s="74" t="s">
        <v>493</v>
      </c>
      <c r="G299" s="74" t="s">
        <v>494</v>
      </c>
      <c r="H299" s="282">
        <f t="shared" si="4"/>
        <v>44.515324955355879</v>
      </c>
    </row>
    <row r="300" spans="1:8" ht="12.5" x14ac:dyDescent="0.25">
      <c r="A300" s="74" t="s">
        <v>289</v>
      </c>
      <c r="D300" s="74" t="s">
        <v>290</v>
      </c>
      <c r="E300" s="74" t="s">
        <v>291</v>
      </c>
      <c r="F300" s="74" t="s">
        <v>3</v>
      </c>
      <c r="H300" s="282">
        <f t="shared" si="4"/>
        <v>0</v>
      </c>
    </row>
    <row r="301" spans="1:8" ht="12.5" x14ac:dyDescent="0.25">
      <c r="A301" s="74" t="s">
        <v>292</v>
      </c>
      <c r="D301" s="74" t="s">
        <v>293</v>
      </c>
      <c r="E301" s="74">
        <v>0.19958000000000001</v>
      </c>
      <c r="F301" s="74" t="s">
        <v>508</v>
      </c>
      <c r="G301" s="74" t="s">
        <v>509</v>
      </c>
      <c r="H301" s="282">
        <f t="shared" si="4"/>
        <v>0</v>
      </c>
    </row>
    <row r="302" spans="1:8" ht="12.5" x14ac:dyDescent="0.25">
      <c r="B302" s="74" t="s">
        <v>510</v>
      </c>
      <c r="D302" s="74" t="s">
        <v>297</v>
      </c>
      <c r="E302" s="74">
        <v>0.10612000000000001</v>
      </c>
      <c r="F302" s="74" t="s">
        <v>508</v>
      </c>
      <c r="G302" s="74" t="s">
        <v>509</v>
      </c>
      <c r="H302" s="282">
        <f t="shared" si="4"/>
        <v>0</v>
      </c>
    </row>
    <row r="303" spans="1:8" ht="12.5" x14ac:dyDescent="0.25">
      <c r="C303" s="74" t="s">
        <v>511</v>
      </c>
      <c r="D303" s="74" t="s">
        <v>299</v>
      </c>
      <c r="E303" s="74">
        <v>4.7719999999999999E-2</v>
      </c>
      <c r="F303" s="74" t="s">
        <v>508</v>
      </c>
      <c r="G303" s="74" t="s">
        <v>509</v>
      </c>
      <c r="H303" s="282">
        <f t="shared" si="4"/>
        <v>0</v>
      </c>
    </row>
    <row r="304" spans="1:8" ht="12.5" x14ac:dyDescent="0.25">
      <c r="C304" s="74" t="s">
        <v>512</v>
      </c>
      <c r="D304" s="74" t="s">
        <v>301</v>
      </c>
      <c r="E304" s="74">
        <v>1.38E-2</v>
      </c>
      <c r="F304" s="74" t="s">
        <v>508</v>
      </c>
      <c r="G304" s="74" t="s">
        <v>509</v>
      </c>
      <c r="H304" s="282">
        <f t="shared" si="4"/>
        <v>0</v>
      </c>
    </row>
    <row r="305" spans="3:8" ht="12.5" x14ac:dyDescent="0.25">
      <c r="C305" s="74" t="s">
        <v>513</v>
      </c>
      <c r="D305" s="74" t="s">
        <v>303</v>
      </c>
      <c r="E305" s="74">
        <v>1.0449999999999999E-2</v>
      </c>
      <c r="F305" s="74" t="s">
        <v>508</v>
      </c>
      <c r="G305" s="74" t="s">
        <v>509</v>
      </c>
      <c r="H305" s="282">
        <f t="shared" si="4"/>
        <v>0</v>
      </c>
    </row>
    <row r="306" spans="3:8" ht="12.5" x14ac:dyDescent="0.25">
      <c r="C306" s="74" t="s">
        <v>366</v>
      </c>
      <c r="D306" s="74" t="s">
        <v>307</v>
      </c>
      <c r="E306" s="74">
        <v>8.1700000000000002E-3</v>
      </c>
      <c r="F306" s="74" t="s">
        <v>508</v>
      </c>
      <c r="G306" s="74" t="s">
        <v>509</v>
      </c>
      <c r="H306" s="282">
        <f t="shared" si="4"/>
        <v>0</v>
      </c>
    </row>
    <row r="307" spans="3:8" ht="12.5" x14ac:dyDescent="0.25">
      <c r="C307" s="74" t="s">
        <v>449</v>
      </c>
      <c r="D307" s="74" t="s">
        <v>305</v>
      </c>
      <c r="E307" s="74">
        <v>7.5199999999999998E-3</v>
      </c>
      <c r="F307" s="74" t="s">
        <v>508</v>
      </c>
      <c r="G307" s="74" t="s">
        <v>509</v>
      </c>
      <c r="H307" s="282">
        <f t="shared" si="4"/>
        <v>0</v>
      </c>
    </row>
    <row r="308" spans="3:8" ht="12.5" x14ac:dyDescent="0.25">
      <c r="C308" s="74" t="s">
        <v>514</v>
      </c>
      <c r="D308" s="74" t="s">
        <v>309</v>
      </c>
      <c r="E308" s="74">
        <v>4.9399999999999999E-3</v>
      </c>
      <c r="F308" s="74" t="s">
        <v>508</v>
      </c>
      <c r="G308" s="74" t="s">
        <v>509</v>
      </c>
      <c r="H308" s="282">
        <f t="shared" si="4"/>
        <v>0</v>
      </c>
    </row>
    <row r="309" spans="3:8" ht="12.5" x14ac:dyDescent="0.25">
      <c r="C309" s="74" t="s">
        <v>515</v>
      </c>
      <c r="D309" s="74" t="s">
        <v>311</v>
      </c>
      <c r="E309" s="74">
        <v>3.6600000000000001E-3</v>
      </c>
      <c r="F309" s="74" t="s">
        <v>508</v>
      </c>
      <c r="G309" s="74" t="s">
        <v>509</v>
      </c>
      <c r="H309" s="282">
        <f t="shared" si="4"/>
        <v>0</v>
      </c>
    </row>
    <row r="310" spans="3:8" ht="12.5" x14ac:dyDescent="0.25">
      <c r="C310" s="74" t="s">
        <v>516</v>
      </c>
      <c r="D310" s="74" t="s">
        <v>313</v>
      </c>
      <c r="E310" s="74">
        <v>3.4499999999999999E-3</v>
      </c>
      <c r="F310" s="74" t="s">
        <v>508</v>
      </c>
      <c r="G310" s="74" t="s">
        <v>509</v>
      </c>
      <c r="H310" s="282">
        <f t="shared" si="4"/>
        <v>0</v>
      </c>
    </row>
    <row r="311" spans="3:8" ht="12.5" x14ac:dyDescent="0.25">
      <c r="C311" s="74" t="s">
        <v>517</v>
      </c>
      <c r="D311" s="74" t="s">
        <v>315</v>
      </c>
      <c r="E311" s="74">
        <v>1.66E-3</v>
      </c>
      <c r="F311" s="74" t="s">
        <v>508</v>
      </c>
      <c r="G311" s="74" t="s">
        <v>509</v>
      </c>
      <c r="H311" s="282">
        <f t="shared" si="4"/>
        <v>0</v>
      </c>
    </row>
    <row r="312" spans="3:8" ht="12.5" x14ac:dyDescent="0.25">
      <c r="C312" s="74" t="s">
        <v>518</v>
      </c>
      <c r="D312" s="74" t="s">
        <v>317</v>
      </c>
      <c r="E312" s="74">
        <v>1.6000000000000001E-3</v>
      </c>
      <c r="F312" s="74" t="s">
        <v>508</v>
      </c>
      <c r="G312" s="74" t="s">
        <v>509</v>
      </c>
      <c r="H312" s="282">
        <f t="shared" si="4"/>
        <v>0</v>
      </c>
    </row>
    <row r="313" spans="3:8" ht="12.5" x14ac:dyDescent="0.25">
      <c r="C313" s="74" t="s">
        <v>519</v>
      </c>
      <c r="D313" s="74" t="s">
        <v>323</v>
      </c>
      <c r="E313" s="74">
        <v>1.0399999999999999E-3</v>
      </c>
      <c r="F313" s="74" t="s">
        <v>508</v>
      </c>
      <c r="G313" s="74" t="s">
        <v>509</v>
      </c>
      <c r="H313" s="282">
        <f t="shared" si="4"/>
        <v>0</v>
      </c>
    </row>
    <row r="314" spans="3:8" ht="12.5" x14ac:dyDescent="0.25">
      <c r="C314" s="74" t="s">
        <v>324</v>
      </c>
      <c r="D314" s="74" t="s">
        <v>325</v>
      </c>
      <c r="E314" s="74">
        <v>6.0999999999999997E-4</v>
      </c>
      <c r="F314" s="74" t="s">
        <v>508</v>
      </c>
      <c r="G314" s="74" t="s">
        <v>509</v>
      </c>
      <c r="H314" s="282">
        <f t="shared" si="4"/>
        <v>0</v>
      </c>
    </row>
    <row r="315" spans="3:8" ht="12.5" x14ac:dyDescent="0.25">
      <c r="C315" s="74" t="s">
        <v>520</v>
      </c>
      <c r="D315" s="74" t="s">
        <v>321</v>
      </c>
      <c r="E315" s="74">
        <v>5.2999999999999998E-4</v>
      </c>
      <c r="F315" s="74" t="s">
        <v>508</v>
      </c>
      <c r="G315" s="74" t="s">
        <v>509</v>
      </c>
      <c r="H315" s="282">
        <f t="shared" si="4"/>
        <v>0</v>
      </c>
    </row>
    <row r="316" spans="3:8" ht="12.5" x14ac:dyDescent="0.25">
      <c r="C316" s="74" t="s">
        <v>506</v>
      </c>
      <c r="D316" s="74" t="s">
        <v>327</v>
      </c>
      <c r="E316" s="74">
        <v>4.8000000000000001E-4</v>
      </c>
      <c r="F316" s="74" t="s">
        <v>508</v>
      </c>
      <c r="G316" s="74" t="s">
        <v>509</v>
      </c>
      <c r="H316" s="282">
        <f t="shared" si="4"/>
        <v>0</v>
      </c>
    </row>
    <row r="317" spans="3:8" ht="12.5" x14ac:dyDescent="0.25">
      <c r="C317" s="74" t="s">
        <v>521</v>
      </c>
      <c r="D317" s="74" t="s">
        <v>319</v>
      </c>
      <c r="E317" s="74">
        <v>3.6999999999999999E-4</v>
      </c>
      <c r="F317" s="74" t="s">
        <v>508</v>
      </c>
      <c r="G317" s="74" t="s">
        <v>509</v>
      </c>
      <c r="H317" s="282">
        <f t="shared" si="4"/>
        <v>0</v>
      </c>
    </row>
    <row r="318" spans="3:8" ht="12.5" x14ac:dyDescent="0.25">
      <c r="C318" s="74" t="s">
        <v>334</v>
      </c>
      <c r="D318" s="74" t="s">
        <v>329</v>
      </c>
      <c r="E318" s="75">
        <v>8.3367800000000005E-5</v>
      </c>
      <c r="F318" s="74" t="s">
        <v>508</v>
      </c>
      <c r="G318" s="74" t="s">
        <v>509</v>
      </c>
      <c r="H318" s="282">
        <f t="shared" si="4"/>
        <v>0</v>
      </c>
    </row>
    <row r="319" spans="3:8" ht="12.5" x14ac:dyDescent="0.25">
      <c r="C319" s="74" t="s">
        <v>387</v>
      </c>
      <c r="D319" s="74" t="s">
        <v>335</v>
      </c>
      <c r="E319" s="75">
        <v>2.85748E-5</v>
      </c>
      <c r="F319" s="74" t="s">
        <v>508</v>
      </c>
      <c r="G319" s="74" t="s">
        <v>509</v>
      </c>
      <c r="H319" s="282">
        <f t="shared" si="4"/>
        <v>0</v>
      </c>
    </row>
    <row r="320" spans="3:8" ht="12.5" x14ac:dyDescent="0.25">
      <c r="C320" s="74" t="s">
        <v>387</v>
      </c>
      <c r="D320" s="74" t="s">
        <v>333</v>
      </c>
      <c r="E320" s="75">
        <v>1.22363E-5</v>
      </c>
      <c r="F320" s="74" t="s">
        <v>508</v>
      </c>
      <c r="G320" s="74" t="s">
        <v>509</v>
      </c>
      <c r="H320" s="282">
        <f t="shared" si="4"/>
        <v>0</v>
      </c>
    </row>
    <row r="321" spans="1:8" ht="12.5" x14ac:dyDescent="0.25">
      <c r="C321" s="74" t="s">
        <v>356</v>
      </c>
      <c r="D321" s="74" t="s">
        <v>331</v>
      </c>
      <c r="E321" s="75">
        <v>3.8002500000000002E-6</v>
      </c>
      <c r="F321" s="74" t="s">
        <v>508</v>
      </c>
      <c r="G321" s="74" t="s">
        <v>509</v>
      </c>
      <c r="H321" s="282">
        <f t="shared" si="4"/>
        <v>0</v>
      </c>
    </row>
    <row r="322" spans="1:8" ht="12.5" x14ac:dyDescent="0.25">
      <c r="B322" s="74" t="s">
        <v>522</v>
      </c>
      <c r="D322" s="74" t="s">
        <v>337</v>
      </c>
      <c r="E322" s="74">
        <v>9.3460000000000001E-2</v>
      </c>
      <c r="F322" s="74" t="s">
        <v>508</v>
      </c>
      <c r="G322" s="74" t="s">
        <v>509</v>
      </c>
      <c r="H322" s="282">
        <f t="shared" si="4"/>
        <v>3.4733453783823531E-2</v>
      </c>
    </row>
    <row r="323" spans="1:8" ht="12.5" x14ac:dyDescent="0.25">
      <c r="A323" s="74" t="s">
        <v>289</v>
      </c>
      <c r="D323" s="74" t="s">
        <v>290</v>
      </c>
      <c r="E323" s="74" t="s">
        <v>291</v>
      </c>
      <c r="F323" s="74" t="s">
        <v>3</v>
      </c>
      <c r="H323" s="282">
        <f t="shared" ref="H323:H386" si="5">IF(D323=$I$4,E323/$K$3*$J$3,0)</f>
        <v>0</v>
      </c>
    </row>
    <row r="324" spans="1:8" ht="12.5" x14ac:dyDescent="0.25">
      <c r="A324" s="74" t="s">
        <v>292</v>
      </c>
      <c r="D324" s="74" t="s">
        <v>293</v>
      </c>
      <c r="E324" s="74">
        <v>1270.62896</v>
      </c>
      <c r="F324" s="74" t="s">
        <v>523</v>
      </c>
      <c r="G324" s="74" t="s">
        <v>524</v>
      </c>
      <c r="H324" s="282">
        <f t="shared" si="5"/>
        <v>0</v>
      </c>
    </row>
    <row r="325" spans="1:8" ht="12.5" x14ac:dyDescent="0.25">
      <c r="B325" s="74" t="s">
        <v>525</v>
      </c>
      <c r="D325" s="74" t="s">
        <v>297</v>
      </c>
      <c r="E325" s="74">
        <v>1034.98368</v>
      </c>
      <c r="F325" s="74" t="s">
        <v>523</v>
      </c>
      <c r="G325" s="74" t="s">
        <v>524</v>
      </c>
      <c r="H325" s="282">
        <f t="shared" si="5"/>
        <v>0</v>
      </c>
    </row>
    <row r="326" spans="1:8" ht="12.5" x14ac:dyDescent="0.25">
      <c r="C326" s="74" t="s">
        <v>526</v>
      </c>
      <c r="D326" s="74" t="s">
        <v>299</v>
      </c>
      <c r="E326" s="74">
        <v>473.14611000000002</v>
      </c>
      <c r="F326" s="74" t="s">
        <v>523</v>
      </c>
      <c r="G326" s="74" t="s">
        <v>524</v>
      </c>
      <c r="H326" s="282">
        <f t="shared" si="5"/>
        <v>0</v>
      </c>
    </row>
    <row r="327" spans="1:8" ht="12.5" x14ac:dyDescent="0.25">
      <c r="C327" s="74" t="s">
        <v>527</v>
      </c>
      <c r="D327" s="74" t="s">
        <v>301</v>
      </c>
      <c r="E327" s="74">
        <v>134.11269999999999</v>
      </c>
      <c r="F327" s="74" t="s">
        <v>523</v>
      </c>
      <c r="G327" s="74" t="s">
        <v>524</v>
      </c>
      <c r="H327" s="282">
        <f t="shared" si="5"/>
        <v>0</v>
      </c>
    </row>
    <row r="328" spans="1:8" ht="12.5" x14ac:dyDescent="0.25">
      <c r="C328" s="74" t="s">
        <v>528</v>
      </c>
      <c r="D328" s="74" t="s">
        <v>303</v>
      </c>
      <c r="E328" s="74">
        <v>107.67323</v>
      </c>
      <c r="F328" s="74" t="s">
        <v>523</v>
      </c>
      <c r="G328" s="74" t="s">
        <v>524</v>
      </c>
      <c r="H328" s="282">
        <f t="shared" si="5"/>
        <v>0</v>
      </c>
    </row>
    <row r="329" spans="1:8" ht="12.5" x14ac:dyDescent="0.25">
      <c r="C329" s="74" t="s">
        <v>529</v>
      </c>
      <c r="D329" s="74" t="s">
        <v>305</v>
      </c>
      <c r="E329" s="74">
        <v>103.60393000000001</v>
      </c>
      <c r="F329" s="74" t="s">
        <v>523</v>
      </c>
      <c r="G329" s="74" t="s">
        <v>524</v>
      </c>
      <c r="H329" s="282">
        <f t="shared" si="5"/>
        <v>0</v>
      </c>
    </row>
    <row r="330" spans="1:8" ht="12.5" x14ac:dyDescent="0.25">
      <c r="C330" s="74" t="s">
        <v>530</v>
      </c>
      <c r="D330" s="74" t="s">
        <v>307</v>
      </c>
      <c r="E330" s="74">
        <v>71.81344</v>
      </c>
      <c r="F330" s="74" t="s">
        <v>523</v>
      </c>
      <c r="G330" s="74" t="s">
        <v>524</v>
      </c>
      <c r="H330" s="282">
        <f t="shared" si="5"/>
        <v>0</v>
      </c>
    </row>
    <row r="331" spans="1:8" ht="12.5" x14ac:dyDescent="0.25">
      <c r="C331" s="74" t="s">
        <v>450</v>
      </c>
      <c r="D331" s="74" t="s">
        <v>309</v>
      </c>
      <c r="E331" s="74">
        <v>46.11806</v>
      </c>
      <c r="F331" s="74" t="s">
        <v>523</v>
      </c>
      <c r="G331" s="74" t="s">
        <v>524</v>
      </c>
      <c r="H331" s="282">
        <f t="shared" si="5"/>
        <v>0</v>
      </c>
    </row>
    <row r="332" spans="1:8" ht="12.5" x14ac:dyDescent="0.25">
      <c r="C332" s="74" t="s">
        <v>531</v>
      </c>
      <c r="D332" s="74" t="s">
        <v>311</v>
      </c>
      <c r="E332" s="74">
        <v>34.144010000000002</v>
      </c>
      <c r="F332" s="74" t="s">
        <v>523</v>
      </c>
      <c r="G332" s="74" t="s">
        <v>524</v>
      </c>
      <c r="H332" s="282">
        <f t="shared" si="5"/>
        <v>0</v>
      </c>
    </row>
    <row r="333" spans="1:8" ht="12.5" x14ac:dyDescent="0.25">
      <c r="C333" s="74" t="s">
        <v>532</v>
      </c>
      <c r="D333" s="74" t="s">
        <v>313</v>
      </c>
      <c r="E333" s="74">
        <v>22.241320000000002</v>
      </c>
      <c r="F333" s="74" t="s">
        <v>523</v>
      </c>
      <c r="G333" s="74" t="s">
        <v>524</v>
      </c>
      <c r="H333" s="282">
        <f t="shared" si="5"/>
        <v>0</v>
      </c>
    </row>
    <row r="334" spans="1:8" ht="12.5" x14ac:dyDescent="0.25">
      <c r="C334" s="74" t="s">
        <v>533</v>
      </c>
      <c r="D334" s="74" t="s">
        <v>321</v>
      </c>
      <c r="E334" s="74">
        <v>18.775020000000001</v>
      </c>
      <c r="F334" s="74" t="s">
        <v>523</v>
      </c>
      <c r="G334" s="74" t="s">
        <v>524</v>
      </c>
      <c r="H334" s="282">
        <f t="shared" si="5"/>
        <v>0</v>
      </c>
    </row>
    <row r="335" spans="1:8" ht="12.5" x14ac:dyDescent="0.25">
      <c r="C335" s="74" t="s">
        <v>534</v>
      </c>
      <c r="D335" s="74" t="s">
        <v>319</v>
      </c>
      <c r="E335" s="74">
        <v>5.9821</v>
      </c>
      <c r="F335" s="74" t="s">
        <v>523</v>
      </c>
      <c r="G335" s="74" t="s">
        <v>524</v>
      </c>
      <c r="H335" s="282">
        <f t="shared" si="5"/>
        <v>0</v>
      </c>
    </row>
    <row r="336" spans="1:8" ht="12.5" x14ac:dyDescent="0.25">
      <c r="C336" s="74" t="s">
        <v>434</v>
      </c>
      <c r="D336" s="74" t="s">
        <v>317</v>
      </c>
      <c r="E336" s="74">
        <v>5.5054800000000004</v>
      </c>
      <c r="F336" s="74" t="s">
        <v>523</v>
      </c>
      <c r="G336" s="74" t="s">
        <v>524</v>
      </c>
      <c r="H336" s="282">
        <f t="shared" si="5"/>
        <v>0</v>
      </c>
    </row>
    <row r="337" spans="1:8" ht="12.5" x14ac:dyDescent="0.25">
      <c r="C337" s="74" t="s">
        <v>414</v>
      </c>
      <c r="D337" s="74" t="s">
        <v>315</v>
      </c>
      <c r="E337" s="74">
        <v>4.3422599999999996</v>
      </c>
      <c r="F337" s="74" t="s">
        <v>523</v>
      </c>
      <c r="G337" s="74" t="s">
        <v>524</v>
      </c>
      <c r="H337" s="282">
        <f t="shared" si="5"/>
        <v>0</v>
      </c>
    </row>
    <row r="338" spans="1:8" ht="12.5" x14ac:dyDescent="0.25">
      <c r="C338" s="74" t="s">
        <v>506</v>
      </c>
      <c r="D338" s="74" t="s">
        <v>323</v>
      </c>
      <c r="E338" s="74">
        <v>3.1124399999999999</v>
      </c>
      <c r="F338" s="74" t="s">
        <v>523</v>
      </c>
      <c r="G338" s="74" t="s">
        <v>524</v>
      </c>
      <c r="H338" s="282">
        <f t="shared" si="5"/>
        <v>0</v>
      </c>
    </row>
    <row r="339" spans="1:8" ht="12.5" x14ac:dyDescent="0.25">
      <c r="C339" s="74" t="s">
        <v>521</v>
      </c>
      <c r="D339" s="74" t="s">
        <v>327</v>
      </c>
      <c r="E339" s="74">
        <v>2.4156399999999998</v>
      </c>
      <c r="F339" s="74" t="s">
        <v>523</v>
      </c>
      <c r="G339" s="74" t="s">
        <v>524</v>
      </c>
      <c r="H339" s="282">
        <f t="shared" si="5"/>
        <v>0</v>
      </c>
    </row>
    <row r="340" spans="1:8" ht="12.5" x14ac:dyDescent="0.25">
      <c r="C340" s="74" t="s">
        <v>332</v>
      </c>
      <c r="D340" s="74" t="s">
        <v>329</v>
      </c>
      <c r="E340" s="74">
        <v>0.83755000000000002</v>
      </c>
      <c r="F340" s="74" t="s">
        <v>523</v>
      </c>
      <c r="G340" s="74" t="s">
        <v>524</v>
      </c>
      <c r="H340" s="282">
        <f t="shared" si="5"/>
        <v>0</v>
      </c>
    </row>
    <row r="341" spans="1:8" ht="12.5" x14ac:dyDescent="0.25">
      <c r="C341" s="74" t="s">
        <v>334</v>
      </c>
      <c r="D341" s="74" t="s">
        <v>331</v>
      </c>
      <c r="E341" s="74">
        <v>0.51422999999999996</v>
      </c>
      <c r="F341" s="74" t="s">
        <v>523</v>
      </c>
      <c r="G341" s="74" t="s">
        <v>524</v>
      </c>
      <c r="H341" s="282">
        <f t="shared" si="5"/>
        <v>0</v>
      </c>
    </row>
    <row r="342" spans="1:8" ht="12.5" x14ac:dyDescent="0.25">
      <c r="C342" s="74" t="s">
        <v>354</v>
      </c>
      <c r="D342" s="74" t="s">
        <v>335</v>
      </c>
      <c r="E342" s="74">
        <v>0.35132999999999998</v>
      </c>
      <c r="F342" s="74" t="s">
        <v>523</v>
      </c>
      <c r="G342" s="74" t="s">
        <v>524</v>
      </c>
      <c r="H342" s="282">
        <f t="shared" si="5"/>
        <v>0</v>
      </c>
    </row>
    <row r="343" spans="1:8" ht="12.5" x14ac:dyDescent="0.25">
      <c r="C343" s="74" t="s">
        <v>355</v>
      </c>
      <c r="D343" s="74" t="s">
        <v>325</v>
      </c>
      <c r="E343" s="74">
        <v>0.27895999999999999</v>
      </c>
      <c r="F343" s="74" t="s">
        <v>523</v>
      </c>
      <c r="G343" s="74" t="s">
        <v>524</v>
      </c>
      <c r="H343" s="282">
        <f t="shared" si="5"/>
        <v>0</v>
      </c>
    </row>
    <row r="344" spans="1:8" ht="12.5" x14ac:dyDescent="0.25">
      <c r="C344" s="74" t="s">
        <v>356</v>
      </c>
      <c r="D344" s="74" t="s">
        <v>333</v>
      </c>
      <c r="E344" s="74">
        <v>1.5859999999999999E-2</v>
      </c>
      <c r="F344" s="74" t="s">
        <v>523</v>
      </c>
      <c r="G344" s="74" t="s">
        <v>524</v>
      </c>
      <c r="H344" s="282">
        <f t="shared" si="5"/>
        <v>0</v>
      </c>
    </row>
    <row r="345" spans="1:8" ht="12.5" x14ac:dyDescent="0.25">
      <c r="B345" s="74" t="s">
        <v>535</v>
      </c>
      <c r="D345" s="74" t="s">
        <v>337</v>
      </c>
      <c r="E345" s="74">
        <v>235.64528999999999</v>
      </c>
      <c r="F345" s="74" t="s">
        <v>523</v>
      </c>
      <c r="G345" s="74" t="s">
        <v>524</v>
      </c>
      <c r="H345" s="282">
        <f t="shared" si="5"/>
        <v>87.575163595021323</v>
      </c>
    </row>
    <row r="346" spans="1:8" ht="12.5" x14ac:dyDescent="0.25">
      <c r="A346" s="74" t="s">
        <v>289</v>
      </c>
      <c r="D346" s="74" t="s">
        <v>290</v>
      </c>
      <c r="E346" s="74" t="s">
        <v>291</v>
      </c>
      <c r="F346" s="74" t="s">
        <v>3</v>
      </c>
      <c r="H346" s="282">
        <f t="shared" si="5"/>
        <v>0</v>
      </c>
    </row>
    <row r="347" spans="1:8" ht="12.5" x14ac:dyDescent="0.25">
      <c r="A347" s="74" t="s">
        <v>292</v>
      </c>
      <c r="D347" s="74" t="s">
        <v>293</v>
      </c>
      <c r="E347" s="75">
        <v>2698790</v>
      </c>
      <c r="F347" s="74" t="s">
        <v>376</v>
      </c>
      <c r="G347" s="74" t="s">
        <v>536</v>
      </c>
      <c r="H347" s="282">
        <f t="shared" si="5"/>
        <v>0</v>
      </c>
    </row>
    <row r="348" spans="1:8" ht="12.5" x14ac:dyDescent="0.25">
      <c r="B348" s="74" t="s">
        <v>537</v>
      </c>
      <c r="D348" s="74" t="s">
        <v>297</v>
      </c>
      <c r="E348" s="75">
        <v>2127550</v>
      </c>
      <c r="F348" s="74" t="s">
        <v>376</v>
      </c>
      <c r="G348" s="74" t="s">
        <v>536</v>
      </c>
      <c r="H348" s="282">
        <f t="shared" si="5"/>
        <v>0</v>
      </c>
    </row>
    <row r="349" spans="1:8" ht="12.5" x14ac:dyDescent="0.25">
      <c r="C349" s="74" t="s">
        <v>538</v>
      </c>
      <c r="D349" s="74" t="s">
        <v>299</v>
      </c>
      <c r="E349" s="75">
        <v>749861</v>
      </c>
      <c r="F349" s="74" t="s">
        <v>376</v>
      </c>
      <c r="G349" s="74" t="s">
        <v>536</v>
      </c>
      <c r="H349" s="282">
        <f t="shared" si="5"/>
        <v>0</v>
      </c>
    </row>
    <row r="350" spans="1:8" ht="12.5" x14ac:dyDescent="0.25">
      <c r="C350" s="74" t="s">
        <v>539</v>
      </c>
      <c r="D350" s="74" t="s">
        <v>301</v>
      </c>
      <c r="E350" s="75">
        <v>454002</v>
      </c>
      <c r="F350" s="74" t="s">
        <v>376</v>
      </c>
      <c r="G350" s="74" t="s">
        <v>536</v>
      </c>
      <c r="H350" s="282">
        <f t="shared" si="5"/>
        <v>0</v>
      </c>
    </row>
    <row r="351" spans="1:8" ht="12.5" x14ac:dyDescent="0.25">
      <c r="C351" s="74" t="s">
        <v>540</v>
      </c>
      <c r="D351" s="74" t="s">
        <v>305</v>
      </c>
      <c r="E351" s="75">
        <v>389528</v>
      </c>
      <c r="F351" s="74" t="s">
        <v>376</v>
      </c>
      <c r="G351" s="74" t="s">
        <v>536</v>
      </c>
      <c r="H351" s="282">
        <f t="shared" si="5"/>
        <v>0</v>
      </c>
    </row>
    <row r="352" spans="1:8" ht="12.5" x14ac:dyDescent="0.25">
      <c r="C352" s="74" t="s">
        <v>541</v>
      </c>
      <c r="D352" s="74" t="s">
        <v>307</v>
      </c>
      <c r="E352" s="75">
        <v>185087</v>
      </c>
      <c r="F352" s="74" t="s">
        <v>376</v>
      </c>
      <c r="G352" s="74" t="s">
        <v>536</v>
      </c>
      <c r="H352" s="282">
        <f t="shared" si="5"/>
        <v>0</v>
      </c>
    </row>
    <row r="353" spans="2:8" ht="12.5" x14ac:dyDescent="0.25">
      <c r="C353" s="74" t="s">
        <v>542</v>
      </c>
      <c r="D353" s="74" t="s">
        <v>303</v>
      </c>
      <c r="E353" s="75">
        <v>126410</v>
      </c>
      <c r="F353" s="74" t="s">
        <v>376</v>
      </c>
      <c r="G353" s="74" t="s">
        <v>536</v>
      </c>
      <c r="H353" s="282">
        <f t="shared" si="5"/>
        <v>0</v>
      </c>
    </row>
    <row r="354" spans="2:8" ht="12.5" x14ac:dyDescent="0.25">
      <c r="C354" s="74" t="s">
        <v>543</v>
      </c>
      <c r="D354" s="74" t="s">
        <v>311</v>
      </c>
      <c r="E354" s="75">
        <v>77513.8</v>
      </c>
      <c r="F354" s="74" t="s">
        <v>376</v>
      </c>
      <c r="G354" s="74" t="s">
        <v>536</v>
      </c>
      <c r="H354" s="282">
        <f t="shared" si="5"/>
        <v>0</v>
      </c>
    </row>
    <row r="355" spans="2:8" ht="12.5" x14ac:dyDescent="0.25">
      <c r="C355" s="74" t="s">
        <v>544</v>
      </c>
      <c r="D355" s="74" t="s">
        <v>309</v>
      </c>
      <c r="E355" s="75">
        <v>75513.7</v>
      </c>
      <c r="F355" s="74" t="s">
        <v>376</v>
      </c>
      <c r="G355" s="74" t="s">
        <v>536</v>
      </c>
      <c r="H355" s="282">
        <f t="shared" si="5"/>
        <v>0</v>
      </c>
    </row>
    <row r="356" spans="2:8" ht="12.5" x14ac:dyDescent="0.25">
      <c r="C356" s="74" t="s">
        <v>349</v>
      </c>
      <c r="D356" s="74" t="s">
        <v>317</v>
      </c>
      <c r="E356" s="75">
        <v>28709.4</v>
      </c>
      <c r="F356" s="74" t="s">
        <v>376</v>
      </c>
      <c r="G356" s="74" t="s">
        <v>536</v>
      </c>
      <c r="H356" s="282">
        <f t="shared" si="5"/>
        <v>0</v>
      </c>
    </row>
    <row r="357" spans="2:8" ht="12.5" x14ac:dyDescent="0.25">
      <c r="C357" s="74" t="s">
        <v>545</v>
      </c>
      <c r="D357" s="74" t="s">
        <v>315</v>
      </c>
      <c r="E357" s="75">
        <v>17511.900000000001</v>
      </c>
      <c r="F357" s="74" t="s">
        <v>376</v>
      </c>
      <c r="G357" s="74" t="s">
        <v>536</v>
      </c>
      <c r="H357" s="282">
        <f t="shared" si="5"/>
        <v>0</v>
      </c>
    </row>
    <row r="358" spans="2:8" ht="12.5" x14ac:dyDescent="0.25">
      <c r="C358" s="74" t="s">
        <v>546</v>
      </c>
      <c r="D358" s="74" t="s">
        <v>313</v>
      </c>
      <c r="E358" s="75">
        <v>12912</v>
      </c>
      <c r="F358" s="74" t="s">
        <v>376</v>
      </c>
      <c r="G358" s="74" t="s">
        <v>536</v>
      </c>
      <c r="H358" s="282">
        <f t="shared" si="5"/>
        <v>0</v>
      </c>
    </row>
    <row r="359" spans="2:8" ht="12.5" x14ac:dyDescent="0.25">
      <c r="C359" s="74" t="s">
        <v>415</v>
      </c>
      <c r="D359" s="74" t="s">
        <v>323</v>
      </c>
      <c r="E359" s="74">
        <v>3762.0332600000002</v>
      </c>
      <c r="F359" s="74" t="s">
        <v>376</v>
      </c>
      <c r="G359" s="74" t="s">
        <v>536</v>
      </c>
      <c r="H359" s="282">
        <f t="shared" si="5"/>
        <v>0</v>
      </c>
    </row>
    <row r="360" spans="2:8" ht="12.5" x14ac:dyDescent="0.25">
      <c r="C360" s="74" t="s">
        <v>400</v>
      </c>
      <c r="D360" s="74" t="s">
        <v>321</v>
      </c>
      <c r="E360" s="74">
        <v>2117.5204800000001</v>
      </c>
      <c r="F360" s="74" t="s">
        <v>376</v>
      </c>
      <c r="G360" s="74" t="s">
        <v>536</v>
      </c>
      <c r="H360" s="282">
        <f t="shared" si="5"/>
        <v>0</v>
      </c>
    </row>
    <row r="361" spans="2:8" ht="12.5" x14ac:dyDescent="0.25">
      <c r="C361" s="74" t="s">
        <v>401</v>
      </c>
      <c r="D361" s="74" t="s">
        <v>329</v>
      </c>
      <c r="E361" s="74">
        <v>1527.08537</v>
      </c>
      <c r="F361" s="74" t="s">
        <v>376</v>
      </c>
      <c r="G361" s="74" t="s">
        <v>536</v>
      </c>
      <c r="H361" s="282">
        <f t="shared" si="5"/>
        <v>0</v>
      </c>
    </row>
    <row r="362" spans="2:8" ht="12.5" x14ac:dyDescent="0.25">
      <c r="C362" s="74" t="s">
        <v>334</v>
      </c>
      <c r="D362" s="74" t="s">
        <v>327</v>
      </c>
      <c r="E362" s="74">
        <v>1189.07608</v>
      </c>
      <c r="F362" s="74" t="s">
        <v>376</v>
      </c>
      <c r="G362" s="74" t="s">
        <v>536</v>
      </c>
      <c r="H362" s="282">
        <f t="shared" si="5"/>
        <v>0</v>
      </c>
    </row>
    <row r="363" spans="2:8" ht="12.5" x14ac:dyDescent="0.25">
      <c r="C363" s="74" t="s">
        <v>334</v>
      </c>
      <c r="D363" s="74" t="s">
        <v>319</v>
      </c>
      <c r="E363" s="74">
        <v>997.41997000000003</v>
      </c>
      <c r="F363" s="74" t="s">
        <v>376</v>
      </c>
      <c r="G363" s="74" t="s">
        <v>536</v>
      </c>
      <c r="H363" s="282">
        <f t="shared" si="5"/>
        <v>0</v>
      </c>
    </row>
    <row r="364" spans="2:8" ht="12.5" x14ac:dyDescent="0.25">
      <c r="C364" s="74" t="s">
        <v>355</v>
      </c>
      <c r="D364" s="74" t="s">
        <v>333</v>
      </c>
      <c r="E364" s="74">
        <v>466.24574999999999</v>
      </c>
      <c r="F364" s="74" t="s">
        <v>376</v>
      </c>
      <c r="G364" s="74" t="s">
        <v>536</v>
      </c>
      <c r="H364" s="282">
        <f t="shared" si="5"/>
        <v>0</v>
      </c>
    </row>
    <row r="365" spans="2:8" ht="12.5" x14ac:dyDescent="0.25">
      <c r="C365" s="74" t="s">
        <v>387</v>
      </c>
      <c r="D365" s="74" t="s">
        <v>325</v>
      </c>
      <c r="E365" s="74">
        <v>276.91059999999999</v>
      </c>
      <c r="F365" s="74" t="s">
        <v>376</v>
      </c>
      <c r="G365" s="74" t="s">
        <v>536</v>
      </c>
      <c r="H365" s="282">
        <f t="shared" si="5"/>
        <v>0</v>
      </c>
    </row>
    <row r="366" spans="2:8" ht="12.5" x14ac:dyDescent="0.25">
      <c r="C366" s="74" t="s">
        <v>356</v>
      </c>
      <c r="D366" s="74" t="s">
        <v>331</v>
      </c>
      <c r="E366" s="74">
        <v>90.006429999999995</v>
      </c>
      <c r="F366" s="74" t="s">
        <v>376</v>
      </c>
      <c r="G366" s="74" t="s">
        <v>536</v>
      </c>
      <c r="H366" s="282">
        <f t="shared" si="5"/>
        <v>0</v>
      </c>
    </row>
    <row r="367" spans="2:8" ht="12.5" x14ac:dyDescent="0.25">
      <c r="C367" s="74" t="s">
        <v>356</v>
      </c>
      <c r="D367" s="74" t="s">
        <v>335</v>
      </c>
      <c r="E367" s="74">
        <v>76.282899999999998</v>
      </c>
      <c r="F367" s="74" t="s">
        <v>376</v>
      </c>
      <c r="G367" s="74" t="s">
        <v>536</v>
      </c>
      <c r="H367" s="282">
        <f t="shared" si="5"/>
        <v>0</v>
      </c>
    </row>
    <row r="368" spans="2:8" ht="12.5" x14ac:dyDescent="0.25">
      <c r="B368" s="74" t="s">
        <v>547</v>
      </c>
      <c r="D368" s="74" t="s">
        <v>337</v>
      </c>
      <c r="E368" s="75">
        <v>571244</v>
      </c>
      <c r="F368" s="74" t="s">
        <v>376</v>
      </c>
      <c r="G368" s="74" t="s">
        <v>536</v>
      </c>
      <c r="H368" s="282">
        <f t="shared" si="5"/>
        <v>212296.99415029411</v>
      </c>
    </row>
    <row r="369" spans="1:8" ht="12.5" x14ac:dyDescent="0.25">
      <c r="A369" s="74" t="s">
        <v>289</v>
      </c>
      <c r="D369" s="74" t="s">
        <v>290</v>
      </c>
      <c r="E369" s="74" t="s">
        <v>291</v>
      </c>
      <c r="F369" s="74" t="s">
        <v>3</v>
      </c>
      <c r="H369" s="282">
        <f t="shared" si="5"/>
        <v>0</v>
      </c>
    </row>
    <row r="370" spans="1:8" ht="12.5" x14ac:dyDescent="0.25">
      <c r="A370" s="74" t="s">
        <v>292</v>
      </c>
      <c r="D370" s="74" t="s">
        <v>293</v>
      </c>
      <c r="E370" s="74">
        <v>4619.5122799999999</v>
      </c>
      <c r="F370" s="74" t="s">
        <v>96</v>
      </c>
      <c r="G370" s="74" t="s">
        <v>548</v>
      </c>
      <c r="H370" s="282">
        <f t="shared" si="5"/>
        <v>0</v>
      </c>
    </row>
    <row r="371" spans="1:8" ht="12.5" x14ac:dyDescent="0.25">
      <c r="B371" s="74" t="s">
        <v>549</v>
      </c>
      <c r="D371" s="74" t="s">
        <v>337</v>
      </c>
      <c r="E371" s="74">
        <v>2940.21405</v>
      </c>
      <c r="F371" s="74" t="s">
        <v>96</v>
      </c>
      <c r="G371" s="74" t="s">
        <v>548</v>
      </c>
      <c r="H371" s="282">
        <f t="shared" si="5"/>
        <v>1092.7005009653712</v>
      </c>
    </row>
    <row r="372" spans="1:8" ht="12.5" x14ac:dyDescent="0.25">
      <c r="B372" s="74" t="s">
        <v>550</v>
      </c>
      <c r="D372" s="74" t="s">
        <v>297</v>
      </c>
      <c r="E372" s="74">
        <v>1679.2982199999999</v>
      </c>
      <c r="F372" s="74" t="s">
        <v>96</v>
      </c>
      <c r="G372" s="74" t="s">
        <v>548</v>
      </c>
      <c r="H372" s="282">
        <f t="shared" si="5"/>
        <v>0</v>
      </c>
    </row>
    <row r="373" spans="1:8" ht="12.5" x14ac:dyDescent="0.25">
      <c r="C373" s="74" t="s">
        <v>551</v>
      </c>
      <c r="D373" s="74" t="s">
        <v>327</v>
      </c>
      <c r="E373" s="74">
        <v>962.05060000000003</v>
      </c>
      <c r="F373" s="74" t="s">
        <v>96</v>
      </c>
      <c r="G373" s="74" t="s">
        <v>548</v>
      </c>
      <c r="H373" s="282">
        <f t="shared" si="5"/>
        <v>0</v>
      </c>
    </row>
    <row r="374" spans="1:8" ht="12.5" x14ac:dyDescent="0.25">
      <c r="C374" s="74" t="s">
        <v>552</v>
      </c>
      <c r="D374" s="74" t="s">
        <v>299</v>
      </c>
      <c r="E374" s="74">
        <v>632.47428000000002</v>
      </c>
      <c r="F374" s="74" t="s">
        <v>96</v>
      </c>
      <c r="G374" s="74" t="s">
        <v>548</v>
      </c>
      <c r="H374" s="282">
        <f t="shared" si="5"/>
        <v>0</v>
      </c>
    </row>
    <row r="375" spans="1:8" ht="12.5" x14ac:dyDescent="0.25">
      <c r="C375" s="74" t="s">
        <v>553</v>
      </c>
      <c r="D375" s="74" t="s">
        <v>301</v>
      </c>
      <c r="E375" s="74">
        <v>244.72041999999999</v>
      </c>
      <c r="F375" s="74" t="s">
        <v>96</v>
      </c>
      <c r="G375" s="74" t="s">
        <v>548</v>
      </c>
      <c r="H375" s="282">
        <f t="shared" si="5"/>
        <v>0</v>
      </c>
    </row>
    <row r="376" spans="1:8" ht="12.5" x14ac:dyDescent="0.25">
      <c r="C376" s="74" t="s">
        <v>473</v>
      </c>
      <c r="D376" s="74" t="s">
        <v>305</v>
      </c>
      <c r="E376" s="74">
        <v>202.63943</v>
      </c>
      <c r="F376" s="74" t="s">
        <v>96</v>
      </c>
      <c r="G376" s="74" t="s">
        <v>548</v>
      </c>
      <c r="H376" s="282">
        <f t="shared" si="5"/>
        <v>0</v>
      </c>
    </row>
    <row r="377" spans="1:8" ht="12.5" x14ac:dyDescent="0.25">
      <c r="C377" s="74" t="s">
        <v>554</v>
      </c>
      <c r="D377" s="74" t="s">
        <v>303</v>
      </c>
      <c r="E377" s="74">
        <v>145.46518</v>
      </c>
      <c r="F377" s="74" t="s">
        <v>96</v>
      </c>
      <c r="G377" s="74" t="s">
        <v>548</v>
      </c>
      <c r="H377" s="282">
        <f t="shared" si="5"/>
        <v>0</v>
      </c>
    </row>
    <row r="378" spans="1:8" ht="12.5" x14ac:dyDescent="0.25">
      <c r="C378" s="74" t="s">
        <v>555</v>
      </c>
      <c r="D378" s="74" t="s">
        <v>307</v>
      </c>
      <c r="E378" s="74">
        <v>126.16601</v>
      </c>
      <c r="F378" s="74" t="s">
        <v>96</v>
      </c>
      <c r="G378" s="74" t="s">
        <v>548</v>
      </c>
      <c r="H378" s="282">
        <f t="shared" si="5"/>
        <v>0</v>
      </c>
    </row>
    <row r="379" spans="1:8" ht="12.5" x14ac:dyDescent="0.25">
      <c r="C379" s="74" t="s">
        <v>556</v>
      </c>
      <c r="D379" s="74" t="s">
        <v>309</v>
      </c>
      <c r="E379" s="74">
        <v>87.78192</v>
      </c>
      <c r="F379" s="74" t="s">
        <v>96</v>
      </c>
      <c r="G379" s="74" t="s">
        <v>548</v>
      </c>
      <c r="H379" s="282">
        <f t="shared" si="5"/>
        <v>0</v>
      </c>
    </row>
    <row r="380" spans="1:8" ht="12.5" x14ac:dyDescent="0.25">
      <c r="C380" s="74" t="s">
        <v>557</v>
      </c>
      <c r="D380" s="74" t="s">
        <v>311</v>
      </c>
      <c r="E380" s="74">
        <v>55.671999999999997</v>
      </c>
      <c r="F380" s="74" t="s">
        <v>96</v>
      </c>
      <c r="G380" s="74" t="s">
        <v>548</v>
      </c>
      <c r="H380" s="282">
        <f t="shared" si="5"/>
        <v>0</v>
      </c>
    </row>
    <row r="381" spans="1:8" ht="12.5" x14ac:dyDescent="0.25">
      <c r="C381" s="74" t="s">
        <v>558</v>
      </c>
      <c r="D381" s="74" t="s">
        <v>313</v>
      </c>
      <c r="E381" s="74">
        <v>46.528759999999998</v>
      </c>
      <c r="F381" s="74" t="s">
        <v>96</v>
      </c>
      <c r="G381" s="74" t="s">
        <v>548</v>
      </c>
      <c r="H381" s="282">
        <f t="shared" si="5"/>
        <v>0</v>
      </c>
    </row>
    <row r="382" spans="1:8" ht="12.5" x14ac:dyDescent="0.25">
      <c r="C382" s="74" t="s">
        <v>559</v>
      </c>
      <c r="D382" s="74" t="s">
        <v>315</v>
      </c>
      <c r="E382" s="74">
        <v>13.09666</v>
      </c>
      <c r="F382" s="74" t="s">
        <v>96</v>
      </c>
      <c r="G382" s="74" t="s">
        <v>548</v>
      </c>
      <c r="H382" s="282">
        <f t="shared" si="5"/>
        <v>0</v>
      </c>
    </row>
    <row r="383" spans="1:8" ht="12.5" x14ac:dyDescent="0.25">
      <c r="C383" s="74" t="s">
        <v>491</v>
      </c>
      <c r="D383" s="74" t="s">
        <v>323</v>
      </c>
      <c r="E383" s="74">
        <v>7.0845000000000002</v>
      </c>
      <c r="F383" s="74" t="s">
        <v>96</v>
      </c>
      <c r="G383" s="74" t="s">
        <v>548</v>
      </c>
      <c r="H383" s="282">
        <f t="shared" si="5"/>
        <v>0</v>
      </c>
    </row>
    <row r="384" spans="1:8" ht="12.5" x14ac:dyDescent="0.25">
      <c r="C384" s="74" t="s">
        <v>328</v>
      </c>
      <c r="D384" s="74" t="s">
        <v>317</v>
      </c>
      <c r="E384" s="74">
        <v>6.1021900000000002</v>
      </c>
      <c r="F384" s="74" t="s">
        <v>96</v>
      </c>
      <c r="G384" s="74" t="s">
        <v>548</v>
      </c>
      <c r="H384" s="282">
        <f t="shared" si="5"/>
        <v>0</v>
      </c>
    </row>
    <row r="385" spans="3:8" ht="12.5" x14ac:dyDescent="0.25">
      <c r="C385" s="74" t="s">
        <v>330</v>
      </c>
      <c r="D385" s="74" t="s">
        <v>319</v>
      </c>
      <c r="E385" s="74">
        <v>4.2844199999999999</v>
      </c>
      <c r="F385" s="74" t="s">
        <v>96</v>
      </c>
      <c r="G385" s="74" t="s">
        <v>548</v>
      </c>
      <c r="H385" s="282">
        <f t="shared" si="5"/>
        <v>0</v>
      </c>
    </row>
    <row r="386" spans="3:8" ht="12.5" x14ac:dyDescent="0.25">
      <c r="C386" s="74" t="s">
        <v>332</v>
      </c>
      <c r="D386" s="74" t="s">
        <v>321</v>
      </c>
      <c r="E386" s="74">
        <v>3.3336800000000002</v>
      </c>
      <c r="F386" s="74" t="s">
        <v>96</v>
      </c>
      <c r="G386" s="74" t="s">
        <v>548</v>
      </c>
      <c r="H386" s="282">
        <f t="shared" si="5"/>
        <v>0</v>
      </c>
    </row>
    <row r="387" spans="3:8" ht="12.5" x14ac:dyDescent="0.25">
      <c r="C387" s="74" t="s">
        <v>354</v>
      </c>
      <c r="D387" s="74" t="s">
        <v>331</v>
      </c>
      <c r="E387" s="74">
        <v>1.51905</v>
      </c>
      <c r="F387" s="74" t="s">
        <v>96</v>
      </c>
      <c r="G387" s="74" t="s">
        <v>548</v>
      </c>
      <c r="H387" s="282">
        <f t="shared" ref="H387:H391" si="6">IF(D387=$I$4,E387/$K$3*$J$3,0)</f>
        <v>0</v>
      </c>
    </row>
    <row r="388" spans="3:8" ht="12.5" x14ac:dyDescent="0.25">
      <c r="C388" s="74" t="s">
        <v>387</v>
      </c>
      <c r="D388" s="74" t="s">
        <v>335</v>
      </c>
      <c r="E388" s="74">
        <v>0.50512000000000001</v>
      </c>
      <c r="F388" s="74" t="s">
        <v>96</v>
      </c>
      <c r="G388" s="74" t="s">
        <v>548</v>
      </c>
      <c r="H388" s="282">
        <f t="shared" si="6"/>
        <v>0</v>
      </c>
    </row>
    <row r="389" spans="3:8" ht="12.5" x14ac:dyDescent="0.25">
      <c r="C389" s="74" t="s">
        <v>387</v>
      </c>
      <c r="D389" s="74" t="s">
        <v>325</v>
      </c>
      <c r="E389" s="74">
        <v>0.43496000000000001</v>
      </c>
      <c r="F389" s="74" t="s">
        <v>96</v>
      </c>
      <c r="G389" s="74" t="s">
        <v>548</v>
      </c>
      <c r="H389" s="282">
        <f t="shared" si="6"/>
        <v>0</v>
      </c>
    </row>
    <row r="390" spans="3:8" ht="12.5" x14ac:dyDescent="0.25">
      <c r="C390" s="74" t="s">
        <v>356</v>
      </c>
      <c r="D390" s="74" t="s">
        <v>333</v>
      </c>
      <c r="E390" s="74">
        <v>2.2589999999999999E-2</v>
      </c>
      <c r="F390" s="74" t="s">
        <v>96</v>
      </c>
      <c r="G390" s="74" t="s">
        <v>548</v>
      </c>
      <c r="H390" s="282">
        <f t="shared" si="6"/>
        <v>0</v>
      </c>
    </row>
    <row r="391" spans="3:8" ht="12.5" x14ac:dyDescent="0.25">
      <c r="C391" s="74" t="s">
        <v>560</v>
      </c>
      <c r="D391" s="74" t="s">
        <v>329</v>
      </c>
      <c r="E391" s="74">
        <v>-860.58356000000003</v>
      </c>
      <c r="F391" s="74" t="s">
        <v>96</v>
      </c>
      <c r="G391" s="74" t="s">
        <v>548</v>
      </c>
      <c r="H391" s="282">
        <f t="shared" si="6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outlinePr summaryBelow="0" summaryRight="0"/>
  </sheetPr>
  <dimension ref="A1:M731"/>
  <sheetViews>
    <sheetView topLeftCell="D1" workbookViewId="0">
      <selection activeCell="I2" sqref="I2"/>
    </sheetView>
  </sheetViews>
  <sheetFormatPr baseColWidth="10" defaultColWidth="12.54296875" defaultRowHeight="15.75" customHeight="1" x14ac:dyDescent="0.25"/>
  <cols>
    <col min="4" max="4" width="42.81640625" customWidth="1"/>
    <col min="11" max="11" width="17.81640625" bestFit="1" customWidth="1"/>
  </cols>
  <sheetData>
    <row r="1" spans="1:13" ht="13.5" thickBot="1" x14ac:dyDescent="0.35">
      <c r="A1" s="74" t="s">
        <v>289</v>
      </c>
      <c r="D1" s="74" t="s">
        <v>290</v>
      </c>
      <c r="E1" s="74"/>
      <c r="F1" s="74" t="s">
        <v>3</v>
      </c>
      <c r="I1" s="257" t="s">
        <v>561</v>
      </c>
    </row>
    <row r="2" spans="1:13" ht="12.5" x14ac:dyDescent="0.25">
      <c r="A2" s="74" t="s">
        <v>292</v>
      </c>
      <c r="D2" s="74" t="s">
        <v>563</v>
      </c>
      <c r="E2" s="276">
        <v>17933.8</v>
      </c>
      <c r="F2" s="74" t="s">
        <v>294</v>
      </c>
      <c r="G2" s="74" t="s">
        <v>295</v>
      </c>
      <c r="I2" s="1">
        <f>SUM(I3,I24,I43)</f>
        <v>16427.220067286373</v>
      </c>
      <c r="K2" s="277" t="s">
        <v>1022</v>
      </c>
      <c r="L2" s="131" t="s">
        <v>562</v>
      </c>
      <c r="M2" s="132" t="s">
        <v>1021</v>
      </c>
    </row>
    <row r="3" spans="1:13" ht="12.5" x14ac:dyDescent="0.25">
      <c r="B3" s="74" t="s">
        <v>564</v>
      </c>
      <c r="D3" s="74" t="s">
        <v>565</v>
      </c>
      <c r="E3" s="74">
        <v>8630.6396999999997</v>
      </c>
      <c r="F3" s="74" t="s">
        <v>294</v>
      </c>
      <c r="G3" s="74" t="s">
        <v>295</v>
      </c>
      <c r="I3" s="1">
        <f t="shared" ref="I3:I44" si="0">IF(H3="Server",E3*$L$8/$M$8,IF(D3="market for electricity, low voltage | electricity, low voltage | APOS, U - FR",E3*$L$5/$M$5,E3))</f>
        <v>8630.6396999999997</v>
      </c>
      <c r="K3" s="278" t="s">
        <v>1024</v>
      </c>
      <c r="L3" s="279">
        <f>SUM('S3 - Energy use'!J4:J6)*6*5</f>
        <v>21364.326000000001</v>
      </c>
      <c r="M3" s="280">
        <f>1310*5*6</f>
        <v>39300</v>
      </c>
    </row>
    <row r="4" spans="1:13" ht="12.5" x14ac:dyDescent="0.25">
      <c r="C4" s="74" t="s">
        <v>566</v>
      </c>
      <c r="D4" s="74" t="s">
        <v>313</v>
      </c>
      <c r="E4" s="74">
        <v>4053.3665900000001</v>
      </c>
      <c r="F4" s="74" t="s">
        <v>294</v>
      </c>
      <c r="G4" s="74" t="s">
        <v>295</v>
      </c>
      <c r="H4" s="74" t="s">
        <v>567</v>
      </c>
      <c r="I4" s="1">
        <f t="shared" si="0"/>
        <v>4053.3665900000001</v>
      </c>
      <c r="K4" s="281" t="s">
        <v>1023</v>
      </c>
      <c r="L4" s="282">
        <f>SUM('S3 - Energy use'!H4:H6)*5*600</f>
        <v>29170.800000000007</v>
      </c>
      <c r="M4" s="280">
        <f>14.1*5*600</f>
        <v>42300</v>
      </c>
    </row>
    <row r="5" spans="1:13" ht="12.5" x14ac:dyDescent="0.25">
      <c r="C5" s="74" t="s">
        <v>568</v>
      </c>
      <c r="D5" s="74" t="s">
        <v>569</v>
      </c>
      <c r="E5" s="74">
        <v>1620.86436</v>
      </c>
      <c r="F5" s="74" t="s">
        <v>294</v>
      </c>
      <c r="G5" s="74" t="s">
        <v>295</v>
      </c>
      <c r="H5" s="74" t="s">
        <v>567</v>
      </c>
      <c r="I5" s="1">
        <f t="shared" si="0"/>
        <v>1620.86436</v>
      </c>
      <c r="K5" s="281" t="s">
        <v>888</v>
      </c>
      <c r="L5" s="279">
        <f>SUM(L3:L4)</f>
        <v>50535.126000000004</v>
      </c>
      <c r="M5" s="280">
        <f>SUM(M3:M4)</f>
        <v>81600</v>
      </c>
    </row>
    <row r="6" spans="1:13" ht="12.5" x14ac:dyDescent="0.25">
      <c r="C6" s="74" t="s">
        <v>570</v>
      </c>
      <c r="D6" s="74" t="s">
        <v>571</v>
      </c>
      <c r="E6" s="74">
        <v>1193.52171</v>
      </c>
      <c r="F6" s="74" t="s">
        <v>294</v>
      </c>
      <c r="G6" s="74" t="s">
        <v>295</v>
      </c>
      <c r="H6" s="74" t="s">
        <v>567</v>
      </c>
      <c r="I6" s="1">
        <f t="shared" si="0"/>
        <v>1193.52171</v>
      </c>
      <c r="K6" s="278"/>
      <c r="L6" s="282"/>
      <c r="M6" s="280"/>
    </row>
    <row r="7" spans="1:13" ht="12.5" x14ac:dyDescent="0.25">
      <c r="C7" s="74" t="s">
        <v>572</v>
      </c>
      <c r="D7" s="74" t="s">
        <v>573</v>
      </c>
      <c r="E7" s="74">
        <v>1061.6792</v>
      </c>
      <c r="F7" s="74" t="s">
        <v>294</v>
      </c>
      <c r="G7" s="74" t="s">
        <v>295</v>
      </c>
      <c r="H7" s="74" t="s">
        <v>567</v>
      </c>
      <c r="I7" s="1">
        <f t="shared" si="0"/>
        <v>1061.6792</v>
      </c>
      <c r="K7" s="278"/>
      <c r="L7" s="283" t="s">
        <v>1025</v>
      </c>
      <c r="M7" s="284" t="s">
        <v>1026</v>
      </c>
    </row>
    <row r="8" spans="1:13" ht="13" thickBot="1" x14ac:dyDescent="0.3">
      <c r="C8" s="74" t="s">
        <v>574</v>
      </c>
      <c r="D8" s="74" t="s">
        <v>575</v>
      </c>
      <c r="E8" s="74">
        <v>212.03041999999999</v>
      </c>
      <c r="F8" s="74" t="s">
        <v>294</v>
      </c>
      <c r="G8" s="74" t="s">
        <v>295</v>
      </c>
      <c r="H8" s="74" t="s">
        <v>567</v>
      </c>
      <c r="I8" s="1">
        <f t="shared" si="0"/>
        <v>212.03041999999999</v>
      </c>
      <c r="K8" s="285"/>
      <c r="L8" s="135">
        <v>6</v>
      </c>
      <c r="M8" s="286">
        <v>6</v>
      </c>
    </row>
    <row r="9" spans="1:13" ht="12.5" x14ac:dyDescent="0.25">
      <c r="C9" s="74" t="s">
        <v>576</v>
      </c>
      <c r="D9" s="74" t="s">
        <v>577</v>
      </c>
      <c r="E9" s="74">
        <v>123.78504</v>
      </c>
      <c r="F9" s="74" t="s">
        <v>294</v>
      </c>
      <c r="G9" s="74" t="s">
        <v>295</v>
      </c>
      <c r="H9" s="74" t="s">
        <v>567</v>
      </c>
      <c r="I9" s="1">
        <f t="shared" si="0"/>
        <v>123.78504</v>
      </c>
    </row>
    <row r="10" spans="1:13" ht="12.5" x14ac:dyDescent="0.25">
      <c r="C10" s="74" t="s">
        <v>545</v>
      </c>
      <c r="D10" s="74" t="s">
        <v>578</v>
      </c>
      <c r="E10" s="74">
        <v>116.94686</v>
      </c>
      <c r="F10" s="74" t="s">
        <v>294</v>
      </c>
      <c r="G10" s="74" t="s">
        <v>295</v>
      </c>
      <c r="H10" s="74" t="s">
        <v>567</v>
      </c>
      <c r="I10" s="1">
        <f t="shared" si="0"/>
        <v>116.94686</v>
      </c>
    </row>
    <row r="11" spans="1:13" ht="12.5" x14ac:dyDescent="0.25">
      <c r="C11" s="74" t="s">
        <v>579</v>
      </c>
      <c r="D11" s="74" t="s">
        <v>580</v>
      </c>
      <c r="E11" s="74">
        <v>103.22808999999999</v>
      </c>
      <c r="F11" s="74" t="s">
        <v>294</v>
      </c>
      <c r="G11" s="74" t="s">
        <v>295</v>
      </c>
      <c r="H11" s="74" t="s">
        <v>567</v>
      </c>
      <c r="I11" s="1">
        <f t="shared" si="0"/>
        <v>103.22808999999999</v>
      </c>
    </row>
    <row r="12" spans="1:13" ht="12.5" x14ac:dyDescent="0.25">
      <c r="C12" s="74" t="s">
        <v>439</v>
      </c>
      <c r="D12" s="74" t="s">
        <v>581</v>
      </c>
      <c r="E12" s="74">
        <v>28.0045</v>
      </c>
      <c r="F12" s="74" t="s">
        <v>294</v>
      </c>
      <c r="G12" s="74" t="s">
        <v>295</v>
      </c>
      <c r="H12" s="74" t="s">
        <v>567</v>
      </c>
      <c r="I12" s="1">
        <f t="shared" si="0"/>
        <v>28.0045</v>
      </c>
    </row>
    <row r="13" spans="1:13" ht="12.5" x14ac:dyDescent="0.25">
      <c r="C13" s="74" t="s">
        <v>415</v>
      </c>
      <c r="D13" s="74" t="s">
        <v>582</v>
      </c>
      <c r="E13" s="74">
        <v>24.877510000000001</v>
      </c>
      <c r="F13" s="74" t="s">
        <v>294</v>
      </c>
      <c r="G13" s="74" t="s">
        <v>295</v>
      </c>
      <c r="H13" s="74" t="s">
        <v>567</v>
      </c>
      <c r="I13" s="1">
        <f t="shared" si="0"/>
        <v>24.877510000000001</v>
      </c>
    </row>
    <row r="14" spans="1:13" ht="12.5" x14ac:dyDescent="0.25">
      <c r="C14" s="74" t="s">
        <v>328</v>
      </c>
      <c r="D14" s="74" t="s">
        <v>583</v>
      </c>
      <c r="E14" s="74">
        <v>23.380099999999999</v>
      </c>
      <c r="F14" s="74" t="s">
        <v>294</v>
      </c>
      <c r="G14" s="74" t="s">
        <v>295</v>
      </c>
      <c r="H14" s="74" t="s">
        <v>567</v>
      </c>
      <c r="I14" s="1">
        <f t="shared" si="0"/>
        <v>23.380099999999999</v>
      </c>
    </row>
    <row r="15" spans="1:13" ht="12.5" x14ac:dyDescent="0.25">
      <c r="C15" s="74" t="s">
        <v>330</v>
      </c>
      <c r="D15" s="74" t="s">
        <v>315</v>
      </c>
      <c r="E15" s="74">
        <v>15.625170000000001</v>
      </c>
      <c r="F15" s="74" t="s">
        <v>294</v>
      </c>
      <c r="G15" s="74" t="s">
        <v>295</v>
      </c>
      <c r="H15" s="74" t="s">
        <v>567</v>
      </c>
      <c r="I15" s="1">
        <f t="shared" si="0"/>
        <v>15.625170000000001</v>
      </c>
    </row>
    <row r="16" spans="1:13" ht="12.5" x14ac:dyDescent="0.25">
      <c r="C16" s="74" t="s">
        <v>400</v>
      </c>
      <c r="D16" s="74" t="s">
        <v>317</v>
      </c>
      <c r="E16" s="74">
        <v>13.65944</v>
      </c>
      <c r="F16" s="74" t="s">
        <v>294</v>
      </c>
      <c r="G16" s="74" t="s">
        <v>295</v>
      </c>
      <c r="H16" s="74" t="s">
        <v>567</v>
      </c>
      <c r="I16" s="1">
        <f t="shared" si="0"/>
        <v>13.65944</v>
      </c>
    </row>
    <row r="17" spans="2:9" ht="12.5" x14ac:dyDescent="0.25">
      <c r="C17" s="74" t="s">
        <v>401</v>
      </c>
      <c r="D17" s="74" t="s">
        <v>319</v>
      </c>
      <c r="E17" s="74">
        <v>10.5036</v>
      </c>
      <c r="F17" s="74" t="s">
        <v>294</v>
      </c>
      <c r="G17" s="74" t="s">
        <v>295</v>
      </c>
      <c r="H17" s="74" t="s">
        <v>567</v>
      </c>
      <c r="I17" s="1">
        <f t="shared" si="0"/>
        <v>10.5036</v>
      </c>
    </row>
    <row r="18" spans="2:9" ht="12.5" x14ac:dyDescent="0.25">
      <c r="C18" s="74" t="s">
        <v>427</v>
      </c>
      <c r="D18" s="74" t="s">
        <v>323</v>
      </c>
      <c r="E18" s="74">
        <v>8.3012599999999992</v>
      </c>
      <c r="F18" s="74" t="s">
        <v>294</v>
      </c>
      <c r="G18" s="74" t="s">
        <v>295</v>
      </c>
      <c r="H18" s="74" t="s">
        <v>567</v>
      </c>
      <c r="I18" s="1">
        <f t="shared" si="0"/>
        <v>8.3012599999999992</v>
      </c>
    </row>
    <row r="19" spans="2:9" ht="12.5" x14ac:dyDescent="0.25">
      <c r="C19" s="74" t="s">
        <v>334</v>
      </c>
      <c r="D19" s="74" t="s">
        <v>321</v>
      </c>
      <c r="E19" s="74">
        <v>6.9591599999999998</v>
      </c>
      <c r="F19" s="74" t="s">
        <v>294</v>
      </c>
      <c r="G19" s="74" t="s">
        <v>295</v>
      </c>
      <c r="H19" s="74" t="s">
        <v>567</v>
      </c>
      <c r="I19" s="1">
        <f t="shared" si="0"/>
        <v>6.9591599999999998</v>
      </c>
    </row>
    <row r="20" spans="2:9" ht="12.5" x14ac:dyDescent="0.25">
      <c r="C20" s="74" t="s">
        <v>334</v>
      </c>
      <c r="D20" s="74" t="s">
        <v>325</v>
      </c>
      <c r="E20" s="74">
        <v>6.3085800000000001</v>
      </c>
      <c r="F20" s="74" t="s">
        <v>294</v>
      </c>
      <c r="G20" s="74" t="s">
        <v>295</v>
      </c>
      <c r="H20" s="74" t="s">
        <v>567</v>
      </c>
      <c r="I20" s="1">
        <f t="shared" si="0"/>
        <v>6.3085800000000001</v>
      </c>
    </row>
    <row r="21" spans="2:9" ht="12.5" x14ac:dyDescent="0.25">
      <c r="C21" s="74" t="s">
        <v>355</v>
      </c>
      <c r="D21" s="74" t="s">
        <v>327</v>
      </c>
      <c r="E21" s="74">
        <v>4.0967000000000002</v>
      </c>
      <c r="F21" s="74" t="s">
        <v>294</v>
      </c>
      <c r="G21" s="74" t="s">
        <v>295</v>
      </c>
      <c r="H21" s="74" t="s">
        <v>567</v>
      </c>
      <c r="I21" s="1">
        <f t="shared" si="0"/>
        <v>4.0967000000000002</v>
      </c>
    </row>
    <row r="22" spans="2:9" ht="12.5" x14ac:dyDescent="0.25">
      <c r="C22" s="74" t="s">
        <v>387</v>
      </c>
      <c r="D22" s="74" t="s">
        <v>329</v>
      </c>
      <c r="E22" s="74">
        <v>1.76573</v>
      </c>
      <c r="F22" s="74" t="s">
        <v>294</v>
      </c>
      <c r="G22" s="74" t="s">
        <v>295</v>
      </c>
      <c r="H22" s="74" t="s">
        <v>567</v>
      </c>
      <c r="I22" s="1">
        <f t="shared" si="0"/>
        <v>1.76573</v>
      </c>
    </row>
    <row r="23" spans="2:9" ht="12.5" x14ac:dyDescent="0.25">
      <c r="C23" s="74" t="s">
        <v>387</v>
      </c>
      <c r="D23" s="74" t="s">
        <v>584</v>
      </c>
      <c r="E23" s="74">
        <v>1.7357199999999999</v>
      </c>
      <c r="F23" s="74" t="s">
        <v>294</v>
      </c>
      <c r="G23" s="74" t="s">
        <v>295</v>
      </c>
      <c r="H23" s="74" t="s">
        <v>567</v>
      </c>
      <c r="I23" s="1">
        <f t="shared" si="0"/>
        <v>1.7357199999999999</v>
      </c>
    </row>
    <row r="24" spans="2:9" ht="12.5" x14ac:dyDescent="0.25">
      <c r="B24" s="74" t="s">
        <v>585</v>
      </c>
      <c r="D24" s="74" t="s">
        <v>586</v>
      </c>
      <c r="E24" s="74">
        <v>4817.7229575000001</v>
      </c>
      <c r="F24" s="74" t="s">
        <v>294</v>
      </c>
      <c r="G24" s="74" t="s">
        <v>295</v>
      </c>
      <c r="H24" s="74" t="s">
        <v>587</v>
      </c>
      <c r="I24" s="1">
        <f t="shared" si="0"/>
        <v>4817.7229575000001</v>
      </c>
    </row>
    <row r="25" spans="2:9" ht="12.5" x14ac:dyDescent="0.25">
      <c r="C25" s="74" t="s">
        <v>588</v>
      </c>
      <c r="D25" s="74" t="s">
        <v>299</v>
      </c>
      <c r="E25" s="74">
        <v>1430.1189375000001</v>
      </c>
      <c r="F25" s="74" t="s">
        <v>294</v>
      </c>
      <c r="G25" s="74" t="s">
        <v>295</v>
      </c>
      <c r="H25" s="74" t="s">
        <v>587</v>
      </c>
      <c r="I25" s="1">
        <f t="shared" si="0"/>
        <v>1430.1189375000001</v>
      </c>
    </row>
    <row r="26" spans="2:9" ht="12.5" x14ac:dyDescent="0.25">
      <c r="C26" s="74" t="s">
        <v>589</v>
      </c>
      <c r="D26" s="74" t="s">
        <v>313</v>
      </c>
      <c r="E26" s="74">
        <v>1284.4668375000001</v>
      </c>
      <c r="F26" s="74" t="s">
        <v>294</v>
      </c>
      <c r="G26" s="74" t="s">
        <v>295</v>
      </c>
      <c r="H26" s="74" t="s">
        <v>587</v>
      </c>
      <c r="I26" s="1">
        <f t="shared" si="0"/>
        <v>1284.4668375000001</v>
      </c>
    </row>
    <row r="27" spans="2:9" ht="12.5" x14ac:dyDescent="0.25">
      <c r="C27" s="74" t="s">
        <v>590</v>
      </c>
      <c r="D27" s="74" t="s">
        <v>301</v>
      </c>
      <c r="E27" s="74">
        <v>497.12679750000001</v>
      </c>
      <c r="F27" s="74" t="s">
        <v>294</v>
      </c>
      <c r="G27" s="74" t="s">
        <v>295</v>
      </c>
      <c r="H27" s="74" t="s">
        <v>587</v>
      </c>
      <c r="I27" s="1">
        <f t="shared" si="0"/>
        <v>497.12679750000001</v>
      </c>
    </row>
    <row r="28" spans="2:9" ht="12.5" x14ac:dyDescent="0.25">
      <c r="C28" s="74" t="s">
        <v>591</v>
      </c>
      <c r="D28" s="74" t="s">
        <v>592</v>
      </c>
      <c r="E28" s="74">
        <v>354.51203249999998</v>
      </c>
      <c r="F28" s="74" t="s">
        <v>294</v>
      </c>
      <c r="G28" s="74" t="s">
        <v>295</v>
      </c>
      <c r="H28" s="74" t="s">
        <v>587</v>
      </c>
      <c r="I28" s="1">
        <f t="shared" si="0"/>
        <v>354.51203249999998</v>
      </c>
    </row>
    <row r="29" spans="2:9" ht="12.5" x14ac:dyDescent="0.25">
      <c r="C29" s="74" t="s">
        <v>593</v>
      </c>
      <c r="D29" s="74" t="s">
        <v>303</v>
      </c>
      <c r="E29" s="74">
        <v>342.80656499999998</v>
      </c>
      <c r="F29" s="74" t="s">
        <v>294</v>
      </c>
      <c r="G29" s="74" t="s">
        <v>295</v>
      </c>
      <c r="H29" s="74" t="s">
        <v>587</v>
      </c>
      <c r="I29" s="1">
        <f t="shared" si="0"/>
        <v>342.80656500000003</v>
      </c>
    </row>
    <row r="30" spans="2:9" ht="12.5" x14ac:dyDescent="0.25">
      <c r="C30" s="74" t="s">
        <v>594</v>
      </c>
      <c r="D30" s="74" t="s">
        <v>311</v>
      </c>
      <c r="E30" s="74">
        <v>308.90693249999998</v>
      </c>
      <c r="F30" s="74" t="s">
        <v>294</v>
      </c>
      <c r="G30" s="74" t="s">
        <v>295</v>
      </c>
      <c r="H30" s="74" t="s">
        <v>587</v>
      </c>
      <c r="I30" s="1">
        <f t="shared" si="0"/>
        <v>308.90693249999998</v>
      </c>
    </row>
    <row r="31" spans="2:9" ht="12.5" x14ac:dyDescent="0.25">
      <c r="C31" s="74" t="s">
        <v>595</v>
      </c>
      <c r="D31" s="74" t="s">
        <v>309</v>
      </c>
      <c r="E31" s="74">
        <v>290.6948625</v>
      </c>
      <c r="F31" s="74" t="s">
        <v>294</v>
      </c>
      <c r="G31" s="74" t="s">
        <v>295</v>
      </c>
      <c r="H31" s="74" t="s">
        <v>587</v>
      </c>
      <c r="I31" s="1">
        <f t="shared" si="0"/>
        <v>290.6948625</v>
      </c>
    </row>
    <row r="32" spans="2:9" ht="12.5" x14ac:dyDescent="0.25">
      <c r="C32" s="74" t="s">
        <v>596</v>
      </c>
      <c r="D32" s="74" t="s">
        <v>315</v>
      </c>
      <c r="E32" s="74">
        <v>89.974927500000007</v>
      </c>
      <c r="F32" s="74" t="s">
        <v>294</v>
      </c>
      <c r="G32" s="74" t="s">
        <v>295</v>
      </c>
      <c r="H32" s="74" t="s">
        <v>587</v>
      </c>
      <c r="I32" s="1">
        <f t="shared" si="0"/>
        <v>89.974927499999993</v>
      </c>
    </row>
    <row r="33" spans="1:9" ht="12.5" x14ac:dyDescent="0.25">
      <c r="C33" s="74" t="s">
        <v>534</v>
      </c>
      <c r="D33" s="74" t="s">
        <v>319</v>
      </c>
      <c r="E33" s="74">
        <v>63.427507499999997</v>
      </c>
      <c r="F33" s="74" t="s">
        <v>294</v>
      </c>
      <c r="G33" s="74" t="s">
        <v>295</v>
      </c>
      <c r="H33" s="74" t="s">
        <v>587</v>
      </c>
      <c r="I33" s="1">
        <f t="shared" si="0"/>
        <v>63.427507499999997</v>
      </c>
    </row>
    <row r="34" spans="1:9" ht="12.5" x14ac:dyDescent="0.25">
      <c r="C34" s="74" t="s">
        <v>372</v>
      </c>
      <c r="D34" s="74" t="s">
        <v>317</v>
      </c>
      <c r="E34" s="74">
        <v>60.262214999999998</v>
      </c>
      <c r="F34" s="74" t="s">
        <v>294</v>
      </c>
      <c r="G34" s="74" t="s">
        <v>295</v>
      </c>
      <c r="H34" s="74" t="s">
        <v>587</v>
      </c>
      <c r="I34" s="1">
        <f t="shared" si="0"/>
        <v>60.262214999999998</v>
      </c>
    </row>
    <row r="35" spans="1:9" ht="12.5" x14ac:dyDescent="0.25">
      <c r="C35" s="74" t="s">
        <v>597</v>
      </c>
      <c r="D35" s="74" t="s">
        <v>321</v>
      </c>
      <c r="E35" s="74">
        <v>30.702157500000002</v>
      </c>
      <c r="F35" s="74" t="s">
        <v>294</v>
      </c>
      <c r="G35" s="74" t="s">
        <v>295</v>
      </c>
      <c r="H35" s="74" t="s">
        <v>587</v>
      </c>
      <c r="I35" s="1">
        <f t="shared" si="0"/>
        <v>30.702157500000002</v>
      </c>
    </row>
    <row r="36" spans="1:9" ht="12.5" x14ac:dyDescent="0.25">
      <c r="C36" s="74" t="s">
        <v>439</v>
      </c>
      <c r="D36" s="74" t="s">
        <v>333</v>
      </c>
      <c r="E36" s="74">
        <v>21.649455</v>
      </c>
      <c r="F36" s="74" t="s">
        <v>294</v>
      </c>
      <c r="G36" s="74" t="s">
        <v>295</v>
      </c>
      <c r="H36" s="74" t="s">
        <v>587</v>
      </c>
      <c r="I36" s="1">
        <f t="shared" si="0"/>
        <v>21.649455</v>
      </c>
    </row>
    <row r="37" spans="1:9" ht="12.5" x14ac:dyDescent="0.25">
      <c r="C37" s="74" t="s">
        <v>439</v>
      </c>
      <c r="D37" s="74" t="s">
        <v>327</v>
      </c>
      <c r="E37" s="74">
        <v>21.3369675</v>
      </c>
      <c r="F37" s="74" t="s">
        <v>294</v>
      </c>
      <c r="G37" s="74" t="s">
        <v>295</v>
      </c>
      <c r="H37" s="74" t="s">
        <v>587</v>
      </c>
      <c r="I37" s="1">
        <f t="shared" si="0"/>
        <v>21.3369675</v>
      </c>
    </row>
    <row r="38" spans="1:9" ht="12.5" x14ac:dyDescent="0.25">
      <c r="C38" s="74" t="s">
        <v>332</v>
      </c>
      <c r="D38" s="74" t="s">
        <v>598</v>
      </c>
      <c r="E38" s="74">
        <v>9.1964925000000015</v>
      </c>
      <c r="F38" s="74" t="s">
        <v>294</v>
      </c>
      <c r="G38" s="74" t="s">
        <v>295</v>
      </c>
      <c r="H38" s="74" t="s">
        <v>587</v>
      </c>
      <c r="I38" s="1">
        <f t="shared" si="0"/>
        <v>9.1964925000000015</v>
      </c>
    </row>
    <row r="39" spans="1:9" ht="12.5" x14ac:dyDescent="0.25">
      <c r="C39" s="74" t="s">
        <v>332</v>
      </c>
      <c r="D39" s="74" t="s">
        <v>323</v>
      </c>
      <c r="E39" s="74">
        <v>9.1313849999999999</v>
      </c>
      <c r="F39" s="74" t="s">
        <v>294</v>
      </c>
      <c r="G39" s="74" t="s">
        <v>295</v>
      </c>
      <c r="H39" s="74" t="s">
        <v>587</v>
      </c>
      <c r="I39" s="1">
        <f t="shared" si="0"/>
        <v>9.1313849999999999</v>
      </c>
    </row>
    <row r="40" spans="1:9" ht="12.5" x14ac:dyDescent="0.25">
      <c r="C40" s="74" t="s">
        <v>355</v>
      </c>
      <c r="D40" s="74" t="s">
        <v>331</v>
      </c>
      <c r="E40" s="74">
        <v>2.0972925</v>
      </c>
      <c r="F40" s="74" t="s">
        <v>294</v>
      </c>
      <c r="G40" s="74" t="s">
        <v>295</v>
      </c>
      <c r="H40" s="74" t="s">
        <v>587</v>
      </c>
      <c r="I40" s="1">
        <f t="shared" si="0"/>
        <v>2.0972925</v>
      </c>
    </row>
    <row r="41" spans="1:9" ht="12.5" x14ac:dyDescent="0.25">
      <c r="C41" s="74" t="s">
        <v>387</v>
      </c>
      <c r="D41" s="74" t="s">
        <v>335</v>
      </c>
      <c r="E41" s="74">
        <v>0.80689500000000003</v>
      </c>
      <c r="F41" s="74" t="s">
        <v>294</v>
      </c>
      <c r="G41" s="74" t="s">
        <v>295</v>
      </c>
      <c r="H41" s="74" t="s">
        <v>587</v>
      </c>
      <c r="I41" s="1">
        <f t="shared" si="0"/>
        <v>0.80689500000000003</v>
      </c>
    </row>
    <row r="42" spans="1:9" ht="12.5" x14ac:dyDescent="0.25">
      <c r="C42" s="74" t="s">
        <v>356</v>
      </c>
      <c r="D42" s="74" t="s">
        <v>325</v>
      </c>
      <c r="E42" s="74">
        <v>0.50468999999999997</v>
      </c>
      <c r="F42" s="74" t="s">
        <v>294</v>
      </c>
      <c r="G42" s="74" t="s">
        <v>295</v>
      </c>
      <c r="H42" s="74" t="s">
        <v>587</v>
      </c>
      <c r="I42" s="1">
        <f t="shared" si="0"/>
        <v>0.50468999999999997</v>
      </c>
    </row>
    <row r="43" spans="1:9" ht="12.5" x14ac:dyDescent="0.25">
      <c r="B43" s="74" t="s">
        <v>599</v>
      </c>
      <c r="D43" s="74" t="s">
        <v>337</v>
      </c>
      <c r="E43" s="74">
        <v>4810.0160003275332</v>
      </c>
      <c r="F43" s="74" t="s">
        <v>294</v>
      </c>
      <c r="G43" s="74" t="s">
        <v>295</v>
      </c>
      <c r="I43" s="1">
        <f t="shared" si="0"/>
        <v>2978.857409786372</v>
      </c>
    </row>
    <row r="44" spans="1:9" ht="12.5" x14ac:dyDescent="0.25">
      <c r="A44" s="74" t="s">
        <v>289</v>
      </c>
      <c r="D44" s="74" t="s">
        <v>290</v>
      </c>
      <c r="E44" s="74" t="s">
        <v>291</v>
      </c>
      <c r="F44" s="74" t="s">
        <v>3</v>
      </c>
      <c r="I44" s="1" t="str">
        <f t="shared" si="0"/>
        <v>Amount</v>
      </c>
    </row>
    <row r="45" spans="1:9" ht="12.5" x14ac:dyDescent="0.25">
      <c r="A45" s="74" t="s">
        <v>292</v>
      </c>
      <c r="D45" s="74" t="s">
        <v>563</v>
      </c>
      <c r="E45" s="74">
        <v>47.101010000000002</v>
      </c>
      <c r="F45" s="74" t="s">
        <v>338</v>
      </c>
      <c r="G45" s="74" t="s">
        <v>339</v>
      </c>
      <c r="I45" s="271">
        <f>SUM(I46,I67,I86)</f>
        <v>43.231190972748422</v>
      </c>
    </row>
    <row r="46" spans="1:9" ht="12.5" x14ac:dyDescent="0.25">
      <c r="B46" s="74" t="s">
        <v>600</v>
      </c>
      <c r="D46" s="74" t="s">
        <v>565</v>
      </c>
      <c r="E46" s="74">
        <v>24.638770000000001</v>
      </c>
      <c r="F46" s="74" t="s">
        <v>338</v>
      </c>
      <c r="G46" s="74" t="s">
        <v>339</v>
      </c>
      <c r="I46" s="1">
        <f t="shared" ref="I46:I109" si="1">IF(H46="Server",E46*$L$8/$M$8,IF(D46="market for electricity, low voltage | electricity, low voltage | APOS, U - FR",E46*$L$5/$M$5,E46))</f>
        <v>24.638770000000001</v>
      </c>
    </row>
    <row r="47" spans="1:9" ht="12.5" x14ac:dyDescent="0.25">
      <c r="C47" s="74" t="s">
        <v>601</v>
      </c>
      <c r="D47" s="74" t="s">
        <v>313</v>
      </c>
      <c r="E47" s="74">
        <v>9.0422799999999999</v>
      </c>
      <c r="F47" s="74" t="s">
        <v>338</v>
      </c>
      <c r="G47" s="74" t="s">
        <v>339</v>
      </c>
      <c r="H47" s="74" t="s">
        <v>567</v>
      </c>
      <c r="I47" s="1">
        <f t="shared" si="1"/>
        <v>9.0422799999999999</v>
      </c>
    </row>
    <row r="48" spans="1:9" ht="12.5" x14ac:dyDescent="0.25">
      <c r="C48" s="74" t="s">
        <v>602</v>
      </c>
      <c r="D48" s="74" t="s">
        <v>569</v>
      </c>
      <c r="E48" s="74">
        <v>6.8452400000000004</v>
      </c>
      <c r="F48" s="74" t="s">
        <v>338</v>
      </c>
      <c r="G48" s="74" t="s">
        <v>339</v>
      </c>
      <c r="H48" s="74" t="s">
        <v>567</v>
      </c>
      <c r="I48" s="1">
        <f t="shared" si="1"/>
        <v>6.8452400000000004</v>
      </c>
    </row>
    <row r="49" spans="3:9" ht="12.5" x14ac:dyDescent="0.25">
      <c r="C49" s="74" t="s">
        <v>603</v>
      </c>
      <c r="D49" s="74" t="s">
        <v>571</v>
      </c>
      <c r="E49" s="74">
        <v>3.1577099999999998</v>
      </c>
      <c r="F49" s="74" t="s">
        <v>338</v>
      </c>
      <c r="G49" s="74" t="s">
        <v>339</v>
      </c>
      <c r="H49" s="74" t="s">
        <v>567</v>
      </c>
      <c r="I49" s="1">
        <f t="shared" si="1"/>
        <v>3.1577099999999998</v>
      </c>
    </row>
    <row r="50" spans="3:9" ht="12.5" x14ac:dyDescent="0.25">
      <c r="C50" s="74" t="s">
        <v>604</v>
      </c>
      <c r="D50" s="74" t="s">
        <v>573</v>
      </c>
      <c r="E50" s="74">
        <v>2.4782899999999999</v>
      </c>
      <c r="F50" s="74" t="s">
        <v>338</v>
      </c>
      <c r="G50" s="74" t="s">
        <v>339</v>
      </c>
      <c r="H50" s="74" t="s">
        <v>567</v>
      </c>
      <c r="I50" s="1">
        <f t="shared" si="1"/>
        <v>2.4782899999999999</v>
      </c>
    </row>
    <row r="51" spans="3:9" ht="12.5" x14ac:dyDescent="0.25">
      <c r="C51" s="74" t="s">
        <v>605</v>
      </c>
      <c r="D51" s="74" t="s">
        <v>580</v>
      </c>
      <c r="E51" s="74">
        <v>1.17614</v>
      </c>
      <c r="F51" s="74" t="s">
        <v>338</v>
      </c>
      <c r="G51" s="74" t="s">
        <v>339</v>
      </c>
      <c r="H51" s="74" t="s">
        <v>567</v>
      </c>
      <c r="I51" s="1">
        <f t="shared" si="1"/>
        <v>1.17614</v>
      </c>
    </row>
    <row r="52" spans="3:9" ht="12.5" x14ac:dyDescent="0.25">
      <c r="C52" s="74" t="s">
        <v>606</v>
      </c>
      <c r="D52" s="74" t="s">
        <v>575</v>
      </c>
      <c r="E52" s="74">
        <v>0.77478000000000002</v>
      </c>
      <c r="F52" s="74" t="s">
        <v>338</v>
      </c>
      <c r="G52" s="74" t="s">
        <v>339</v>
      </c>
      <c r="H52" s="74" t="s">
        <v>567</v>
      </c>
      <c r="I52" s="1">
        <f t="shared" si="1"/>
        <v>0.77478000000000002</v>
      </c>
    </row>
    <row r="53" spans="3:9" ht="12.5" x14ac:dyDescent="0.25">
      <c r="C53" s="74" t="s">
        <v>607</v>
      </c>
      <c r="D53" s="74" t="s">
        <v>578</v>
      </c>
      <c r="E53" s="74">
        <v>0.38651999999999997</v>
      </c>
      <c r="F53" s="74" t="s">
        <v>338</v>
      </c>
      <c r="G53" s="74" t="s">
        <v>339</v>
      </c>
      <c r="H53" s="74" t="s">
        <v>567</v>
      </c>
      <c r="I53" s="1">
        <f t="shared" si="1"/>
        <v>0.38651999999999997</v>
      </c>
    </row>
    <row r="54" spans="3:9" ht="12.5" x14ac:dyDescent="0.25">
      <c r="C54" s="74" t="s">
        <v>608</v>
      </c>
      <c r="D54" s="74" t="s">
        <v>577</v>
      </c>
      <c r="E54" s="74">
        <v>0.29533999999999999</v>
      </c>
      <c r="F54" s="74" t="s">
        <v>338</v>
      </c>
      <c r="G54" s="74" t="s">
        <v>339</v>
      </c>
      <c r="H54" s="74" t="s">
        <v>567</v>
      </c>
      <c r="I54" s="1">
        <f t="shared" si="1"/>
        <v>0.29533999999999999</v>
      </c>
    </row>
    <row r="55" spans="3:9" ht="12.5" x14ac:dyDescent="0.25">
      <c r="C55" s="74" t="s">
        <v>372</v>
      </c>
      <c r="D55" s="74" t="s">
        <v>581</v>
      </c>
      <c r="E55" s="74">
        <v>0.21232999999999999</v>
      </c>
      <c r="F55" s="74" t="s">
        <v>338</v>
      </c>
      <c r="G55" s="74" t="s">
        <v>339</v>
      </c>
      <c r="H55" s="74" t="s">
        <v>567</v>
      </c>
      <c r="I55" s="1">
        <f t="shared" si="1"/>
        <v>0.21232999999999999</v>
      </c>
    </row>
    <row r="56" spans="3:9" ht="12.5" x14ac:dyDescent="0.25">
      <c r="C56" s="74" t="s">
        <v>521</v>
      </c>
      <c r="D56" s="74" t="s">
        <v>582</v>
      </c>
      <c r="E56" s="74">
        <v>9.0149999999999994E-2</v>
      </c>
      <c r="F56" s="74" t="s">
        <v>338</v>
      </c>
      <c r="G56" s="74" t="s">
        <v>339</v>
      </c>
      <c r="H56" s="74" t="s">
        <v>567</v>
      </c>
      <c r="I56" s="1">
        <f t="shared" si="1"/>
        <v>9.0149999999999994E-2</v>
      </c>
    </row>
    <row r="57" spans="3:9" ht="12.5" x14ac:dyDescent="0.25">
      <c r="C57" s="74" t="s">
        <v>415</v>
      </c>
      <c r="D57" s="74" t="s">
        <v>583</v>
      </c>
      <c r="E57" s="74">
        <v>6.7030000000000006E-2</v>
      </c>
      <c r="F57" s="74" t="s">
        <v>338</v>
      </c>
      <c r="G57" s="74" t="s">
        <v>339</v>
      </c>
      <c r="H57" s="74" t="s">
        <v>567</v>
      </c>
      <c r="I57" s="1">
        <f t="shared" si="1"/>
        <v>6.7030000000000006E-2</v>
      </c>
    </row>
    <row r="58" spans="3:9" ht="12.5" x14ac:dyDescent="0.25">
      <c r="C58" s="74" t="s">
        <v>400</v>
      </c>
      <c r="D58" s="74" t="s">
        <v>321</v>
      </c>
      <c r="E58" s="74">
        <v>3.8030000000000001E-2</v>
      </c>
      <c r="F58" s="74" t="s">
        <v>338</v>
      </c>
      <c r="G58" s="74" t="s">
        <v>339</v>
      </c>
      <c r="H58" s="74" t="s">
        <v>567</v>
      </c>
      <c r="I58" s="1">
        <f t="shared" si="1"/>
        <v>3.8030000000000001E-2</v>
      </c>
    </row>
    <row r="59" spans="3:9" ht="12.5" x14ac:dyDescent="0.25">
      <c r="C59" s="74" t="s">
        <v>354</v>
      </c>
      <c r="D59" s="74" t="s">
        <v>319</v>
      </c>
      <c r="E59" s="74">
        <v>1.6029999999999999E-2</v>
      </c>
      <c r="F59" s="74" t="s">
        <v>338</v>
      </c>
      <c r="G59" s="74" t="s">
        <v>339</v>
      </c>
      <c r="H59" s="74" t="s">
        <v>567</v>
      </c>
      <c r="I59" s="1">
        <f t="shared" si="1"/>
        <v>1.6029999999999999E-2</v>
      </c>
    </row>
    <row r="60" spans="3:9" ht="12.5" x14ac:dyDescent="0.25">
      <c r="C60" s="74" t="s">
        <v>354</v>
      </c>
      <c r="D60" s="74" t="s">
        <v>317</v>
      </c>
      <c r="E60" s="74">
        <v>1.52E-2</v>
      </c>
      <c r="F60" s="74" t="s">
        <v>338</v>
      </c>
      <c r="G60" s="74" t="s">
        <v>339</v>
      </c>
      <c r="H60" s="74" t="s">
        <v>567</v>
      </c>
      <c r="I60" s="1">
        <f t="shared" si="1"/>
        <v>1.52E-2</v>
      </c>
    </row>
    <row r="61" spans="3:9" ht="12.5" x14ac:dyDescent="0.25">
      <c r="C61" s="74" t="s">
        <v>354</v>
      </c>
      <c r="D61" s="74" t="s">
        <v>323</v>
      </c>
      <c r="E61" s="74">
        <v>1.401E-2</v>
      </c>
      <c r="F61" s="74" t="s">
        <v>338</v>
      </c>
      <c r="G61" s="74" t="s">
        <v>339</v>
      </c>
      <c r="H61" s="74" t="s">
        <v>567</v>
      </c>
      <c r="I61" s="1">
        <f t="shared" si="1"/>
        <v>1.401E-2</v>
      </c>
    </row>
    <row r="62" spans="3:9" ht="12.5" x14ac:dyDescent="0.25">
      <c r="C62" s="74" t="s">
        <v>355</v>
      </c>
      <c r="D62" s="74" t="s">
        <v>315</v>
      </c>
      <c r="E62" s="74">
        <v>1.0699999999999999E-2</v>
      </c>
      <c r="F62" s="74" t="s">
        <v>338</v>
      </c>
      <c r="G62" s="74" t="s">
        <v>339</v>
      </c>
      <c r="H62" s="74" t="s">
        <v>567</v>
      </c>
      <c r="I62" s="1">
        <f t="shared" si="1"/>
        <v>1.0699999999999999E-2</v>
      </c>
    </row>
    <row r="63" spans="3:9" ht="12.5" x14ac:dyDescent="0.25">
      <c r="C63" s="74" t="s">
        <v>355</v>
      </c>
      <c r="D63" s="74" t="s">
        <v>327</v>
      </c>
      <c r="E63" s="74">
        <v>9.2599999999999991E-3</v>
      </c>
      <c r="F63" s="74" t="s">
        <v>338</v>
      </c>
      <c r="G63" s="74" t="s">
        <v>339</v>
      </c>
      <c r="H63" s="74" t="s">
        <v>567</v>
      </c>
      <c r="I63" s="1">
        <f t="shared" si="1"/>
        <v>9.2599999999999991E-3</v>
      </c>
    </row>
    <row r="64" spans="3:9" ht="12.5" x14ac:dyDescent="0.25">
      <c r="C64" s="74" t="s">
        <v>387</v>
      </c>
      <c r="D64" s="74" t="s">
        <v>584</v>
      </c>
      <c r="E64" s="74">
        <v>5.5100000000000001E-3</v>
      </c>
      <c r="F64" s="74" t="s">
        <v>338</v>
      </c>
      <c r="G64" s="74" t="s">
        <v>339</v>
      </c>
      <c r="H64" s="74" t="s">
        <v>567</v>
      </c>
      <c r="I64" s="1">
        <f t="shared" si="1"/>
        <v>5.5100000000000001E-3</v>
      </c>
    </row>
    <row r="65" spans="2:9" ht="12.5" x14ac:dyDescent="0.25">
      <c r="C65" s="74" t="s">
        <v>387</v>
      </c>
      <c r="D65" s="74" t="s">
        <v>329</v>
      </c>
      <c r="E65" s="74">
        <v>3.14E-3</v>
      </c>
      <c r="F65" s="74" t="s">
        <v>338</v>
      </c>
      <c r="G65" s="74" t="s">
        <v>339</v>
      </c>
      <c r="H65" s="74" t="s">
        <v>567</v>
      </c>
      <c r="I65" s="1">
        <f t="shared" si="1"/>
        <v>3.14E-3</v>
      </c>
    </row>
    <row r="66" spans="2:9" ht="12.5" x14ac:dyDescent="0.25">
      <c r="C66" s="74" t="s">
        <v>356</v>
      </c>
      <c r="D66" s="74" t="s">
        <v>325</v>
      </c>
      <c r="E66" s="74">
        <v>1.08E-3</v>
      </c>
      <c r="F66" s="74" t="s">
        <v>338</v>
      </c>
      <c r="G66" s="74" t="s">
        <v>339</v>
      </c>
      <c r="H66" s="74" t="s">
        <v>567</v>
      </c>
      <c r="I66" s="1">
        <f t="shared" si="1"/>
        <v>1.08E-3</v>
      </c>
    </row>
    <row r="67" spans="2:9" ht="12.5" x14ac:dyDescent="0.25">
      <c r="B67" s="74" t="s">
        <v>609</v>
      </c>
      <c r="D67" s="74" t="s">
        <v>586</v>
      </c>
      <c r="E67" s="74">
        <v>12.244485000000001</v>
      </c>
      <c r="F67" s="74" t="s">
        <v>338</v>
      </c>
      <c r="G67" s="74" t="s">
        <v>339</v>
      </c>
      <c r="H67" s="74" t="s">
        <v>587</v>
      </c>
      <c r="I67" s="1">
        <f t="shared" si="1"/>
        <v>12.244485000000003</v>
      </c>
    </row>
    <row r="68" spans="2:9" ht="12.5" x14ac:dyDescent="0.25">
      <c r="C68" s="74" t="s">
        <v>610</v>
      </c>
      <c r="D68" s="74" t="s">
        <v>299</v>
      </c>
      <c r="E68" s="74">
        <v>4.2484500000000001</v>
      </c>
      <c r="F68" s="74" t="s">
        <v>338</v>
      </c>
      <c r="G68" s="74" t="s">
        <v>339</v>
      </c>
      <c r="H68" s="74" t="s">
        <v>587</v>
      </c>
      <c r="I68" s="1">
        <f t="shared" si="1"/>
        <v>4.2484500000000001</v>
      </c>
    </row>
    <row r="69" spans="2:9" ht="12.5" x14ac:dyDescent="0.25">
      <c r="C69" s="74" t="s">
        <v>611</v>
      </c>
      <c r="D69" s="74" t="s">
        <v>313</v>
      </c>
      <c r="E69" s="74">
        <v>2.8653975000000003</v>
      </c>
      <c r="F69" s="74" t="s">
        <v>338</v>
      </c>
      <c r="G69" s="74" t="s">
        <v>339</v>
      </c>
      <c r="H69" s="74" t="s">
        <v>587</v>
      </c>
      <c r="I69" s="1">
        <f t="shared" si="1"/>
        <v>2.8653975000000003</v>
      </c>
    </row>
    <row r="70" spans="2:9" ht="12.5" x14ac:dyDescent="0.25">
      <c r="C70" s="74" t="s">
        <v>346</v>
      </c>
      <c r="D70" s="74" t="s">
        <v>301</v>
      </c>
      <c r="E70" s="74">
        <v>1.3773149999999998</v>
      </c>
      <c r="F70" s="74" t="s">
        <v>338</v>
      </c>
      <c r="G70" s="74" t="s">
        <v>339</v>
      </c>
      <c r="H70" s="74" t="s">
        <v>587</v>
      </c>
      <c r="I70" s="1">
        <f t="shared" si="1"/>
        <v>1.3773150000000001</v>
      </c>
    </row>
    <row r="71" spans="2:9" ht="12.5" x14ac:dyDescent="0.25">
      <c r="C71" s="74" t="s">
        <v>612</v>
      </c>
      <c r="D71" s="74" t="s">
        <v>303</v>
      </c>
      <c r="E71" s="74">
        <v>0.99192750000000007</v>
      </c>
      <c r="F71" s="74" t="s">
        <v>338</v>
      </c>
      <c r="G71" s="74" t="s">
        <v>339</v>
      </c>
      <c r="H71" s="74" t="s">
        <v>587</v>
      </c>
      <c r="I71" s="1">
        <f t="shared" si="1"/>
        <v>0.99192750000000007</v>
      </c>
    </row>
    <row r="72" spans="2:9" ht="12.5" x14ac:dyDescent="0.25">
      <c r="C72" s="74" t="s">
        <v>613</v>
      </c>
      <c r="D72" s="74" t="s">
        <v>592</v>
      </c>
      <c r="E72" s="74">
        <v>0.85319999999999996</v>
      </c>
      <c r="F72" s="74" t="s">
        <v>338</v>
      </c>
      <c r="G72" s="74" t="s">
        <v>339</v>
      </c>
      <c r="H72" s="74" t="s">
        <v>587</v>
      </c>
      <c r="I72" s="1">
        <f t="shared" si="1"/>
        <v>0.85319999999999985</v>
      </c>
    </row>
    <row r="73" spans="2:9" ht="12.5" x14ac:dyDescent="0.25">
      <c r="C73" s="74" t="s">
        <v>614</v>
      </c>
      <c r="D73" s="74" t="s">
        <v>311</v>
      </c>
      <c r="E73" s="74">
        <v>0.74865000000000004</v>
      </c>
      <c r="F73" s="74" t="s">
        <v>338</v>
      </c>
      <c r="G73" s="74" t="s">
        <v>339</v>
      </c>
      <c r="H73" s="74" t="s">
        <v>587</v>
      </c>
      <c r="I73" s="1">
        <f t="shared" si="1"/>
        <v>0.74865000000000004</v>
      </c>
    </row>
    <row r="74" spans="2:9" ht="12.5" x14ac:dyDescent="0.25">
      <c r="C74" s="74" t="s">
        <v>615</v>
      </c>
      <c r="D74" s="74" t="s">
        <v>309</v>
      </c>
      <c r="E74" s="74">
        <v>0.68186999999999998</v>
      </c>
      <c r="F74" s="74" t="s">
        <v>338</v>
      </c>
      <c r="G74" s="74" t="s">
        <v>339</v>
      </c>
      <c r="H74" s="74" t="s">
        <v>587</v>
      </c>
      <c r="I74" s="1">
        <f t="shared" si="1"/>
        <v>0.68186999999999998</v>
      </c>
    </row>
    <row r="75" spans="2:9" ht="12.5" x14ac:dyDescent="0.25">
      <c r="C75" s="74" t="s">
        <v>534</v>
      </c>
      <c r="D75" s="74" t="s">
        <v>321</v>
      </c>
      <c r="E75" s="74">
        <v>0.16778999999999999</v>
      </c>
      <c r="F75" s="74" t="s">
        <v>338</v>
      </c>
      <c r="G75" s="74" t="s">
        <v>339</v>
      </c>
      <c r="H75" s="74" t="s">
        <v>587</v>
      </c>
      <c r="I75" s="1">
        <f t="shared" si="1"/>
        <v>0.16778999999999999</v>
      </c>
    </row>
    <row r="76" spans="2:9" ht="12.5" x14ac:dyDescent="0.25">
      <c r="C76" s="74" t="s">
        <v>520</v>
      </c>
      <c r="D76" s="74" t="s">
        <v>319</v>
      </c>
      <c r="E76" s="74">
        <v>9.6824999999999994E-2</v>
      </c>
      <c r="F76" s="74" t="s">
        <v>338</v>
      </c>
      <c r="G76" s="74" t="s">
        <v>339</v>
      </c>
      <c r="H76" s="74" t="s">
        <v>587</v>
      </c>
      <c r="I76" s="1">
        <f t="shared" si="1"/>
        <v>9.6824999999999994E-2</v>
      </c>
    </row>
    <row r="77" spans="2:9" ht="12.5" x14ac:dyDescent="0.25">
      <c r="C77" s="74" t="s">
        <v>521</v>
      </c>
      <c r="D77" s="74" t="s">
        <v>317</v>
      </c>
      <c r="E77" s="74">
        <v>6.7072499999999993E-2</v>
      </c>
      <c r="F77" s="74" t="s">
        <v>338</v>
      </c>
      <c r="G77" s="74" t="s">
        <v>339</v>
      </c>
      <c r="H77" s="74" t="s">
        <v>587</v>
      </c>
      <c r="I77" s="1">
        <f t="shared" si="1"/>
        <v>6.7072499999999993E-2</v>
      </c>
    </row>
    <row r="78" spans="2:9" ht="12.5" x14ac:dyDescent="0.25">
      <c r="C78" s="74" t="s">
        <v>426</v>
      </c>
      <c r="D78" s="74" t="s">
        <v>315</v>
      </c>
      <c r="E78" s="74">
        <v>6.1619999999999994E-2</v>
      </c>
      <c r="F78" s="74" t="s">
        <v>338</v>
      </c>
      <c r="G78" s="74" t="s">
        <v>339</v>
      </c>
      <c r="H78" s="74" t="s">
        <v>587</v>
      </c>
      <c r="I78" s="1">
        <f t="shared" si="1"/>
        <v>6.1619999999999987E-2</v>
      </c>
    </row>
    <row r="79" spans="2:9" ht="12.5" x14ac:dyDescent="0.25">
      <c r="C79" s="74" t="s">
        <v>415</v>
      </c>
      <c r="D79" s="74" t="s">
        <v>327</v>
      </c>
      <c r="E79" s="74">
        <v>4.8210000000000003E-2</v>
      </c>
      <c r="F79" s="74" t="s">
        <v>338</v>
      </c>
      <c r="G79" s="74" t="s">
        <v>339</v>
      </c>
      <c r="H79" s="74" t="s">
        <v>587</v>
      </c>
      <c r="I79" s="1">
        <f t="shared" si="1"/>
        <v>4.8210000000000003E-2</v>
      </c>
    </row>
    <row r="80" spans="2:9" ht="12.5" x14ac:dyDescent="0.25">
      <c r="C80" s="74" t="s">
        <v>427</v>
      </c>
      <c r="D80" s="74" t="s">
        <v>598</v>
      </c>
      <c r="E80" s="74">
        <v>1.6357500000000001E-2</v>
      </c>
      <c r="F80" s="74" t="s">
        <v>338</v>
      </c>
      <c r="G80" s="74" t="s">
        <v>339</v>
      </c>
      <c r="H80" s="74" t="s">
        <v>587</v>
      </c>
      <c r="I80" s="1">
        <f t="shared" si="1"/>
        <v>1.6357500000000001E-2</v>
      </c>
    </row>
    <row r="81" spans="1:9" ht="12.5" x14ac:dyDescent="0.25">
      <c r="C81" s="74" t="s">
        <v>334</v>
      </c>
      <c r="D81" s="74" t="s">
        <v>323</v>
      </c>
      <c r="E81" s="74">
        <v>1.5404999999999999E-2</v>
      </c>
      <c r="F81" s="74" t="s">
        <v>338</v>
      </c>
      <c r="G81" s="74" t="s">
        <v>339</v>
      </c>
      <c r="H81" s="74" t="s">
        <v>587</v>
      </c>
      <c r="I81" s="1">
        <f t="shared" si="1"/>
        <v>1.5404999999999997E-2</v>
      </c>
    </row>
    <row r="82" spans="1:9" ht="12.5" x14ac:dyDescent="0.25">
      <c r="C82" s="74" t="s">
        <v>356</v>
      </c>
      <c r="D82" s="74" t="s">
        <v>335</v>
      </c>
      <c r="E82" s="74">
        <v>1.74E-3</v>
      </c>
      <c r="F82" s="74" t="s">
        <v>338</v>
      </c>
      <c r="G82" s="74" t="s">
        <v>339</v>
      </c>
      <c r="H82" s="74" t="s">
        <v>587</v>
      </c>
      <c r="I82" s="1">
        <f t="shared" si="1"/>
        <v>1.74E-3</v>
      </c>
    </row>
    <row r="83" spans="1:9" ht="12.5" x14ac:dyDescent="0.25">
      <c r="C83" s="74" t="s">
        <v>356</v>
      </c>
      <c r="D83" s="74" t="s">
        <v>331</v>
      </c>
      <c r="E83" s="74">
        <v>1.6949999999999999E-3</v>
      </c>
      <c r="F83" s="74" t="s">
        <v>338</v>
      </c>
      <c r="G83" s="74" t="s">
        <v>339</v>
      </c>
      <c r="H83" s="74" t="s">
        <v>587</v>
      </c>
      <c r="I83" s="1">
        <f t="shared" si="1"/>
        <v>1.6949999999999997E-3</v>
      </c>
    </row>
    <row r="84" spans="1:9" ht="12.5" x14ac:dyDescent="0.25">
      <c r="C84" s="74" t="s">
        <v>356</v>
      </c>
      <c r="D84" s="74" t="s">
        <v>333</v>
      </c>
      <c r="E84" s="74">
        <v>8.7000000000000001E-4</v>
      </c>
      <c r="F84" s="74" t="s">
        <v>338</v>
      </c>
      <c r="G84" s="74" t="s">
        <v>339</v>
      </c>
      <c r="H84" s="74" t="s">
        <v>587</v>
      </c>
      <c r="I84" s="1">
        <f t="shared" si="1"/>
        <v>8.7000000000000001E-4</v>
      </c>
    </row>
    <row r="85" spans="1:9" ht="12.5" x14ac:dyDescent="0.25">
      <c r="C85" s="74" t="s">
        <v>356</v>
      </c>
      <c r="D85" s="74" t="s">
        <v>325</v>
      </c>
      <c r="E85" s="74">
        <v>9.0000000000000006E-5</v>
      </c>
      <c r="F85" s="74" t="s">
        <v>338</v>
      </c>
      <c r="G85" s="74" t="s">
        <v>339</v>
      </c>
      <c r="H85" s="74" t="s">
        <v>587</v>
      </c>
      <c r="I85" s="1">
        <f t="shared" si="1"/>
        <v>9.0000000000000006E-5</v>
      </c>
    </row>
    <row r="86" spans="1:9" ht="12.5" x14ac:dyDescent="0.25">
      <c r="B86" s="74" t="s">
        <v>616</v>
      </c>
      <c r="D86" s="74" t="s">
        <v>337</v>
      </c>
      <c r="E86" s="74">
        <v>10.250129293756396</v>
      </c>
      <c r="F86" s="74" t="s">
        <v>338</v>
      </c>
      <c r="G86" s="74" t="s">
        <v>339</v>
      </c>
      <c r="I86" s="1">
        <f t="shared" si="1"/>
        <v>6.3479359727484139</v>
      </c>
    </row>
    <row r="87" spans="1:9" ht="12.5" x14ac:dyDescent="0.25">
      <c r="A87" s="74" t="s">
        <v>289</v>
      </c>
      <c r="D87" s="74" t="s">
        <v>290</v>
      </c>
      <c r="E87" s="74" t="s">
        <v>291</v>
      </c>
      <c r="F87" s="74" t="s">
        <v>3</v>
      </c>
      <c r="I87" s="1" t="str">
        <f t="shared" si="1"/>
        <v>Amount</v>
      </c>
    </row>
    <row r="88" spans="1:9" ht="12.5" x14ac:dyDescent="0.25">
      <c r="A88" s="74" t="s">
        <v>292</v>
      </c>
      <c r="D88" s="74" t="s">
        <v>563</v>
      </c>
      <c r="E88" s="74">
        <v>4622.2303599999996</v>
      </c>
      <c r="F88" s="74" t="s">
        <v>358</v>
      </c>
      <c r="G88" s="74" t="s">
        <v>359</v>
      </c>
      <c r="I88" s="1">
        <f t="shared" si="1"/>
        <v>4622.2303599999996</v>
      </c>
    </row>
    <row r="89" spans="1:9" ht="12.5" x14ac:dyDescent="0.25">
      <c r="B89" s="74" t="s">
        <v>617</v>
      </c>
      <c r="D89" s="74" t="s">
        <v>565</v>
      </c>
      <c r="E89" s="74">
        <v>2244.8558800000001</v>
      </c>
      <c r="F89" s="74" t="s">
        <v>358</v>
      </c>
      <c r="G89" s="74" t="s">
        <v>359</v>
      </c>
      <c r="I89" s="1">
        <f t="shared" si="1"/>
        <v>2244.8558800000001</v>
      </c>
    </row>
    <row r="90" spans="1:9" ht="12.5" x14ac:dyDescent="0.25">
      <c r="C90" s="74" t="s">
        <v>618</v>
      </c>
      <c r="D90" s="74" t="s">
        <v>313</v>
      </c>
      <c r="E90" s="74">
        <v>1048.35625</v>
      </c>
      <c r="F90" s="74" t="s">
        <v>358</v>
      </c>
      <c r="G90" s="74" t="s">
        <v>359</v>
      </c>
      <c r="H90" s="74" t="s">
        <v>567</v>
      </c>
      <c r="I90" s="1">
        <f t="shared" si="1"/>
        <v>1048.35625</v>
      </c>
    </row>
    <row r="91" spans="1:9" ht="12.5" x14ac:dyDescent="0.25">
      <c r="C91" s="74" t="s">
        <v>619</v>
      </c>
      <c r="D91" s="74" t="s">
        <v>569</v>
      </c>
      <c r="E91" s="74">
        <v>449.02064000000001</v>
      </c>
      <c r="F91" s="74" t="s">
        <v>358</v>
      </c>
      <c r="G91" s="74" t="s">
        <v>359</v>
      </c>
      <c r="H91" s="74" t="s">
        <v>567</v>
      </c>
      <c r="I91" s="1">
        <f t="shared" si="1"/>
        <v>449.02064000000001</v>
      </c>
    </row>
    <row r="92" spans="1:9" ht="12.5" x14ac:dyDescent="0.25">
      <c r="C92" s="74" t="s">
        <v>620</v>
      </c>
      <c r="D92" s="74" t="s">
        <v>571</v>
      </c>
      <c r="E92" s="74">
        <v>307.19515999999999</v>
      </c>
      <c r="F92" s="74" t="s">
        <v>358</v>
      </c>
      <c r="G92" s="74" t="s">
        <v>359</v>
      </c>
      <c r="H92" s="74" t="s">
        <v>567</v>
      </c>
      <c r="I92" s="1">
        <f t="shared" si="1"/>
        <v>307.19515999999999</v>
      </c>
    </row>
    <row r="93" spans="1:9" ht="12.5" x14ac:dyDescent="0.25">
      <c r="C93" s="74" t="s">
        <v>621</v>
      </c>
      <c r="D93" s="74" t="s">
        <v>573</v>
      </c>
      <c r="E93" s="74">
        <v>260.59316000000001</v>
      </c>
      <c r="F93" s="74" t="s">
        <v>358</v>
      </c>
      <c r="G93" s="74" t="s">
        <v>359</v>
      </c>
      <c r="H93" s="74" t="s">
        <v>567</v>
      </c>
      <c r="I93" s="1">
        <f t="shared" si="1"/>
        <v>260.59316000000001</v>
      </c>
    </row>
    <row r="94" spans="1:9" ht="12.5" x14ac:dyDescent="0.25">
      <c r="C94" s="74" t="s">
        <v>574</v>
      </c>
      <c r="D94" s="74" t="s">
        <v>575</v>
      </c>
      <c r="E94" s="74">
        <v>54.681800000000003</v>
      </c>
      <c r="F94" s="74" t="s">
        <v>358</v>
      </c>
      <c r="G94" s="74" t="s">
        <v>359</v>
      </c>
      <c r="H94" s="74" t="s">
        <v>567</v>
      </c>
      <c r="I94" s="1">
        <f t="shared" si="1"/>
        <v>54.681800000000003</v>
      </c>
    </row>
    <row r="95" spans="1:9" ht="12.5" x14ac:dyDescent="0.25">
      <c r="C95" s="74" t="s">
        <v>576</v>
      </c>
      <c r="D95" s="74" t="s">
        <v>577</v>
      </c>
      <c r="E95" s="74">
        <v>31.822800000000001</v>
      </c>
      <c r="F95" s="74" t="s">
        <v>358</v>
      </c>
      <c r="G95" s="74" t="s">
        <v>359</v>
      </c>
      <c r="H95" s="74" t="s">
        <v>567</v>
      </c>
      <c r="I95" s="1">
        <f t="shared" si="1"/>
        <v>31.822800000000001</v>
      </c>
    </row>
    <row r="96" spans="1:9" ht="12.5" x14ac:dyDescent="0.25">
      <c r="C96" s="74" t="s">
        <v>596</v>
      </c>
      <c r="D96" s="74" t="s">
        <v>578</v>
      </c>
      <c r="E96" s="74">
        <v>31.02683</v>
      </c>
      <c r="F96" s="74" t="s">
        <v>358</v>
      </c>
      <c r="G96" s="74" t="s">
        <v>359</v>
      </c>
      <c r="H96" s="74" t="s">
        <v>567</v>
      </c>
      <c r="I96" s="1">
        <f t="shared" si="1"/>
        <v>31.02683</v>
      </c>
    </row>
    <row r="97" spans="2:9" ht="12.5" x14ac:dyDescent="0.25">
      <c r="C97" s="74" t="s">
        <v>622</v>
      </c>
      <c r="D97" s="74" t="s">
        <v>580</v>
      </c>
      <c r="E97" s="74">
        <v>27.537130000000001</v>
      </c>
      <c r="F97" s="74" t="s">
        <v>358</v>
      </c>
      <c r="G97" s="74" t="s">
        <v>359</v>
      </c>
      <c r="H97" s="74" t="s">
        <v>567</v>
      </c>
      <c r="I97" s="1">
        <f t="shared" si="1"/>
        <v>27.537130000000001</v>
      </c>
    </row>
    <row r="98" spans="2:9" ht="12.5" x14ac:dyDescent="0.25">
      <c r="C98" s="74" t="s">
        <v>426</v>
      </c>
      <c r="D98" s="74" t="s">
        <v>581</v>
      </c>
      <c r="E98" s="74">
        <v>7.6820599999999999</v>
      </c>
      <c r="F98" s="74" t="s">
        <v>358</v>
      </c>
      <c r="G98" s="74" t="s">
        <v>359</v>
      </c>
      <c r="H98" s="74" t="s">
        <v>567</v>
      </c>
      <c r="I98" s="1">
        <f t="shared" si="1"/>
        <v>7.6820599999999999</v>
      </c>
    </row>
    <row r="99" spans="2:9" ht="12.5" x14ac:dyDescent="0.25">
      <c r="C99" s="74" t="s">
        <v>415</v>
      </c>
      <c r="D99" s="74" t="s">
        <v>582</v>
      </c>
      <c r="E99" s="74">
        <v>6.3056000000000001</v>
      </c>
      <c r="F99" s="74" t="s">
        <v>358</v>
      </c>
      <c r="G99" s="74" t="s">
        <v>359</v>
      </c>
      <c r="H99" s="74" t="s">
        <v>567</v>
      </c>
      <c r="I99" s="1">
        <f t="shared" si="1"/>
        <v>6.3056000000000001</v>
      </c>
    </row>
    <row r="100" spans="2:9" ht="12.5" x14ac:dyDescent="0.25">
      <c r="C100" s="74" t="s">
        <v>328</v>
      </c>
      <c r="D100" s="74" t="s">
        <v>583</v>
      </c>
      <c r="E100" s="74">
        <v>5.9904799999999998</v>
      </c>
      <c r="F100" s="74" t="s">
        <v>358</v>
      </c>
      <c r="G100" s="74" t="s">
        <v>359</v>
      </c>
      <c r="H100" s="74" t="s">
        <v>567</v>
      </c>
      <c r="I100" s="1">
        <f t="shared" si="1"/>
        <v>5.9904799999999998</v>
      </c>
    </row>
    <row r="101" spans="2:9" ht="12.5" x14ac:dyDescent="0.25">
      <c r="C101" s="74" t="s">
        <v>440</v>
      </c>
      <c r="D101" s="74" t="s">
        <v>317</v>
      </c>
      <c r="E101" s="74">
        <v>4.72987</v>
      </c>
      <c r="F101" s="74" t="s">
        <v>358</v>
      </c>
      <c r="G101" s="74" t="s">
        <v>359</v>
      </c>
      <c r="H101" s="74" t="s">
        <v>567</v>
      </c>
      <c r="I101" s="1">
        <f t="shared" si="1"/>
        <v>4.72987</v>
      </c>
    </row>
    <row r="102" spans="2:9" ht="12.5" x14ac:dyDescent="0.25">
      <c r="C102" s="74" t="s">
        <v>427</v>
      </c>
      <c r="D102" s="74" t="s">
        <v>323</v>
      </c>
      <c r="E102" s="74">
        <v>2.36422</v>
      </c>
      <c r="F102" s="74" t="s">
        <v>358</v>
      </c>
      <c r="G102" s="74" t="s">
        <v>359</v>
      </c>
      <c r="H102" s="74" t="s">
        <v>567</v>
      </c>
      <c r="I102" s="1">
        <f t="shared" si="1"/>
        <v>2.36422</v>
      </c>
    </row>
    <row r="103" spans="2:9" ht="12.5" x14ac:dyDescent="0.25">
      <c r="C103" s="74" t="s">
        <v>427</v>
      </c>
      <c r="D103" s="74" t="s">
        <v>321</v>
      </c>
      <c r="E103" s="74">
        <v>2.20581</v>
      </c>
      <c r="F103" s="74" t="s">
        <v>358</v>
      </c>
      <c r="G103" s="74" t="s">
        <v>359</v>
      </c>
      <c r="H103" s="74" t="s">
        <v>567</v>
      </c>
      <c r="I103" s="1">
        <f t="shared" si="1"/>
        <v>2.20581</v>
      </c>
    </row>
    <row r="104" spans="2:9" ht="12.5" x14ac:dyDescent="0.25">
      <c r="C104" s="74" t="s">
        <v>334</v>
      </c>
      <c r="D104" s="74" t="s">
        <v>319</v>
      </c>
      <c r="E104" s="74">
        <v>2.0413700000000001</v>
      </c>
      <c r="F104" s="74" t="s">
        <v>358</v>
      </c>
      <c r="G104" s="74" t="s">
        <v>359</v>
      </c>
      <c r="H104" s="74" t="s">
        <v>567</v>
      </c>
      <c r="I104" s="1">
        <f t="shared" si="1"/>
        <v>2.0413700000000001</v>
      </c>
    </row>
    <row r="105" spans="2:9" ht="12.5" x14ac:dyDescent="0.25">
      <c r="C105" s="74" t="s">
        <v>354</v>
      </c>
      <c r="D105" s="74" t="s">
        <v>315</v>
      </c>
      <c r="E105" s="74">
        <v>1.3360099999999999</v>
      </c>
      <c r="F105" s="74" t="s">
        <v>358</v>
      </c>
      <c r="G105" s="74" t="s">
        <v>359</v>
      </c>
      <c r="H105" s="74" t="s">
        <v>567</v>
      </c>
      <c r="I105" s="1">
        <f t="shared" si="1"/>
        <v>1.3360099999999999</v>
      </c>
    </row>
    <row r="106" spans="2:9" ht="12.5" x14ac:dyDescent="0.25">
      <c r="C106" s="74" t="s">
        <v>355</v>
      </c>
      <c r="D106" s="74" t="s">
        <v>327</v>
      </c>
      <c r="E106" s="74">
        <v>1.00848</v>
      </c>
      <c r="F106" s="74" t="s">
        <v>358</v>
      </c>
      <c r="G106" s="74" t="s">
        <v>359</v>
      </c>
      <c r="H106" s="74" t="s">
        <v>567</v>
      </c>
      <c r="I106" s="1">
        <f t="shared" si="1"/>
        <v>1.00848</v>
      </c>
    </row>
    <row r="107" spans="2:9" ht="12.5" x14ac:dyDescent="0.25">
      <c r="C107" s="74" t="s">
        <v>387</v>
      </c>
      <c r="D107" s="74" t="s">
        <v>584</v>
      </c>
      <c r="E107" s="74">
        <v>0.45346999999999998</v>
      </c>
      <c r="F107" s="74" t="s">
        <v>358</v>
      </c>
      <c r="G107" s="74" t="s">
        <v>359</v>
      </c>
      <c r="H107" s="74" t="s">
        <v>567</v>
      </c>
      <c r="I107" s="1">
        <f t="shared" si="1"/>
        <v>0.45346999999999998</v>
      </c>
    </row>
    <row r="108" spans="2:9" ht="12.5" x14ac:dyDescent="0.25">
      <c r="C108" s="74" t="s">
        <v>387</v>
      </c>
      <c r="D108" s="74" t="s">
        <v>329</v>
      </c>
      <c r="E108" s="74">
        <v>0.37580999999999998</v>
      </c>
      <c r="F108" s="74" t="s">
        <v>358</v>
      </c>
      <c r="G108" s="74" t="s">
        <v>359</v>
      </c>
      <c r="H108" s="74" t="s">
        <v>567</v>
      </c>
      <c r="I108" s="1">
        <f t="shared" si="1"/>
        <v>0.37580999999999998</v>
      </c>
    </row>
    <row r="109" spans="2:9" ht="12.5" x14ac:dyDescent="0.25">
      <c r="C109" s="74" t="s">
        <v>356</v>
      </c>
      <c r="D109" s="74" t="s">
        <v>325</v>
      </c>
      <c r="E109" s="74">
        <v>0.12892999999999999</v>
      </c>
      <c r="F109" s="74" t="s">
        <v>358</v>
      </c>
      <c r="G109" s="74" t="s">
        <v>359</v>
      </c>
      <c r="H109" s="74" t="s">
        <v>567</v>
      </c>
      <c r="I109" s="1">
        <f t="shared" si="1"/>
        <v>0.12892999999999999</v>
      </c>
    </row>
    <row r="110" spans="2:9" ht="12.5" x14ac:dyDescent="0.25">
      <c r="B110" s="74" t="s">
        <v>623</v>
      </c>
      <c r="D110" s="74" t="s">
        <v>586</v>
      </c>
      <c r="E110" s="74">
        <v>1225.3806749999999</v>
      </c>
      <c r="F110" s="74" t="s">
        <v>358</v>
      </c>
      <c r="G110" s="74" t="s">
        <v>359</v>
      </c>
      <c r="H110" s="74" t="s">
        <v>587</v>
      </c>
      <c r="I110" s="1">
        <f t="shared" ref="I110:I173" si="2">IF(H110="Server",E110*$L$8/$M$8,IF(D110="market for electricity, low voltage | electricity, low voltage | APOS, U - FR",E110*$L$5/$M$5,E110))</f>
        <v>1225.3806749999999</v>
      </c>
    </row>
    <row r="111" spans="2:9" ht="12.5" x14ac:dyDescent="0.25">
      <c r="C111" s="74" t="s">
        <v>624</v>
      </c>
      <c r="D111" s="74" t="s">
        <v>299</v>
      </c>
      <c r="E111" s="74">
        <v>371.75801999999999</v>
      </c>
      <c r="F111" s="74" t="s">
        <v>358</v>
      </c>
      <c r="G111" s="74" t="s">
        <v>359</v>
      </c>
      <c r="H111" s="74" t="s">
        <v>587</v>
      </c>
      <c r="I111" s="1">
        <f t="shared" si="2"/>
        <v>371.75801999999999</v>
      </c>
    </row>
    <row r="112" spans="2:9" ht="12.5" x14ac:dyDescent="0.25">
      <c r="C112" s="74" t="s">
        <v>625</v>
      </c>
      <c r="D112" s="74" t="s">
        <v>313</v>
      </c>
      <c r="E112" s="74">
        <v>332.2124475</v>
      </c>
      <c r="F112" s="74" t="s">
        <v>358</v>
      </c>
      <c r="G112" s="74" t="s">
        <v>359</v>
      </c>
      <c r="H112" s="74" t="s">
        <v>587</v>
      </c>
      <c r="I112" s="1">
        <f t="shared" si="2"/>
        <v>332.2124475</v>
      </c>
    </row>
    <row r="113" spans="3:9" ht="12.5" x14ac:dyDescent="0.25">
      <c r="C113" s="74" t="s">
        <v>626</v>
      </c>
      <c r="D113" s="74" t="s">
        <v>301</v>
      </c>
      <c r="E113" s="74">
        <v>132.18545999999998</v>
      </c>
      <c r="F113" s="74" t="s">
        <v>358</v>
      </c>
      <c r="G113" s="74" t="s">
        <v>359</v>
      </c>
      <c r="H113" s="74" t="s">
        <v>587</v>
      </c>
      <c r="I113" s="1">
        <f t="shared" si="2"/>
        <v>132.18545999999998</v>
      </c>
    </row>
    <row r="114" spans="3:9" ht="12.5" x14ac:dyDescent="0.25">
      <c r="C114" s="74" t="s">
        <v>627</v>
      </c>
      <c r="D114" s="74" t="s">
        <v>592</v>
      </c>
      <c r="E114" s="74">
        <v>91.005757500000001</v>
      </c>
      <c r="F114" s="74" t="s">
        <v>358</v>
      </c>
      <c r="G114" s="74" t="s">
        <v>359</v>
      </c>
      <c r="H114" s="74" t="s">
        <v>587</v>
      </c>
      <c r="I114" s="1">
        <f t="shared" si="2"/>
        <v>91.005757500000001</v>
      </c>
    </row>
    <row r="115" spans="3:9" ht="12.5" x14ac:dyDescent="0.25">
      <c r="C115" s="74" t="s">
        <v>593</v>
      </c>
      <c r="D115" s="74" t="s">
        <v>303</v>
      </c>
      <c r="E115" s="74">
        <v>88.288402500000004</v>
      </c>
      <c r="F115" s="74" t="s">
        <v>358</v>
      </c>
      <c r="G115" s="74" t="s">
        <v>359</v>
      </c>
      <c r="H115" s="74" t="s">
        <v>587</v>
      </c>
      <c r="I115" s="1">
        <f t="shared" si="2"/>
        <v>88.288402500000004</v>
      </c>
    </row>
    <row r="116" spans="3:9" ht="12.5" x14ac:dyDescent="0.25">
      <c r="C116" s="74" t="s">
        <v>628</v>
      </c>
      <c r="D116" s="74" t="s">
        <v>311</v>
      </c>
      <c r="E116" s="74">
        <v>76.811520000000002</v>
      </c>
      <c r="F116" s="74" t="s">
        <v>358</v>
      </c>
      <c r="G116" s="74" t="s">
        <v>359</v>
      </c>
      <c r="H116" s="74" t="s">
        <v>587</v>
      </c>
      <c r="I116" s="1">
        <f t="shared" si="2"/>
        <v>76.811520000000002</v>
      </c>
    </row>
    <row r="117" spans="3:9" ht="12.5" x14ac:dyDescent="0.25">
      <c r="C117" s="74" t="s">
        <v>629</v>
      </c>
      <c r="D117" s="74" t="s">
        <v>309</v>
      </c>
      <c r="E117" s="74">
        <v>70.862362499999989</v>
      </c>
      <c r="F117" s="74" t="s">
        <v>358</v>
      </c>
      <c r="G117" s="74" t="s">
        <v>359</v>
      </c>
      <c r="H117" s="74" t="s">
        <v>587</v>
      </c>
      <c r="I117" s="1">
        <f t="shared" si="2"/>
        <v>70.862362499999989</v>
      </c>
    </row>
    <row r="118" spans="3:9" ht="12.5" x14ac:dyDescent="0.25">
      <c r="C118" s="74" t="s">
        <v>622</v>
      </c>
      <c r="D118" s="74" t="s">
        <v>317</v>
      </c>
      <c r="E118" s="74">
        <v>20.867062499999999</v>
      </c>
      <c r="F118" s="74" t="s">
        <v>358</v>
      </c>
      <c r="G118" s="74" t="s">
        <v>359</v>
      </c>
      <c r="H118" s="74" t="s">
        <v>587</v>
      </c>
      <c r="I118" s="1">
        <f t="shared" si="2"/>
        <v>20.867062499999999</v>
      </c>
    </row>
    <row r="119" spans="3:9" ht="12.5" x14ac:dyDescent="0.25">
      <c r="C119" s="74" t="s">
        <v>413</v>
      </c>
      <c r="D119" s="74" t="s">
        <v>319</v>
      </c>
      <c r="E119" s="74">
        <v>12.327142500000001</v>
      </c>
      <c r="F119" s="74" t="s">
        <v>358</v>
      </c>
      <c r="G119" s="74" t="s">
        <v>359</v>
      </c>
      <c r="H119" s="74" t="s">
        <v>587</v>
      </c>
      <c r="I119" s="1">
        <f t="shared" si="2"/>
        <v>12.327142500000001</v>
      </c>
    </row>
    <row r="120" spans="3:9" ht="12.5" x14ac:dyDescent="0.25">
      <c r="C120" s="74" t="s">
        <v>559</v>
      </c>
      <c r="D120" s="74" t="s">
        <v>321</v>
      </c>
      <c r="E120" s="74">
        <v>9.7315349999999992</v>
      </c>
      <c r="F120" s="74" t="s">
        <v>358</v>
      </c>
      <c r="G120" s="74" t="s">
        <v>359</v>
      </c>
      <c r="H120" s="74" t="s">
        <v>587</v>
      </c>
      <c r="I120" s="1">
        <f t="shared" si="2"/>
        <v>9.7315349999999992</v>
      </c>
    </row>
    <row r="121" spans="3:9" ht="12.5" x14ac:dyDescent="0.25">
      <c r="C121" s="74" t="s">
        <v>437</v>
      </c>
      <c r="D121" s="74" t="s">
        <v>315</v>
      </c>
      <c r="E121" s="74">
        <v>7.6932074999999998</v>
      </c>
      <c r="F121" s="74" t="s">
        <v>358</v>
      </c>
      <c r="G121" s="74" t="s">
        <v>359</v>
      </c>
      <c r="H121" s="74" t="s">
        <v>587</v>
      </c>
      <c r="I121" s="1">
        <f t="shared" si="2"/>
        <v>7.6932074999999998</v>
      </c>
    </row>
    <row r="122" spans="3:9" ht="12.5" x14ac:dyDescent="0.25">
      <c r="C122" s="74" t="s">
        <v>491</v>
      </c>
      <c r="D122" s="74" t="s">
        <v>327</v>
      </c>
      <c r="E122" s="74">
        <v>5.2524825000000002</v>
      </c>
      <c r="F122" s="74" t="s">
        <v>358</v>
      </c>
      <c r="G122" s="74" t="s">
        <v>359</v>
      </c>
      <c r="H122" s="74" t="s">
        <v>587</v>
      </c>
      <c r="I122" s="1">
        <f t="shared" si="2"/>
        <v>5.2524825000000002</v>
      </c>
    </row>
    <row r="123" spans="3:9" ht="12.5" x14ac:dyDescent="0.25">
      <c r="C123" s="74" t="s">
        <v>400</v>
      </c>
      <c r="D123" s="74" t="s">
        <v>323</v>
      </c>
      <c r="E123" s="74">
        <v>2.6006399999999998</v>
      </c>
      <c r="F123" s="74" t="s">
        <v>358</v>
      </c>
      <c r="G123" s="74" t="s">
        <v>359</v>
      </c>
      <c r="H123" s="74" t="s">
        <v>587</v>
      </c>
      <c r="I123" s="1">
        <f t="shared" si="2"/>
        <v>2.6006399999999998</v>
      </c>
    </row>
    <row r="124" spans="3:9" ht="12.5" x14ac:dyDescent="0.25">
      <c r="C124" s="74" t="s">
        <v>401</v>
      </c>
      <c r="D124" s="74" t="s">
        <v>598</v>
      </c>
      <c r="E124" s="74">
        <v>1.957335</v>
      </c>
      <c r="F124" s="74" t="s">
        <v>358</v>
      </c>
      <c r="G124" s="74" t="s">
        <v>359</v>
      </c>
      <c r="H124" s="74" t="s">
        <v>587</v>
      </c>
      <c r="I124" s="1">
        <f t="shared" si="2"/>
        <v>1.9573349999999998</v>
      </c>
    </row>
    <row r="125" spans="3:9" ht="12.5" x14ac:dyDescent="0.25">
      <c r="C125" s="74" t="s">
        <v>334</v>
      </c>
      <c r="D125" s="74" t="s">
        <v>331</v>
      </c>
      <c r="E125" s="74">
        <v>1.5037574999999999</v>
      </c>
      <c r="F125" s="74" t="s">
        <v>358</v>
      </c>
      <c r="G125" s="74" t="s">
        <v>359</v>
      </c>
      <c r="H125" s="74" t="s">
        <v>587</v>
      </c>
      <c r="I125" s="1">
        <f t="shared" si="2"/>
        <v>1.5037574999999999</v>
      </c>
    </row>
    <row r="126" spans="3:9" ht="12.5" x14ac:dyDescent="0.25">
      <c r="C126" s="74" t="s">
        <v>387</v>
      </c>
      <c r="D126" s="74" t="s">
        <v>335</v>
      </c>
      <c r="E126" s="74">
        <v>0.18884250000000002</v>
      </c>
      <c r="F126" s="74" t="s">
        <v>358</v>
      </c>
      <c r="G126" s="74" t="s">
        <v>359</v>
      </c>
      <c r="H126" s="74" t="s">
        <v>587</v>
      </c>
      <c r="I126" s="1">
        <f t="shared" si="2"/>
        <v>0.18884250000000002</v>
      </c>
    </row>
    <row r="127" spans="3:9" ht="12.5" x14ac:dyDescent="0.25">
      <c r="C127" s="74" t="s">
        <v>356</v>
      </c>
      <c r="D127" s="74" t="s">
        <v>333</v>
      </c>
      <c r="E127" s="74">
        <v>0.12439500000000001</v>
      </c>
      <c r="F127" s="74" t="s">
        <v>358</v>
      </c>
      <c r="G127" s="74" t="s">
        <v>359</v>
      </c>
      <c r="H127" s="74" t="s">
        <v>587</v>
      </c>
      <c r="I127" s="1">
        <f t="shared" si="2"/>
        <v>0.12439499999999999</v>
      </c>
    </row>
    <row r="128" spans="3:9" ht="12.5" x14ac:dyDescent="0.25">
      <c r="C128" s="74" t="s">
        <v>356</v>
      </c>
      <c r="D128" s="74" t="s">
        <v>325</v>
      </c>
      <c r="E128" s="74">
        <v>1.03125E-2</v>
      </c>
      <c r="F128" s="74" t="s">
        <v>358</v>
      </c>
      <c r="G128" s="74" t="s">
        <v>359</v>
      </c>
      <c r="H128" s="74" t="s">
        <v>587</v>
      </c>
      <c r="I128" s="1">
        <f t="shared" si="2"/>
        <v>1.03125E-2</v>
      </c>
    </row>
    <row r="129" spans="1:9" ht="12.5" x14ac:dyDescent="0.25">
      <c r="B129" s="74" t="s">
        <v>630</v>
      </c>
      <c r="D129" s="74" t="s">
        <v>337</v>
      </c>
      <c r="E129" s="74">
        <v>1242.0131039508701</v>
      </c>
      <c r="F129" s="74" t="s">
        <v>358</v>
      </c>
      <c r="G129" s="74" t="s">
        <v>359</v>
      </c>
      <c r="I129" s="1">
        <f t="shared" si="2"/>
        <v>769.18245958098441</v>
      </c>
    </row>
    <row r="130" spans="1:9" ht="12.5" x14ac:dyDescent="0.25">
      <c r="A130" s="74" t="s">
        <v>289</v>
      </c>
      <c r="D130" s="74" t="s">
        <v>290</v>
      </c>
      <c r="E130" s="74" t="s">
        <v>291</v>
      </c>
      <c r="F130" s="74" t="s">
        <v>3</v>
      </c>
      <c r="I130" s="1" t="str">
        <f t="shared" si="2"/>
        <v>Amount</v>
      </c>
    </row>
    <row r="131" spans="1:9" ht="12.5" x14ac:dyDescent="0.25">
      <c r="A131" s="74" t="s">
        <v>292</v>
      </c>
      <c r="D131" s="74" t="s">
        <v>563</v>
      </c>
      <c r="E131" s="74">
        <v>8902.9124200000006</v>
      </c>
      <c r="F131" s="74" t="s">
        <v>376</v>
      </c>
      <c r="G131" s="74" t="s">
        <v>377</v>
      </c>
      <c r="I131" s="1">
        <f t="shared" si="2"/>
        <v>8902.9124200000006</v>
      </c>
    </row>
    <row r="132" spans="1:9" ht="12.5" x14ac:dyDescent="0.25">
      <c r="B132" s="74" t="s">
        <v>631</v>
      </c>
      <c r="D132" s="74" t="s">
        <v>565</v>
      </c>
      <c r="E132" s="74">
        <v>4332.6068999999998</v>
      </c>
      <c r="F132" s="74" t="s">
        <v>376</v>
      </c>
      <c r="G132" s="74" t="s">
        <v>377</v>
      </c>
      <c r="I132" s="1">
        <f t="shared" si="2"/>
        <v>4332.6068999999998</v>
      </c>
    </row>
    <row r="133" spans="1:9" ht="12.5" x14ac:dyDescent="0.25">
      <c r="C133" s="74" t="s">
        <v>632</v>
      </c>
      <c r="D133" s="74" t="s">
        <v>313</v>
      </c>
      <c r="E133" s="74">
        <v>3076.25</v>
      </c>
      <c r="F133" s="74" t="s">
        <v>376</v>
      </c>
      <c r="G133" s="74" t="s">
        <v>377</v>
      </c>
      <c r="H133" s="74" t="s">
        <v>567</v>
      </c>
      <c r="I133" s="1">
        <f t="shared" si="2"/>
        <v>3076.25</v>
      </c>
    </row>
    <row r="134" spans="1:9" ht="12.5" x14ac:dyDescent="0.25">
      <c r="C134" s="74" t="s">
        <v>633</v>
      </c>
      <c r="D134" s="74" t="s">
        <v>569</v>
      </c>
      <c r="E134" s="74">
        <v>657.85725000000002</v>
      </c>
      <c r="F134" s="74" t="s">
        <v>376</v>
      </c>
      <c r="G134" s="74" t="s">
        <v>377</v>
      </c>
      <c r="H134" s="74" t="s">
        <v>567</v>
      </c>
      <c r="I134" s="1">
        <f t="shared" si="2"/>
        <v>657.85725000000002</v>
      </c>
    </row>
    <row r="135" spans="1:9" ht="12.5" x14ac:dyDescent="0.25">
      <c r="C135" s="74" t="s">
        <v>634</v>
      </c>
      <c r="D135" s="74" t="s">
        <v>573</v>
      </c>
      <c r="E135" s="74">
        <v>199.56834000000001</v>
      </c>
      <c r="F135" s="74" t="s">
        <v>376</v>
      </c>
      <c r="G135" s="74" t="s">
        <v>377</v>
      </c>
      <c r="H135" s="74" t="s">
        <v>567</v>
      </c>
      <c r="I135" s="1">
        <f t="shared" si="2"/>
        <v>199.56834000000001</v>
      </c>
    </row>
    <row r="136" spans="1:9" ht="12.5" x14ac:dyDescent="0.25">
      <c r="C136" s="74" t="s">
        <v>635</v>
      </c>
      <c r="D136" s="74" t="s">
        <v>571</v>
      </c>
      <c r="E136" s="74">
        <v>154.89082999999999</v>
      </c>
      <c r="F136" s="74" t="s">
        <v>376</v>
      </c>
      <c r="G136" s="74" t="s">
        <v>377</v>
      </c>
      <c r="H136" s="74" t="s">
        <v>567</v>
      </c>
      <c r="I136" s="1">
        <f t="shared" si="2"/>
        <v>154.89082999999999</v>
      </c>
    </row>
    <row r="137" spans="1:9" ht="12.5" x14ac:dyDescent="0.25">
      <c r="C137" s="74" t="s">
        <v>636</v>
      </c>
      <c r="D137" s="74" t="s">
        <v>581</v>
      </c>
      <c r="E137" s="74">
        <v>103.63094</v>
      </c>
      <c r="F137" s="74" t="s">
        <v>376</v>
      </c>
      <c r="G137" s="74" t="s">
        <v>377</v>
      </c>
      <c r="H137" s="74" t="s">
        <v>567</v>
      </c>
      <c r="I137" s="1">
        <f t="shared" si="2"/>
        <v>103.63094</v>
      </c>
    </row>
    <row r="138" spans="1:9" ht="12.5" x14ac:dyDescent="0.25">
      <c r="C138" s="74" t="s">
        <v>372</v>
      </c>
      <c r="D138" s="74" t="s">
        <v>575</v>
      </c>
      <c r="E138" s="74">
        <v>40.166939999999997</v>
      </c>
      <c r="F138" s="74" t="s">
        <v>376</v>
      </c>
      <c r="G138" s="74" t="s">
        <v>377</v>
      </c>
      <c r="H138" s="74" t="s">
        <v>567</v>
      </c>
      <c r="I138" s="1">
        <f t="shared" si="2"/>
        <v>40.166939999999997</v>
      </c>
    </row>
    <row r="139" spans="1:9" ht="12.5" x14ac:dyDescent="0.25">
      <c r="C139" s="74" t="s">
        <v>324</v>
      </c>
      <c r="D139" s="74" t="s">
        <v>578</v>
      </c>
      <c r="E139" s="74">
        <v>27.40635</v>
      </c>
      <c r="F139" s="74" t="s">
        <v>376</v>
      </c>
      <c r="G139" s="74" t="s">
        <v>377</v>
      </c>
      <c r="H139" s="74" t="s">
        <v>567</v>
      </c>
      <c r="I139" s="1">
        <f t="shared" si="2"/>
        <v>27.40635</v>
      </c>
    </row>
    <row r="140" spans="1:9" ht="12.5" x14ac:dyDescent="0.25">
      <c r="C140" s="74" t="s">
        <v>520</v>
      </c>
      <c r="D140" s="74" t="s">
        <v>580</v>
      </c>
      <c r="E140" s="74">
        <v>24.40249</v>
      </c>
      <c r="F140" s="74" t="s">
        <v>376</v>
      </c>
      <c r="G140" s="74" t="s">
        <v>377</v>
      </c>
      <c r="H140" s="74" t="s">
        <v>567</v>
      </c>
      <c r="I140" s="1">
        <f t="shared" si="2"/>
        <v>24.40249</v>
      </c>
    </row>
    <row r="141" spans="1:9" ht="12.5" x14ac:dyDescent="0.25">
      <c r="C141" s="74" t="s">
        <v>479</v>
      </c>
      <c r="D141" s="74" t="s">
        <v>315</v>
      </c>
      <c r="E141" s="74">
        <v>17.65841</v>
      </c>
      <c r="F141" s="74" t="s">
        <v>376</v>
      </c>
      <c r="G141" s="74" t="s">
        <v>377</v>
      </c>
      <c r="H141" s="74" t="s">
        <v>567</v>
      </c>
      <c r="I141" s="1">
        <f t="shared" si="2"/>
        <v>17.65841</v>
      </c>
    </row>
    <row r="142" spans="1:9" ht="12.5" x14ac:dyDescent="0.25">
      <c r="C142" s="74" t="s">
        <v>415</v>
      </c>
      <c r="D142" s="74" t="s">
        <v>577</v>
      </c>
      <c r="E142" s="74">
        <v>12.16733</v>
      </c>
      <c r="F142" s="74" t="s">
        <v>376</v>
      </c>
      <c r="G142" s="74" t="s">
        <v>377</v>
      </c>
      <c r="H142" s="74" t="s">
        <v>567</v>
      </c>
      <c r="I142" s="1">
        <f t="shared" si="2"/>
        <v>12.16733</v>
      </c>
    </row>
    <row r="143" spans="1:9" ht="12.5" x14ac:dyDescent="0.25">
      <c r="C143" s="74" t="s">
        <v>328</v>
      </c>
      <c r="D143" s="74" t="s">
        <v>583</v>
      </c>
      <c r="E143" s="74">
        <v>11.40066</v>
      </c>
      <c r="F143" s="74" t="s">
        <v>376</v>
      </c>
      <c r="G143" s="74" t="s">
        <v>377</v>
      </c>
      <c r="H143" s="74" t="s">
        <v>567</v>
      </c>
      <c r="I143" s="1">
        <f t="shared" si="2"/>
        <v>11.40066</v>
      </c>
    </row>
    <row r="144" spans="1:9" ht="12.5" x14ac:dyDescent="0.25">
      <c r="C144" s="74" t="s">
        <v>401</v>
      </c>
      <c r="D144" s="74" t="s">
        <v>582</v>
      </c>
      <c r="E144" s="74">
        <v>4.9698799999999999</v>
      </c>
      <c r="F144" s="74" t="s">
        <v>376</v>
      </c>
      <c r="G144" s="74" t="s">
        <v>377</v>
      </c>
      <c r="H144" s="74" t="s">
        <v>567</v>
      </c>
      <c r="I144" s="1">
        <f t="shared" si="2"/>
        <v>4.9698799999999999</v>
      </c>
    </row>
    <row r="145" spans="2:9" ht="12.5" x14ac:dyDescent="0.25">
      <c r="C145" s="74" t="s">
        <v>387</v>
      </c>
      <c r="D145" s="74" t="s">
        <v>584</v>
      </c>
      <c r="E145" s="74">
        <v>1.01298</v>
      </c>
      <c r="F145" s="74" t="s">
        <v>376</v>
      </c>
      <c r="G145" s="74" t="s">
        <v>377</v>
      </c>
      <c r="H145" s="74" t="s">
        <v>567</v>
      </c>
      <c r="I145" s="1">
        <f t="shared" si="2"/>
        <v>1.01298</v>
      </c>
    </row>
    <row r="146" spans="2:9" ht="12.5" x14ac:dyDescent="0.25">
      <c r="C146" s="74" t="s">
        <v>356</v>
      </c>
      <c r="D146" s="74" t="s">
        <v>323</v>
      </c>
      <c r="E146" s="74">
        <v>0.32706000000000002</v>
      </c>
      <c r="F146" s="74" t="s">
        <v>376</v>
      </c>
      <c r="G146" s="74" t="s">
        <v>377</v>
      </c>
      <c r="H146" s="74" t="s">
        <v>567</v>
      </c>
      <c r="I146" s="1">
        <f t="shared" si="2"/>
        <v>0.32706000000000002</v>
      </c>
    </row>
    <row r="147" spans="2:9" ht="12.5" x14ac:dyDescent="0.25">
      <c r="C147" s="74" t="s">
        <v>356</v>
      </c>
      <c r="D147" s="74" t="s">
        <v>325</v>
      </c>
      <c r="E147" s="74">
        <v>0.32562000000000002</v>
      </c>
      <c r="F147" s="74" t="s">
        <v>376</v>
      </c>
      <c r="G147" s="74" t="s">
        <v>377</v>
      </c>
      <c r="H147" s="74" t="s">
        <v>567</v>
      </c>
      <c r="I147" s="1">
        <f t="shared" si="2"/>
        <v>0.32562000000000002</v>
      </c>
    </row>
    <row r="148" spans="2:9" ht="12.5" x14ac:dyDescent="0.25">
      <c r="C148" s="74" t="s">
        <v>356</v>
      </c>
      <c r="D148" s="74" t="s">
        <v>317</v>
      </c>
      <c r="E148" s="74">
        <v>0.1963</v>
      </c>
      <c r="F148" s="74" t="s">
        <v>376</v>
      </c>
      <c r="G148" s="74" t="s">
        <v>377</v>
      </c>
      <c r="H148" s="74" t="s">
        <v>567</v>
      </c>
      <c r="I148" s="1">
        <f t="shared" si="2"/>
        <v>0.1963</v>
      </c>
    </row>
    <row r="149" spans="2:9" ht="12.5" x14ac:dyDescent="0.25">
      <c r="C149" s="74" t="s">
        <v>356</v>
      </c>
      <c r="D149" s="74" t="s">
        <v>319</v>
      </c>
      <c r="E149" s="74">
        <v>0.13178999999999999</v>
      </c>
      <c r="F149" s="74" t="s">
        <v>376</v>
      </c>
      <c r="G149" s="74" t="s">
        <v>377</v>
      </c>
      <c r="H149" s="74" t="s">
        <v>567</v>
      </c>
      <c r="I149" s="1">
        <f t="shared" si="2"/>
        <v>0.13178999999999999</v>
      </c>
    </row>
    <row r="150" spans="2:9" ht="12.5" x14ac:dyDescent="0.25">
      <c r="C150" s="74" t="s">
        <v>356</v>
      </c>
      <c r="D150" s="74" t="s">
        <v>327</v>
      </c>
      <c r="E150" s="74">
        <v>0.11106000000000001</v>
      </c>
      <c r="F150" s="74" t="s">
        <v>376</v>
      </c>
      <c r="G150" s="74" t="s">
        <v>377</v>
      </c>
      <c r="H150" s="74" t="s">
        <v>567</v>
      </c>
      <c r="I150" s="1">
        <f t="shared" si="2"/>
        <v>0.11106000000000001</v>
      </c>
    </row>
    <row r="151" spans="2:9" ht="12.5" x14ac:dyDescent="0.25">
      <c r="C151" s="74" t="s">
        <v>356</v>
      </c>
      <c r="D151" s="74" t="s">
        <v>329</v>
      </c>
      <c r="E151" s="74">
        <v>8.5779999999999995E-2</v>
      </c>
      <c r="F151" s="74" t="s">
        <v>376</v>
      </c>
      <c r="G151" s="74" t="s">
        <v>377</v>
      </c>
      <c r="H151" s="74" t="s">
        <v>567</v>
      </c>
      <c r="I151" s="1">
        <f t="shared" si="2"/>
        <v>8.5779999999999995E-2</v>
      </c>
    </row>
    <row r="152" spans="2:9" ht="12.5" x14ac:dyDescent="0.25">
      <c r="C152" s="74" t="s">
        <v>356</v>
      </c>
      <c r="D152" s="74" t="s">
        <v>321</v>
      </c>
      <c r="E152" s="74">
        <v>4.6879999999999998E-2</v>
      </c>
      <c r="F152" s="74" t="s">
        <v>376</v>
      </c>
      <c r="G152" s="74" t="s">
        <v>377</v>
      </c>
      <c r="H152" s="74" t="s">
        <v>567</v>
      </c>
      <c r="I152" s="1">
        <f t="shared" si="2"/>
        <v>4.6879999999999998E-2</v>
      </c>
    </row>
    <row r="153" spans="2:9" ht="12.5" x14ac:dyDescent="0.25">
      <c r="B153" s="74" t="s">
        <v>637</v>
      </c>
      <c r="D153" s="74" t="s">
        <v>586</v>
      </c>
      <c r="E153" s="74">
        <v>2449.7558250000002</v>
      </c>
      <c r="F153" s="74" t="s">
        <v>376</v>
      </c>
      <c r="G153" s="74" t="s">
        <v>377</v>
      </c>
      <c r="H153" s="74" t="s">
        <v>587</v>
      </c>
      <c r="I153" s="1">
        <f t="shared" si="2"/>
        <v>2449.7558250000002</v>
      </c>
    </row>
    <row r="154" spans="2:9" ht="12.5" x14ac:dyDescent="0.25">
      <c r="C154" s="74" t="s">
        <v>638</v>
      </c>
      <c r="D154" s="74" t="s">
        <v>313</v>
      </c>
      <c r="E154" s="74">
        <v>974.82944250000003</v>
      </c>
      <c r="F154" s="74" t="s">
        <v>376</v>
      </c>
      <c r="G154" s="74" t="s">
        <v>377</v>
      </c>
      <c r="H154" s="74" t="s">
        <v>587</v>
      </c>
      <c r="I154" s="1">
        <f t="shared" si="2"/>
        <v>974.82944250000003</v>
      </c>
    </row>
    <row r="155" spans="2:9" ht="12.5" x14ac:dyDescent="0.25">
      <c r="C155" s="74" t="s">
        <v>639</v>
      </c>
      <c r="D155" s="74" t="s">
        <v>299</v>
      </c>
      <c r="E155" s="74">
        <v>919.04649749999999</v>
      </c>
      <c r="F155" s="74" t="s">
        <v>376</v>
      </c>
      <c r="G155" s="74" t="s">
        <v>377</v>
      </c>
      <c r="H155" s="74" t="s">
        <v>587</v>
      </c>
      <c r="I155" s="1">
        <f t="shared" si="2"/>
        <v>919.04649749999999</v>
      </c>
    </row>
    <row r="156" spans="2:9" ht="12.5" x14ac:dyDescent="0.25">
      <c r="C156" s="74" t="s">
        <v>640</v>
      </c>
      <c r="D156" s="74" t="s">
        <v>303</v>
      </c>
      <c r="E156" s="74">
        <v>155.43836999999999</v>
      </c>
      <c r="F156" s="74" t="s">
        <v>376</v>
      </c>
      <c r="G156" s="74" t="s">
        <v>377</v>
      </c>
      <c r="H156" s="74" t="s">
        <v>587</v>
      </c>
      <c r="I156" s="1">
        <f t="shared" si="2"/>
        <v>155.43836999999999</v>
      </c>
    </row>
    <row r="157" spans="2:9" ht="12.5" x14ac:dyDescent="0.25">
      <c r="C157" s="74" t="s">
        <v>641</v>
      </c>
      <c r="D157" s="74" t="s">
        <v>315</v>
      </c>
      <c r="E157" s="74">
        <v>101.68302750000001</v>
      </c>
      <c r="F157" s="74" t="s">
        <v>376</v>
      </c>
      <c r="G157" s="74" t="s">
        <v>377</v>
      </c>
      <c r="H157" s="74" t="s">
        <v>587</v>
      </c>
      <c r="I157" s="1">
        <f t="shared" si="2"/>
        <v>101.68302750000002</v>
      </c>
    </row>
    <row r="158" spans="2:9" ht="12.5" x14ac:dyDescent="0.25">
      <c r="C158" s="74" t="s">
        <v>642</v>
      </c>
      <c r="D158" s="74" t="s">
        <v>309</v>
      </c>
      <c r="E158" s="74">
        <v>95.736914999999996</v>
      </c>
      <c r="F158" s="74" t="s">
        <v>376</v>
      </c>
      <c r="G158" s="74" t="s">
        <v>377</v>
      </c>
      <c r="H158" s="74" t="s">
        <v>587</v>
      </c>
      <c r="I158" s="1">
        <f t="shared" si="2"/>
        <v>95.736914999999996</v>
      </c>
    </row>
    <row r="159" spans="2:9" ht="12.5" x14ac:dyDescent="0.25">
      <c r="C159" s="74" t="s">
        <v>643</v>
      </c>
      <c r="D159" s="74" t="s">
        <v>301</v>
      </c>
      <c r="E159" s="74">
        <v>91.078244999999995</v>
      </c>
      <c r="F159" s="74" t="s">
        <v>376</v>
      </c>
      <c r="G159" s="74" t="s">
        <v>377</v>
      </c>
      <c r="H159" s="74" t="s">
        <v>587</v>
      </c>
      <c r="I159" s="1">
        <f t="shared" si="2"/>
        <v>91.078244999999995</v>
      </c>
    </row>
    <row r="160" spans="2:9" ht="12.5" x14ac:dyDescent="0.25">
      <c r="C160" s="74" t="s">
        <v>644</v>
      </c>
      <c r="D160" s="74" t="s">
        <v>311</v>
      </c>
      <c r="E160" s="74">
        <v>56.084414999999993</v>
      </c>
      <c r="F160" s="74" t="s">
        <v>376</v>
      </c>
      <c r="G160" s="74" t="s">
        <v>377</v>
      </c>
      <c r="H160" s="74" t="s">
        <v>587</v>
      </c>
      <c r="I160" s="1">
        <f t="shared" si="2"/>
        <v>56.084415</v>
      </c>
    </row>
    <row r="161" spans="1:9" ht="12.5" x14ac:dyDescent="0.25">
      <c r="C161" s="74" t="s">
        <v>645</v>
      </c>
      <c r="D161" s="74" t="s">
        <v>592</v>
      </c>
      <c r="E161" s="74">
        <v>50.321504999999995</v>
      </c>
      <c r="F161" s="74" t="s">
        <v>376</v>
      </c>
      <c r="G161" s="74" t="s">
        <v>377</v>
      </c>
      <c r="H161" s="74" t="s">
        <v>587</v>
      </c>
      <c r="I161" s="1">
        <f t="shared" si="2"/>
        <v>50.321504999999995</v>
      </c>
    </row>
    <row r="162" spans="1:9" ht="12.5" x14ac:dyDescent="0.25">
      <c r="C162" s="74" t="s">
        <v>354</v>
      </c>
      <c r="D162" s="74" t="s">
        <v>333</v>
      </c>
      <c r="E162" s="74">
        <v>2.2365000000000004</v>
      </c>
      <c r="F162" s="74" t="s">
        <v>376</v>
      </c>
      <c r="G162" s="74" t="s">
        <v>377</v>
      </c>
      <c r="H162" s="74" t="s">
        <v>587</v>
      </c>
      <c r="I162" s="1">
        <f t="shared" si="2"/>
        <v>2.2365000000000004</v>
      </c>
    </row>
    <row r="163" spans="1:9" ht="12.5" x14ac:dyDescent="0.25">
      <c r="C163" s="74" t="s">
        <v>387</v>
      </c>
      <c r="D163" s="74" t="s">
        <v>317</v>
      </c>
      <c r="E163" s="74">
        <v>0.86602500000000004</v>
      </c>
      <c r="F163" s="74" t="s">
        <v>376</v>
      </c>
      <c r="G163" s="74" t="s">
        <v>377</v>
      </c>
      <c r="H163" s="74" t="s">
        <v>587</v>
      </c>
      <c r="I163" s="1">
        <f t="shared" si="2"/>
        <v>0.86602500000000004</v>
      </c>
    </row>
    <row r="164" spans="1:9" ht="12.5" x14ac:dyDescent="0.25">
      <c r="C164" s="74" t="s">
        <v>387</v>
      </c>
      <c r="D164" s="74" t="s">
        <v>319</v>
      </c>
      <c r="E164" s="74">
        <v>0.79581000000000002</v>
      </c>
      <c r="F164" s="74" t="s">
        <v>376</v>
      </c>
      <c r="G164" s="74" t="s">
        <v>377</v>
      </c>
      <c r="H164" s="74" t="s">
        <v>587</v>
      </c>
      <c r="I164" s="1">
        <f t="shared" si="2"/>
        <v>0.79581000000000002</v>
      </c>
    </row>
    <row r="165" spans="1:9" ht="12.5" x14ac:dyDescent="0.25">
      <c r="C165" s="74" t="s">
        <v>387</v>
      </c>
      <c r="D165" s="74" t="s">
        <v>327</v>
      </c>
      <c r="E165" s="74">
        <v>0.57845250000000004</v>
      </c>
      <c r="F165" s="74" t="s">
        <v>376</v>
      </c>
      <c r="G165" s="74" t="s">
        <v>377</v>
      </c>
      <c r="H165" s="74" t="s">
        <v>587</v>
      </c>
      <c r="I165" s="1">
        <f t="shared" si="2"/>
        <v>0.57845250000000004</v>
      </c>
    </row>
    <row r="166" spans="1:9" ht="12.5" x14ac:dyDescent="0.25">
      <c r="C166" s="74" t="s">
        <v>387</v>
      </c>
      <c r="D166" s="74" t="s">
        <v>598</v>
      </c>
      <c r="E166" s="74">
        <v>0.44675999999999999</v>
      </c>
      <c r="F166" s="74" t="s">
        <v>376</v>
      </c>
      <c r="G166" s="74" t="s">
        <v>377</v>
      </c>
      <c r="H166" s="74" t="s">
        <v>587</v>
      </c>
      <c r="I166" s="1">
        <f t="shared" si="2"/>
        <v>0.44675999999999999</v>
      </c>
    </row>
    <row r="167" spans="1:9" ht="12.5" x14ac:dyDescent="0.25">
      <c r="C167" s="74" t="s">
        <v>387</v>
      </c>
      <c r="D167" s="74" t="s">
        <v>323</v>
      </c>
      <c r="E167" s="74">
        <v>0.35976750000000002</v>
      </c>
      <c r="F167" s="74" t="s">
        <v>376</v>
      </c>
      <c r="G167" s="74" t="s">
        <v>377</v>
      </c>
      <c r="H167" s="74" t="s">
        <v>587</v>
      </c>
      <c r="I167" s="1">
        <f t="shared" si="2"/>
        <v>0.35976750000000002</v>
      </c>
    </row>
    <row r="168" spans="1:9" ht="12.5" x14ac:dyDescent="0.25">
      <c r="C168" s="74" t="s">
        <v>356</v>
      </c>
      <c r="D168" s="74" t="s">
        <v>321</v>
      </c>
      <c r="E168" s="74">
        <v>0.2068275</v>
      </c>
      <c r="F168" s="74" t="s">
        <v>376</v>
      </c>
      <c r="G168" s="74" t="s">
        <v>377</v>
      </c>
      <c r="H168" s="74" t="s">
        <v>587</v>
      </c>
      <c r="I168" s="1">
        <f t="shared" si="2"/>
        <v>0.20682750000000003</v>
      </c>
    </row>
    <row r="169" spans="1:9" ht="12.5" x14ac:dyDescent="0.25">
      <c r="C169" s="74" t="s">
        <v>356</v>
      </c>
      <c r="D169" s="74" t="s">
        <v>325</v>
      </c>
      <c r="E169" s="74">
        <v>2.6047499999999998E-2</v>
      </c>
      <c r="F169" s="74" t="s">
        <v>376</v>
      </c>
      <c r="G169" s="74" t="s">
        <v>377</v>
      </c>
      <c r="H169" s="74" t="s">
        <v>587</v>
      </c>
      <c r="I169" s="1">
        <f t="shared" si="2"/>
        <v>2.6047499999999998E-2</v>
      </c>
    </row>
    <row r="170" spans="1:9" ht="12.5" x14ac:dyDescent="0.25">
      <c r="C170" s="74" t="s">
        <v>356</v>
      </c>
      <c r="D170" s="74" t="s">
        <v>335</v>
      </c>
      <c r="E170" s="74">
        <v>1.6065000000000003E-2</v>
      </c>
      <c r="F170" s="74" t="s">
        <v>376</v>
      </c>
      <c r="G170" s="74" t="s">
        <v>377</v>
      </c>
      <c r="H170" s="74" t="s">
        <v>587</v>
      </c>
      <c r="I170" s="1">
        <f t="shared" si="2"/>
        <v>1.6065000000000003E-2</v>
      </c>
    </row>
    <row r="171" spans="1:9" ht="12.5" x14ac:dyDescent="0.25">
      <c r="C171" s="74" t="s">
        <v>356</v>
      </c>
      <c r="D171" s="74" t="s">
        <v>331</v>
      </c>
      <c r="E171" s="74">
        <v>5.1525E-3</v>
      </c>
      <c r="F171" s="74" t="s">
        <v>376</v>
      </c>
      <c r="G171" s="74" t="s">
        <v>377</v>
      </c>
      <c r="H171" s="74" t="s">
        <v>587</v>
      </c>
      <c r="I171" s="1">
        <f t="shared" si="2"/>
        <v>5.1525E-3</v>
      </c>
    </row>
    <row r="172" spans="1:9" ht="12.5" x14ac:dyDescent="0.25">
      <c r="B172" s="74" t="s">
        <v>646</v>
      </c>
      <c r="D172" s="74" t="s">
        <v>337</v>
      </c>
      <c r="E172" s="74">
        <v>2178.1677926714433</v>
      </c>
      <c r="F172" s="74" t="s">
        <v>376</v>
      </c>
      <c r="G172" s="74" t="s">
        <v>377</v>
      </c>
      <c r="I172" s="1">
        <f t="shared" si="2"/>
        <v>1348.9458805366824</v>
      </c>
    </row>
    <row r="173" spans="1:9" ht="12.5" x14ac:dyDescent="0.25">
      <c r="A173" s="74" t="s">
        <v>289</v>
      </c>
      <c r="D173" s="74" t="s">
        <v>290</v>
      </c>
      <c r="E173" s="74" t="s">
        <v>291</v>
      </c>
      <c r="F173" s="74" t="s">
        <v>3</v>
      </c>
      <c r="I173" s="1" t="str">
        <f t="shared" si="2"/>
        <v>Amount</v>
      </c>
    </row>
    <row r="174" spans="1:9" ht="12.5" x14ac:dyDescent="0.25">
      <c r="A174" s="74" t="s">
        <v>292</v>
      </c>
      <c r="D174" s="74" t="s">
        <v>563</v>
      </c>
      <c r="E174" s="74">
        <v>47.556570000000001</v>
      </c>
      <c r="F174" s="74" t="s">
        <v>389</v>
      </c>
      <c r="G174" s="74" t="s">
        <v>390</v>
      </c>
      <c r="I174" s="1">
        <f t="shared" ref="I174:I237" si="3">IF(H174="Server",E174*$L$8/$M$8,IF(D174="market for electricity, low voltage | electricity, low voltage | APOS, U - FR",E174*$L$5/$M$5,E174))</f>
        <v>47.556570000000001</v>
      </c>
    </row>
    <row r="175" spans="1:9" ht="12.5" x14ac:dyDescent="0.25">
      <c r="B175" s="74" t="s">
        <v>647</v>
      </c>
      <c r="D175" s="74" t="s">
        <v>565</v>
      </c>
      <c r="E175" s="74">
        <v>26.352250000000002</v>
      </c>
      <c r="F175" s="74" t="s">
        <v>389</v>
      </c>
      <c r="G175" s="74" t="s">
        <v>390</v>
      </c>
      <c r="I175" s="1">
        <f t="shared" si="3"/>
        <v>26.352250000000002</v>
      </c>
    </row>
    <row r="176" spans="1:9" ht="12.5" x14ac:dyDescent="0.25">
      <c r="C176" s="74" t="s">
        <v>648</v>
      </c>
      <c r="D176" s="74" t="s">
        <v>313</v>
      </c>
      <c r="E176" s="74">
        <v>18.30631</v>
      </c>
      <c r="F176" s="74" t="s">
        <v>389</v>
      </c>
      <c r="G176" s="74" t="s">
        <v>390</v>
      </c>
      <c r="H176" s="74" t="s">
        <v>567</v>
      </c>
      <c r="I176" s="1">
        <f t="shared" si="3"/>
        <v>18.30631</v>
      </c>
    </row>
    <row r="177" spans="3:9" ht="12.5" x14ac:dyDescent="0.25">
      <c r="C177" s="74" t="s">
        <v>649</v>
      </c>
      <c r="D177" s="74" t="s">
        <v>569</v>
      </c>
      <c r="E177" s="74">
        <v>3.7771599999999999</v>
      </c>
      <c r="F177" s="74" t="s">
        <v>389</v>
      </c>
      <c r="G177" s="74" t="s">
        <v>390</v>
      </c>
      <c r="H177" s="74" t="s">
        <v>567</v>
      </c>
      <c r="I177" s="1">
        <f t="shared" si="3"/>
        <v>3.7771599999999999</v>
      </c>
    </row>
    <row r="178" spans="3:9" ht="12.5" x14ac:dyDescent="0.25">
      <c r="C178" s="74" t="s">
        <v>650</v>
      </c>
      <c r="D178" s="74" t="s">
        <v>573</v>
      </c>
      <c r="E178" s="74">
        <v>1.5061100000000001</v>
      </c>
      <c r="F178" s="74" t="s">
        <v>389</v>
      </c>
      <c r="G178" s="74" t="s">
        <v>390</v>
      </c>
      <c r="H178" s="74" t="s">
        <v>567</v>
      </c>
      <c r="I178" s="1">
        <f t="shared" si="3"/>
        <v>1.5061100000000001</v>
      </c>
    </row>
    <row r="179" spans="3:9" ht="12.5" x14ac:dyDescent="0.25">
      <c r="C179" s="74" t="s">
        <v>651</v>
      </c>
      <c r="D179" s="74" t="s">
        <v>571</v>
      </c>
      <c r="E179" s="74">
        <v>1.31308</v>
      </c>
      <c r="F179" s="74" t="s">
        <v>389</v>
      </c>
      <c r="G179" s="74" t="s">
        <v>390</v>
      </c>
      <c r="H179" s="74" t="s">
        <v>567</v>
      </c>
      <c r="I179" s="1">
        <f t="shared" si="3"/>
        <v>1.31308</v>
      </c>
    </row>
    <row r="180" spans="3:9" ht="12.5" x14ac:dyDescent="0.25">
      <c r="C180" s="74" t="s">
        <v>652</v>
      </c>
      <c r="D180" s="74" t="s">
        <v>581</v>
      </c>
      <c r="E180" s="74">
        <v>0.57099999999999995</v>
      </c>
      <c r="F180" s="74" t="s">
        <v>389</v>
      </c>
      <c r="G180" s="74" t="s">
        <v>390</v>
      </c>
      <c r="H180" s="74" t="s">
        <v>567</v>
      </c>
      <c r="I180" s="1">
        <f t="shared" si="3"/>
        <v>0.57099999999999995</v>
      </c>
    </row>
    <row r="181" spans="3:9" ht="12.5" x14ac:dyDescent="0.25">
      <c r="C181" s="74" t="s">
        <v>370</v>
      </c>
      <c r="D181" s="74" t="s">
        <v>575</v>
      </c>
      <c r="E181" s="74">
        <v>0.29631999999999997</v>
      </c>
      <c r="F181" s="74" t="s">
        <v>389</v>
      </c>
      <c r="G181" s="74" t="s">
        <v>390</v>
      </c>
      <c r="H181" s="74" t="s">
        <v>567</v>
      </c>
      <c r="I181" s="1">
        <f t="shared" si="3"/>
        <v>0.29631999999999997</v>
      </c>
    </row>
    <row r="182" spans="3:9" ht="12.5" x14ac:dyDescent="0.25">
      <c r="C182" s="74" t="s">
        <v>653</v>
      </c>
      <c r="D182" s="74" t="s">
        <v>578</v>
      </c>
      <c r="E182" s="74">
        <v>0.18240000000000001</v>
      </c>
      <c r="F182" s="74" t="s">
        <v>389</v>
      </c>
      <c r="G182" s="74" t="s">
        <v>390</v>
      </c>
      <c r="H182" s="74" t="s">
        <v>567</v>
      </c>
      <c r="I182" s="1">
        <f t="shared" si="3"/>
        <v>0.18240000000000001</v>
      </c>
    </row>
    <row r="183" spans="3:9" ht="12.5" x14ac:dyDescent="0.25">
      <c r="C183" s="74" t="s">
        <v>414</v>
      </c>
      <c r="D183" s="74" t="s">
        <v>580</v>
      </c>
      <c r="E183" s="74">
        <v>0.15944</v>
      </c>
      <c r="F183" s="74" t="s">
        <v>389</v>
      </c>
      <c r="G183" s="74" t="s">
        <v>390</v>
      </c>
      <c r="H183" s="74" t="s">
        <v>567</v>
      </c>
      <c r="I183" s="1">
        <f t="shared" si="3"/>
        <v>0.15944</v>
      </c>
    </row>
    <row r="184" spans="3:9" ht="12.5" x14ac:dyDescent="0.25">
      <c r="C184" s="74" t="s">
        <v>506</v>
      </c>
      <c r="D184" s="74" t="s">
        <v>577</v>
      </c>
      <c r="E184" s="74">
        <v>0.11488</v>
      </c>
      <c r="F184" s="74" t="s">
        <v>389</v>
      </c>
      <c r="G184" s="74" t="s">
        <v>390</v>
      </c>
      <c r="H184" s="74" t="s">
        <v>567</v>
      </c>
      <c r="I184" s="1">
        <f t="shared" si="3"/>
        <v>0.11488</v>
      </c>
    </row>
    <row r="185" spans="3:9" ht="12.5" x14ac:dyDescent="0.25">
      <c r="C185" s="74" t="s">
        <v>491</v>
      </c>
      <c r="D185" s="74" t="s">
        <v>583</v>
      </c>
      <c r="E185" s="74">
        <v>7.1709999999999996E-2</v>
      </c>
      <c r="F185" s="74" t="s">
        <v>389</v>
      </c>
      <c r="G185" s="74" t="s">
        <v>390</v>
      </c>
      <c r="H185" s="74" t="s">
        <v>567</v>
      </c>
      <c r="I185" s="1">
        <f t="shared" si="3"/>
        <v>7.1709999999999996E-2</v>
      </c>
    </row>
    <row r="186" spans="3:9" ht="12.5" x14ac:dyDescent="0.25">
      <c r="C186" s="74" t="s">
        <v>332</v>
      </c>
      <c r="D186" s="74" t="s">
        <v>582</v>
      </c>
      <c r="E186" s="74">
        <v>3.4509999999999999E-2</v>
      </c>
      <c r="F186" s="74" t="s">
        <v>389</v>
      </c>
      <c r="G186" s="74" t="s">
        <v>390</v>
      </c>
      <c r="H186" s="74" t="s">
        <v>567</v>
      </c>
      <c r="I186" s="1">
        <f t="shared" si="3"/>
        <v>3.4509999999999999E-2</v>
      </c>
    </row>
    <row r="187" spans="3:9" ht="12.5" x14ac:dyDescent="0.25">
      <c r="C187" s="74" t="s">
        <v>387</v>
      </c>
      <c r="D187" s="74" t="s">
        <v>584</v>
      </c>
      <c r="E187" s="74">
        <v>6.0099999999999997E-3</v>
      </c>
      <c r="F187" s="74" t="s">
        <v>389</v>
      </c>
      <c r="G187" s="74" t="s">
        <v>390</v>
      </c>
      <c r="H187" s="74" t="s">
        <v>567</v>
      </c>
      <c r="I187" s="1">
        <f t="shared" si="3"/>
        <v>6.0099999999999997E-3</v>
      </c>
    </row>
    <row r="188" spans="3:9" ht="12.5" x14ac:dyDescent="0.25">
      <c r="C188" s="74" t="s">
        <v>387</v>
      </c>
      <c r="D188" s="74" t="s">
        <v>323</v>
      </c>
      <c r="E188" s="74">
        <v>3.7799999999999999E-3</v>
      </c>
      <c r="F188" s="74" t="s">
        <v>389</v>
      </c>
      <c r="G188" s="74" t="s">
        <v>390</v>
      </c>
      <c r="H188" s="74" t="s">
        <v>567</v>
      </c>
      <c r="I188" s="1">
        <f t="shared" si="3"/>
        <v>3.7799999999999999E-3</v>
      </c>
    </row>
    <row r="189" spans="3:9" ht="12.5" x14ac:dyDescent="0.25">
      <c r="C189" s="74" t="s">
        <v>387</v>
      </c>
      <c r="D189" s="74" t="s">
        <v>315</v>
      </c>
      <c r="E189" s="74">
        <v>3.0500000000000002E-3</v>
      </c>
      <c r="F189" s="74" t="s">
        <v>389</v>
      </c>
      <c r="G189" s="74" t="s">
        <v>390</v>
      </c>
      <c r="H189" s="74" t="s">
        <v>567</v>
      </c>
      <c r="I189" s="1">
        <f t="shared" si="3"/>
        <v>3.0500000000000002E-3</v>
      </c>
    </row>
    <row r="190" spans="3:9" ht="12.5" x14ac:dyDescent="0.25">
      <c r="C190" s="74" t="s">
        <v>356</v>
      </c>
      <c r="D190" s="74" t="s">
        <v>319</v>
      </c>
      <c r="E190" s="74">
        <v>1.9400000000000001E-3</v>
      </c>
      <c r="F190" s="74" t="s">
        <v>389</v>
      </c>
      <c r="G190" s="74" t="s">
        <v>390</v>
      </c>
      <c r="H190" s="74" t="s">
        <v>567</v>
      </c>
      <c r="I190" s="1">
        <f t="shared" si="3"/>
        <v>1.9400000000000001E-3</v>
      </c>
    </row>
    <row r="191" spans="3:9" ht="12.5" x14ac:dyDescent="0.25">
      <c r="C191" s="74" t="s">
        <v>356</v>
      </c>
      <c r="D191" s="74" t="s">
        <v>327</v>
      </c>
      <c r="E191" s="74">
        <v>1.8500000000000001E-3</v>
      </c>
      <c r="F191" s="74" t="s">
        <v>389</v>
      </c>
      <c r="G191" s="74" t="s">
        <v>390</v>
      </c>
      <c r="H191" s="74" t="s">
        <v>567</v>
      </c>
      <c r="I191" s="1">
        <f t="shared" si="3"/>
        <v>1.8500000000000001E-3</v>
      </c>
    </row>
    <row r="192" spans="3:9" ht="12.5" x14ac:dyDescent="0.25">
      <c r="C192" s="74" t="s">
        <v>356</v>
      </c>
      <c r="D192" s="74" t="s">
        <v>317</v>
      </c>
      <c r="E192" s="74">
        <v>1.06E-3</v>
      </c>
      <c r="F192" s="74" t="s">
        <v>389</v>
      </c>
      <c r="G192" s="74" t="s">
        <v>390</v>
      </c>
      <c r="H192" s="74" t="s">
        <v>567</v>
      </c>
      <c r="I192" s="1">
        <f t="shared" si="3"/>
        <v>1.06E-3</v>
      </c>
    </row>
    <row r="193" spans="2:9" ht="12.5" x14ac:dyDescent="0.25">
      <c r="C193" s="74" t="s">
        <v>356</v>
      </c>
      <c r="D193" s="74" t="s">
        <v>321</v>
      </c>
      <c r="E193" s="74">
        <v>9.3999999999999997E-4</v>
      </c>
      <c r="F193" s="74" t="s">
        <v>389</v>
      </c>
      <c r="G193" s="74" t="s">
        <v>390</v>
      </c>
      <c r="H193" s="74" t="s">
        <v>567</v>
      </c>
      <c r="I193" s="1">
        <f t="shared" si="3"/>
        <v>9.3999999999999997E-4</v>
      </c>
    </row>
    <row r="194" spans="2:9" ht="12.5" x14ac:dyDescent="0.25">
      <c r="C194" s="74" t="s">
        <v>356</v>
      </c>
      <c r="D194" s="74" t="s">
        <v>329</v>
      </c>
      <c r="E194" s="74">
        <v>5.4000000000000001E-4</v>
      </c>
      <c r="F194" s="74" t="s">
        <v>389</v>
      </c>
      <c r="G194" s="74" t="s">
        <v>390</v>
      </c>
      <c r="H194" s="74" t="s">
        <v>567</v>
      </c>
      <c r="I194" s="1">
        <f t="shared" si="3"/>
        <v>5.4000000000000001E-4</v>
      </c>
    </row>
    <row r="195" spans="2:9" ht="12.5" x14ac:dyDescent="0.25">
      <c r="C195" s="74" t="s">
        <v>356</v>
      </c>
      <c r="D195" s="74" t="s">
        <v>325</v>
      </c>
      <c r="E195" s="74">
        <v>1.6000000000000001E-4</v>
      </c>
      <c r="F195" s="74" t="s">
        <v>389</v>
      </c>
      <c r="G195" s="74" t="s">
        <v>390</v>
      </c>
      <c r="H195" s="74" t="s">
        <v>567</v>
      </c>
      <c r="I195" s="1">
        <f t="shared" si="3"/>
        <v>1.6000000000000001E-4</v>
      </c>
    </row>
    <row r="196" spans="2:9" ht="12.5" x14ac:dyDescent="0.25">
      <c r="B196" s="74" t="s">
        <v>654</v>
      </c>
      <c r="D196" s="74" t="s">
        <v>586</v>
      </c>
      <c r="E196" s="74">
        <v>14.3775975</v>
      </c>
      <c r="F196" s="74" t="s">
        <v>389</v>
      </c>
      <c r="G196" s="74" t="s">
        <v>390</v>
      </c>
      <c r="H196" s="74" t="s">
        <v>587</v>
      </c>
      <c r="I196" s="1">
        <f t="shared" si="3"/>
        <v>14.3775975</v>
      </c>
    </row>
    <row r="197" spans="2:9" ht="12.5" x14ac:dyDescent="0.25">
      <c r="C197" s="74" t="s">
        <v>655</v>
      </c>
      <c r="D197" s="74" t="s">
        <v>313</v>
      </c>
      <c r="E197" s="74">
        <v>5.8010699999999993</v>
      </c>
      <c r="F197" s="74" t="s">
        <v>389</v>
      </c>
      <c r="G197" s="74" t="s">
        <v>390</v>
      </c>
      <c r="H197" s="74" t="s">
        <v>587</v>
      </c>
      <c r="I197" s="1">
        <f t="shared" si="3"/>
        <v>5.8010699999999993</v>
      </c>
    </row>
    <row r="198" spans="2:9" ht="12.5" x14ac:dyDescent="0.25">
      <c r="C198" s="74" t="s">
        <v>656</v>
      </c>
      <c r="D198" s="74" t="s">
        <v>299</v>
      </c>
      <c r="E198" s="74">
        <v>5.5279425</v>
      </c>
      <c r="F198" s="74" t="s">
        <v>389</v>
      </c>
      <c r="G198" s="74" t="s">
        <v>390</v>
      </c>
      <c r="H198" s="74" t="s">
        <v>587</v>
      </c>
      <c r="I198" s="1">
        <f t="shared" si="3"/>
        <v>5.5279424999999991</v>
      </c>
    </row>
    <row r="199" spans="2:9" ht="12.5" x14ac:dyDescent="0.25">
      <c r="C199" s="74" t="s">
        <v>657</v>
      </c>
      <c r="D199" s="74" t="s">
        <v>303</v>
      </c>
      <c r="E199" s="74">
        <v>0.97555499999999995</v>
      </c>
      <c r="F199" s="74" t="s">
        <v>389</v>
      </c>
      <c r="G199" s="74" t="s">
        <v>390</v>
      </c>
      <c r="H199" s="74" t="s">
        <v>587</v>
      </c>
      <c r="I199" s="1">
        <f t="shared" si="3"/>
        <v>0.97555499999999995</v>
      </c>
    </row>
    <row r="200" spans="2:9" ht="12.5" x14ac:dyDescent="0.25">
      <c r="C200" s="74" t="s">
        <v>658</v>
      </c>
      <c r="D200" s="74" t="s">
        <v>301</v>
      </c>
      <c r="E200" s="74">
        <v>0.64453500000000008</v>
      </c>
      <c r="F200" s="74" t="s">
        <v>389</v>
      </c>
      <c r="G200" s="74" t="s">
        <v>390</v>
      </c>
      <c r="H200" s="74" t="s">
        <v>587</v>
      </c>
      <c r="I200" s="1">
        <f t="shared" si="3"/>
        <v>0.64453500000000008</v>
      </c>
    </row>
    <row r="201" spans="2:9" ht="12.5" x14ac:dyDescent="0.25">
      <c r="C201" s="74" t="s">
        <v>659</v>
      </c>
      <c r="D201" s="74" t="s">
        <v>309</v>
      </c>
      <c r="E201" s="74">
        <v>0.61203750000000001</v>
      </c>
      <c r="F201" s="74" t="s">
        <v>389</v>
      </c>
      <c r="G201" s="74" t="s">
        <v>390</v>
      </c>
      <c r="H201" s="74" t="s">
        <v>587</v>
      </c>
      <c r="I201" s="1">
        <f t="shared" si="3"/>
        <v>0.61203750000000001</v>
      </c>
    </row>
    <row r="202" spans="2:9" ht="12.5" x14ac:dyDescent="0.25">
      <c r="C202" s="74" t="s">
        <v>652</v>
      </c>
      <c r="D202" s="74" t="s">
        <v>311</v>
      </c>
      <c r="E202" s="74">
        <v>0.42706500000000003</v>
      </c>
      <c r="F202" s="74" t="s">
        <v>389</v>
      </c>
      <c r="G202" s="74" t="s">
        <v>390</v>
      </c>
      <c r="H202" s="74" t="s">
        <v>587</v>
      </c>
      <c r="I202" s="1">
        <f t="shared" si="3"/>
        <v>0.42706500000000003</v>
      </c>
    </row>
    <row r="203" spans="2:9" ht="12.5" x14ac:dyDescent="0.25">
      <c r="C203" s="74" t="s">
        <v>660</v>
      </c>
      <c r="D203" s="74" t="s">
        <v>592</v>
      </c>
      <c r="E203" s="74">
        <v>0.33417000000000002</v>
      </c>
      <c r="F203" s="74" t="s">
        <v>389</v>
      </c>
      <c r="G203" s="74" t="s">
        <v>390</v>
      </c>
      <c r="H203" s="74" t="s">
        <v>587</v>
      </c>
      <c r="I203" s="1">
        <f t="shared" si="3"/>
        <v>0.33417000000000002</v>
      </c>
    </row>
    <row r="204" spans="2:9" ht="12.5" x14ac:dyDescent="0.25">
      <c r="C204" s="74" t="s">
        <v>427</v>
      </c>
      <c r="D204" s="74" t="s">
        <v>315</v>
      </c>
      <c r="E204" s="74">
        <v>1.7565000000000001E-2</v>
      </c>
      <c r="F204" s="74" t="s">
        <v>389</v>
      </c>
      <c r="G204" s="74" t="s">
        <v>390</v>
      </c>
      <c r="H204" s="74" t="s">
        <v>587</v>
      </c>
      <c r="I204" s="1">
        <f t="shared" si="3"/>
        <v>1.7565000000000001E-2</v>
      </c>
    </row>
    <row r="205" spans="2:9" ht="12.5" x14ac:dyDescent="0.25">
      <c r="C205" s="74" t="s">
        <v>354</v>
      </c>
      <c r="D205" s="74" t="s">
        <v>319</v>
      </c>
      <c r="E205" s="74">
        <v>1.1707500000000001E-2</v>
      </c>
      <c r="F205" s="74" t="s">
        <v>389</v>
      </c>
      <c r="G205" s="74" t="s">
        <v>390</v>
      </c>
      <c r="H205" s="74" t="s">
        <v>587</v>
      </c>
      <c r="I205" s="1">
        <f t="shared" si="3"/>
        <v>1.1707500000000001E-2</v>
      </c>
    </row>
    <row r="206" spans="2:9" ht="12.5" x14ac:dyDescent="0.25">
      <c r="C206" s="74" t="s">
        <v>354</v>
      </c>
      <c r="D206" s="74" t="s">
        <v>327</v>
      </c>
      <c r="E206" s="74">
        <v>9.6224999999999991E-3</v>
      </c>
      <c r="F206" s="74" t="s">
        <v>389</v>
      </c>
      <c r="G206" s="74" t="s">
        <v>390</v>
      </c>
      <c r="H206" s="74" t="s">
        <v>587</v>
      </c>
      <c r="I206" s="1">
        <f t="shared" si="3"/>
        <v>9.6224999999999991E-3</v>
      </c>
    </row>
    <row r="207" spans="2:9" ht="12.5" x14ac:dyDescent="0.25">
      <c r="C207" s="74" t="s">
        <v>387</v>
      </c>
      <c r="D207" s="74" t="s">
        <v>317</v>
      </c>
      <c r="E207" s="74">
        <v>4.6800000000000001E-3</v>
      </c>
      <c r="F207" s="74" t="s">
        <v>389</v>
      </c>
      <c r="G207" s="74" t="s">
        <v>390</v>
      </c>
      <c r="H207" s="74" t="s">
        <v>587</v>
      </c>
      <c r="I207" s="1">
        <f t="shared" si="3"/>
        <v>4.6800000000000001E-3</v>
      </c>
    </row>
    <row r="208" spans="2:9" ht="12.5" x14ac:dyDescent="0.25">
      <c r="C208" s="74" t="s">
        <v>387</v>
      </c>
      <c r="D208" s="74" t="s">
        <v>323</v>
      </c>
      <c r="E208" s="74">
        <v>4.1625000000000004E-3</v>
      </c>
      <c r="F208" s="74" t="s">
        <v>389</v>
      </c>
      <c r="G208" s="74" t="s">
        <v>390</v>
      </c>
      <c r="H208" s="74" t="s">
        <v>587</v>
      </c>
      <c r="I208" s="1">
        <f t="shared" si="3"/>
        <v>4.1625000000000004E-3</v>
      </c>
    </row>
    <row r="209" spans="1:9" ht="12.5" x14ac:dyDescent="0.25">
      <c r="C209" s="74" t="s">
        <v>387</v>
      </c>
      <c r="D209" s="74" t="s">
        <v>321</v>
      </c>
      <c r="E209" s="74">
        <v>4.1250000000000002E-3</v>
      </c>
      <c r="F209" s="74" t="s">
        <v>389</v>
      </c>
      <c r="G209" s="74" t="s">
        <v>390</v>
      </c>
      <c r="H209" s="74" t="s">
        <v>587</v>
      </c>
      <c r="I209" s="1">
        <f t="shared" si="3"/>
        <v>4.1250000000000002E-3</v>
      </c>
    </row>
    <row r="210" spans="1:9" ht="12.5" x14ac:dyDescent="0.25">
      <c r="C210" s="74" t="s">
        <v>387</v>
      </c>
      <c r="D210" s="74" t="s">
        <v>598</v>
      </c>
      <c r="E210" s="74">
        <v>2.8275000000000002E-3</v>
      </c>
      <c r="F210" s="74" t="s">
        <v>389</v>
      </c>
      <c r="G210" s="74" t="s">
        <v>390</v>
      </c>
      <c r="H210" s="74" t="s">
        <v>587</v>
      </c>
      <c r="I210" s="1">
        <f t="shared" si="3"/>
        <v>2.8275000000000002E-3</v>
      </c>
    </row>
    <row r="211" spans="1:9" ht="12.5" x14ac:dyDescent="0.25">
      <c r="C211" s="74" t="s">
        <v>356</v>
      </c>
      <c r="D211" s="74" t="s">
        <v>335</v>
      </c>
      <c r="E211" s="74">
        <v>3.9749999999999996E-4</v>
      </c>
      <c r="F211" s="74" t="s">
        <v>389</v>
      </c>
      <c r="G211" s="74" t="s">
        <v>390</v>
      </c>
      <c r="H211" s="74" t="s">
        <v>587</v>
      </c>
      <c r="I211" s="1">
        <f t="shared" si="3"/>
        <v>3.9750000000000001E-4</v>
      </c>
    </row>
    <row r="212" spans="1:9" ht="12.5" x14ac:dyDescent="0.25">
      <c r="C212" s="74" t="s">
        <v>356</v>
      </c>
      <c r="D212" s="74" t="s">
        <v>331</v>
      </c>
      <c r="E212" s="75">
        <v>7.1822774999999998E-5</v>
      </c>
      <c r="F212" s="74" t="s">
        <v>389</v>
      </c>
      <c r="G212" s="74" t="s">
        <v>390</v>
      </c>
      <c r="H212" s="74" t="s">
        <v>587</v>
      </c>
      <c r="I212" s="1">
        <f t="shared" si="3"/>
        <v>7.1822774999999998E-5</v>
      </c>
    </row>
    <row r="213" spans="1:9" ht="12.5" x14ac:dyDescent="0.25">
      <c r="C213" s="74" t="s">
        <v>356</v>
      </c>
      <c r="D213" s="74" t="s">
        <v>333</v>
      </c>
      <c r="E213" s="75">
        <v>4.5796724999999996E-5</v>
      </c>
      <c r="F213" s="74" t="s">
        <v>389</v>
      </c>
      <c r="G213" s="74" t="s">
        <v>390</v>
      </c>
      <c r="H213" s="74" t="s">
        <v>587</v>
      </c>
      <c r="I213" s="1">
        <f t="shared" si="3"/>
        <v>4.5796724999999996E-5</v>
      </c>
    </row>
    <row r="214" spans="1:9" ht="12.5" x14ac:dyDescent="0.25">
      <c r="C214" s="74" t="s">
        <v>356</v>
      </c>
      <c r="D214" s="74" t="s">
        <v>325</v>
      </c>
      <c r="E214" s="75">
        <v>1.2750375000000001E-5</v>
      </c>
      <c r="F214" s="74" t="s">
        <v>389</v>
      </c>
      <c r="G214" s="74" t="s">
        <v>390</v>
      </c>
      <c r="H214" s="74" t="s">
        <v>587</v>
      </c>
      <c r="I214" s="1">
        <f t="shared" si="3"/>
        <v>1.2750374999999999E-5</v>
      </c>
    </row>
    <row r="215" spans="1:9" ht="12.5" x14ac:dyDescent="0.25">
      <c r="B215" s="74" t="s">
        <v>661</v>
      </c>
      <c r="D215" s="74" t="s">
        <v>337</v>
      </c>
      <c r="E215" s="74">
        <v>3.3979509518935518</v>
      </c>
      <c r="F215" s="74" t="s">
        <v>389</v>
      </c>
      <c r="G215" s="74" t="s">
        <v>390</v>
      </c>
      <c r="I215" s="1">
        <f t="shared" si="3"/>
        <v>2.1043612683303996</v>
      </c>
    </row>
    <row r="216" spans="1:9" ht="12.5" x14ac:dyDescent="0.25">
      <c r="A216" s="74" t="s">
        <v>289</v>
      </c>
      <c r="D216" s="74" t="s">
        <v>290</v>
      </c>
      <c r="E216" s="74" t="s">
        <v>291</v>
      </c>
      <c r="F216" s="74" t="s">
        <v>3</v>
      </c>
      <c r="I216" s="1" t="str">
        <f t="shared" si="3"/>
        <v>Amount</v>
      </c>
    </row>
    <row r="217" spans="1:9" ht="12.5" x14ac:dyDescent="0.25">
      <c r="A217" s="74" t="s">
        <v>292</v>
      </c>
      <c r="D217" s="74" t="s">
        <v>563</v>
      </c>
      <c r="E217" s="74">
        <v>2710.7398600000001</v>
      </c>
      <c r="F217" s="74" t="s">
        <v>376</v>
      </c>
      <c r="G217" s="74" t="s">
        <v>403</v>
      </c>
      <c r="I217" s="1">
        <f t="shared" si="3"/>
        <v>2710.7398600000001</v>
      </c>
    </row>
    <row r="218" spans="1:9" ht="12.5" x14ac:dyDescent="0.25">
      <c r="B218" s="74" t="s">
        <v>662</v>
      </c>
      <c r="D218" s="74" t="s">
        <v>565</v>
      </c>
      <c r="E218" s="74">
        <v>1292.3961400000001</v>
      </c>
      <c r="F218" s="74" t="s">
        <v>376</v>
      </c>
      <c r="G218" s="74" t="s">
        <v>403</v>
      </c>
      <c r="I218" s="1">
        <f t="shared" si="3"/>
        <v>1292.3961400000001</v>
      </c>
    </row>
    <row r="219" spans="1:9" ht="12.5" x14ac:dyDescent="0.25">
      <c r="C219" s="74" t="s">
        <v>663</v>
      </c>
      <c r="D219" s="74" t="s">
        <v>313</v>
      </c>
      <c r="E219" s="74">
        <v>719.92168000000004</v>
      </c>
      <c r="F219" s="74" t="s">
        <v>376</v>
      </c>
      <c r="G219" s="74" t="s">
        <v>403</v>
      </c>
      <c r="H219" s="74" t="s">
        <v>567</v>
      </c>
      <c r="I219" s="1">
        <f t="shared" si="3"/>
        <v>719.92168000000004</v>
      </c>
    </row>
    <row r="220" spans="1:9" ht="12.5" x14ac:dyDescent="0.25">
      <c r="C220" s="74" t="s">
        <v>664</v>
      </c>
      <c r="D220" s="74" t="s">
        <v>569</v>
      </c>
      <c r="E220" s="74">
        <v>325.76301000000001</v>
      </c>
      <c r="F220" s="74" t="s">
        <v>376</v>
      </c>
      <c r="G220" s="74" t="s">
        <v>403</v>
      </c>
      <c r="H220" s="74" t="s">
        <v>567</v>
      </c>
      <c r="I220" s="1">
        <f t="shared" si="3"/>
        <v>325.76301000000001</v>
      </c>
    </row>
    <row r="221" spans="1:9" ht="12.5" x14ac:dyDescent="0.25">
      <c r="C221" s="74" t="s">
        <v>665</v>
      </c>
      <c r="D221" s="74" t="s">
        <v>571</v>
      </c>
      <c r="E221" s="74">
        <v>85.114959999999996</v>
      </c>
      <c r="F221" s="74" t="s">
        <v>376</v>
      </c>
      <c r="G221" s="74" t="s">
        <v>403</v>
      </c>
      <c r="H221" s="74" t="s">
        <v>567</v>
      </c>
      <c r="I221" s="1">
        <f t="shared" si="3"/>
        <v>85.114959999999996</v>
      </c>
    </row>
    <row r="222" spans="1:9" ht="12.5" x14ac:dyDescent="0.25">
      <c r="C222" s="74" t="s">
        <v>555</v>
      </c>
      <c r="D222" s="74" t="s">
        <v>573</v>
      </c>
      <c r="E222" s="74">
        <v>74.071389999999994</v>
      </c>
      <c r="F222" s="74" t="s">
        <v>376</v>
      </c>
      <c r="G222" s="74" t="s">
        <v>403</v>
      </c>
      <c r="H222" s="74" t="s">
        <v>567</v>
      </c>
      <c r="I222" s="1">
        <f t="shared" si="3"/>
        <v>74.071389999999994</v>
      </c>
    </row>
    <row r="223" spans="1:9" ht="12.5" x14ac:dyDescent="0.25">
      <c r="C223" s="74" t="s">
        <v>666</v>
      </c>
      <c r="D223" s="74" t="s">
        <v>578</v>
      </c>
      <c r="E223" s="74">
        <v>24.073799999999999</v>
      </c>
      <c r="F223" s="74" t="s">
        <v>376</v>
      </c>
      <c r="G223" s="74" t="s">
        <v>403</v>
      </c>
      <c r="H223" s="74" t="s">
        <v>567</v>
      </c>
      <c r="I223" s="1">
        <f t="shared" si="3"/>
        <v>24.073799999999999</v>
      </c>
    </row>
    <row r="224" spans="1:9" ht="12.5" x14ac:dyDescent="0.25">
      <c r="C224" s="74" t="s">
        <v>645</v>
      </c>
      <c r="D224" s="74" t="s">
        <v>581</v>
      </c>
      <c r="E224" s="74">
        <v>20.409739999999999</v>
      </c>
      <c r="F224" s="74" t="s">
        <v>376</v>
      </c>
      <c r="G224" s="74" t="s">
        <v>403</v>
      </c>
      <c r="H224" s="74" t="s">
        <v>567</v>
      </c>
      <c r="I224" s="1">
        <f t="shared" si="3"/>
        <v>20.409739999999999</v>
      </c>
    </row>
    <row r="225" spans="2:9" ht="12.5" x14ac:dyDescent="0.25">
      <c r="C225" s="74" t="s">
        <v>667</v>
      </c>
      <c r="D225" s="74" t="s">
        <v>575</v>
      </c>
      <c r="E225" s="74">
        <v>17.445</v>
      </c>
      <c r="F225" s="74" t="s">
        <v>376</v>
      </c>
      <c r="G225" s="74" t="s">
        <v>403</v>
      </c>
      <c r="H225" s="74" t="s">
        <v>567</v>
      </c>
      <c r="I225" s="1">
        <f t="shared" si="3"/>
        <v>17.445</v>
      </c>
    </row>
    <row r="226" spans="2:9" ht="12.5" x14ac:dyDescent="0.25">
      <c r="C226" s="74" t="s">
        <v>668</v>
      </c>
      <c r="D226" s="74" t="s">
        <v>580</v>
      </c>
      <c r="E226" s="74">
        <v>9.4796700000000005</v>
      </c>
      <c r="F226" s="74" t="s">
        <v>376</v>
      </c>
      <c r="G226" s="74" t="s">
        <v>403</v>
      </c>
      <c r="H226" s="74" t="s">
        <v>567</v>
      </c>
      <c r="I226" s="1">
        <f t="shared" si="3"/>
        <v>9.4796700000000005</v>
      </c>
    </row>
    <row r="227" spans="2:9" ht="12.5" x14ac:dyDescent="0.25">
      <c r="C227" s="74" t="s">
        <v>436</v>
      </c>
      <c r="D227" s="74" t="s">
        <v>577</v>
      </c>
      <c r="E227" s="74">
        <v>6.7565499999999998</v>
      </c>
      <c r="F227" s="74" t="s">
        <v>376</v>
      </c>
      <c r="G227" s="74" t="s">
        <v>403</v>
      </c>
      <c r="H227" s="74" t="s">
        <v>567</v>
      </c>
      <c r="I227" s="1">
        <f t="shared" si="3"/>
        <v>6.7565499999999998</v>
      </c>
    </row>
    <row r="228" spans="2:9" ht="12.5" x14ac:dyDescent="0.25">
      <c r="C228" s="74" t="s">
        <v>669</v>
      </c>
      <c r="D228" s="74" t="s">
        <v>582</v>
      </c>
      <c r="E228" s="74">
        <v>3.18465</v>
      </c>
      <c r="F228" s="74" t="s">
        <v>376</v>
      </c>
      <c r="G228" s="74" t="s">
        <v>403</v>
      </c>
      <c r="H228" s="74" t="s">
        <v>567</v>
      </c>
      <c r="I228" s="1">
        <f t="shared" si="3"/>
        <v>3.18465</v>
      </c>
    </row>
    <row r="229" spans="2:9" ht="12.5" x14ac:dyDescent="0.25">
      <c r="C229" s="74" t="s">
        <v>374</v>
      </c>
      <c r="D229" s="74" t="s">
        <v>583</v>
      </c>
      <c r="E229" s="74">
        <v>3.0554700000000001</v>
      </c>
      <c r="F229" s="74" t="s">
        <v>376</v>
      </c>
      <c r="G229" s="74" t="s">
        <v>403</v>
      </c>
      <c r="H229" s="74" t="s">
        <v>567</v>
      </c>
      <c r="I229" s="1">
        <f t="shared" si="3"/>
        <v>3.0554700000000001</v>
      </c>
    </row>
    <row r="230" spans="2:9" ht="12.5" x14ac:dyDescent="0.25">
      <c r="C230" s="74" t="s">
        <v>354</v>
      </c>
      <c r="D230" s="74" t="s">
        <v>327</v>
      </c>
      <c r="E230" s="74">
        <v>0.75658999999999998</v>
      </c>
      <c r="F230" s="74" t="s">
        <v>376</v>
      </c>
      <c r="G230" s="74" t="s">
        <v>403</v>
      </c>
      <c r="H230" s="74" t="s">
        <v>567</v>
      </c>
      <c r="I230" s="1">
        <f t="shared" si="3"/>
        <v>0.75658999999999998</v>
      </c>
    </row>
    <row r="231" spans="2:9" ht="12.5" x14ac:dyDescent="0.25">
      <c r="C231" s="74" t="s">
        <v>355</v>
      </c>
      <c r="D231" s="74" t="s">
        <v>315</v>
      </c>
      <c r="E231" s="74">
        <v>0.66612000000000005</v>
      </c>
      <c r="F231" s="74" t="s">
        <v>376</v>
      </c>
      <c r="G231" s="74" t="s">
        <v>403</v>
      </c>
      <c r="H231" s="74" t="s">
        <v>567</v>
      </c>
      <c r="I231" s="1">
        <f t="shared" si="3"/>
        <v>0.66612000000000005</v>
      </c>
    </row>
    <row r="232" spans="2:9" ht="12.5" x14ac:dyDescent="0.25">
      <c r="C232" s="74" t="s">
        <v>387</v>
      </c>
      <c r="D232" s="74" t="s">
        <v>323</v>
      </c>
      <c r="E232" s="74">
        <v>0.34855999999999998</v>
      </c>
      <c r="F232" s="74" t="s">
        <v>376</v>
      </c>
      <c r="G232" s="74" t="s">
        <v>403</v>
      </c>
      <c r="H232" s="74" t="s">
        <v>567</v>
      </c>
      <c r="I232" s="1">
        <f t="shared" si="3"/>
        <v>0.34855999999999998</v>
      </c>
    </row>
    <row r="233" spans="2:9" ht="12.5" x14ac:dyDescent="0.25">
      <c r="C233" s="74" t="s">
        <v>387</v>
      </c>
      <c r="D233" s="74" t="s">
        <v>319</v>
      </c>
      <c r="E233" s="74">
        <v>0.29425000000000001</v>
      </c>
      <c r="F233" s="74" t="s">
        <v>376</v>
      </c>
      <c r="G233" s="74" t="s">
        <v>403</v>
      </c>
      <c r="H233" s="74" t="s">
        <v>567</v>
      </c>
      <c r="I233" s="1">
        <f t="shared" si="3"/>
        <v>0.29425000000000001</v>
      </c>
    </row>
    <row r="234" spans="2:9" ht="12.5" x14ac:dyDescent="0.25">
      <c r="C234" s="74" t="s">
        <v>387</v>
      </c>
      <c r="D234" s="74" t="s">
        <v>317</v>
      </c>
      <c r="E234" s="74">
        <v>0.27721000000000001</v>
      </c>
      <c r="F234" s="74" t="s">
        <v>376</v>
      </c>
      <c r="G234" s="74" t="s">
        <v>403</v>
      </c>
      <c r="H234" s="74" t="s">
        <v>567</v>
      </c>
      <c r="I234" s="1">
        <f t="shared" si="3"/>
        <v>0.27721000000000001</v>
      </c>
    </row>
    <row r="235" spans="2:9" ht="12.5" x14ac:dyDescent="0.25">
      <c r="C235" s="74" t="s">
        <v>387</v>
      </c>
      <c r="D235" s="74" t="s">
        <v>584</v>
      </c>
      <c r="E235" s="74">
        <v>0.26450000000000001</v>
      </c>
      <c r="F235" s="74" t="s">
        <v>376</v>
      </c>
      <c r="G235" s="74" t="s">
        <v>403</v>
      </c>
      <c r="H235" s="74" t="s">
        <v>567</v>
      </c>
      <c r="I235" s="1">
        <f t="shared" si="3"/>
        <v>0.26450000000000001</v>
      </c>
    </row>
    <row r="236" spans="2:9" ht="12.5" x14ac:dyDescent="0.25">
      <c r="C236" s="74" t="s">
        <v>387</v>
      </c>
      <c r="D236" s="74" t="s">
        <v>329</v>
      </c>
      <c r="E236" s="74">
        <v>0.24127999999999999</v>
      </c>
      <c r="F236" s="74" t="s">
        <v>376</v>
      </c>
      <c r="G236" s="74" t="s">
        <v>403</v>
      </c>
      <c r="H236" s="74" t="s">
        <v>567</v>
      </c>
      <c r="I236" s="1">
        <f t="shared" si="3"/>
        <v>0.24127999999999999</v>
      </c>
    </row>
    <row r="237" spans="2:9" ht="12.5" x14ac:dyDescent="0.25">
      <c r="C237" s="74" t="s">
        <v>387</v>
      </c>
      <c r="D237" s="74" t="s">
        <v>321</v>
      </c>
      <c r="E237" s="74">
        <v>0.14407</v>
      </c>
      <c r="F237" s="74" t="s">
        <v>376</v>
      </c>
      <c r="G237" s="74" t="s">
        <v>403</v>
      </c>
      <c r="H237" s="74" t="s">
        <v>567</v>
      </c>
      <c r="I237" s="1">
        <f t="shared" si="3"/>
        <v>0.14407</v>
      </c>
    </row>
    <row r="238" spans="2:9" ht="12.5" x14ac:dyDescent="0.25">
      <c r="C238" s="74" t="s">
        <v>356</v>
      </c>
      <c r="D238" s="74" t="s">
        <v>325</v>
      </c>
      <c r="E238" s="74">
        <v>0.12764</v>
      </c>
      <c r="F238" s="74" t="s">
        <v>376</v>
      </c>
      <c r="G238" s="74" t="s">
        <v>403</v>
      </c>
      <c r="H238" s="74" t="s">
        <v>567</v>
      </c>
      <c r="I238" s="1">
        <f t="shared" ref="I238:I301" si="4">IF(H238="Server",E238*$L$8/$M$8,IF(D238="market for electricity, low voltage | electricity, low voltage | APOS, U - FR",E238*$L$5/$M$5,E238))</f>
        <v>0.12764</v>
      </c>
    </row>
    <row r="239" spans="2:9" ht="12.5" x14ac:dyDescent="0.25">
      <c r="B239" s="74" t="s">
        <v>670</v>
      </c>
      <c r="D239" s="74" t="s">
        <v>586</v>
      </c>
      <c r="E239" s="74">
        <v>802.00589250000007</v>
      </c>
      <c r="F239" s="74" t="s">
        <v>376</v>
      </c>
      <c r="G239" s="74" t="s">
        <v>403</v>
      </c>
      <c r="H239" s="74" t="s">
        <v>587</v>
      </c>
      <c r="I239" s="1">
        <f t="shared" si="4"/>
        <v>802.00589249999996</v>
      </c>
    </row>
    <row r="240" spans="2:9" ht="12.5" x14ac:dyDescent="0.25">
      <c r="C240" s="74" t="s">
        <v>671</v>
      </c>
      <c r="D240" s="74" t="s">
        <v>299</v>
      </c>
      <c r="E240" s="74">
        <v>232.03462500000001</v>
      </c>
      <c r="F240" s="74" t="s">
        <v>376</v>
      </c>
      <c r="G240" s="74" t="s">
        <v>403</v>
      </c>
      <c r="H240" s="74" t="s">
        <v>587</v>
      </c>
      <c r="I240" s="1">
        <f t="shared" si="4"/>
        <v>232.03462500000001</v>
      </c>
    </row>
    <row r="241" spans="3:9" ht="12.5" x14ac:dyDescent="0.25">
      <c r="C241" s="74" t="s">
        <v>672</v>
      </c>
      <c r="D241" s="74" t="s">
        <v>313</v>
      </c>
      <c r="E241" s="74">
        <v>228.13518000000002</v>
      </c>
      <c r="F241" s="74" t="s">
        <v>376</v>
      </c>
      <c r="G241" s="74" t="s">
        <v>403</v>
      </c>
      <c r="H241" s="74" t="s">
        <v>587</v>
      </c>
      <c r="I241" s="1">
        <f t="shared" si="4"/>
        <v>228.13518000000002</v>
      </c>
    </row>
    <row r="242" spans="3:9" ht="12.5" x14ac:dyDescent="0.25">
      <c r="C242" s="74" t="s">
        <v>673</v>
      </c>
      <c r="D242" s="74" t="s">
        <v>592</v>
      </c>
      <c r="E242" s="74">
        <v>150.77924999999999</v>
      </c>
      <c r="F242" s="74" t="s">
        <v>376</v>
      </c>
      <c r="G242" s="74" t="s">
        <v>403</v>
      </c>
      <c r="H242" s="74" t="s">
        <v>587</v>
      </c>
      <c r="I242" s="1">
        <f t="shared" si="4"/>
        <v>150.77924999999999</v>
      </c>
    </row>
    <row r="243" spans="3:9" ht="12.5" x14ac:dyDescent="0.25">
      <c r="C243" s="74" t="s">
        <v>310</v>
      </c>
      <c r="D243" s="74" t="s">
        <v>301</v>
      </c>
      <c r="E243" s="74">
        <v>69.902737500000001</v>
      </c>
      <c r="F243" s="74" t="s">
        <v>376</v>
      </c>
      <c r="G243" s="74" t="s">
        <v>403</v>
      </c>
      <c r="H243" s="74" t="s">
        <v>587</v>
      </c>
      <c r="I243" s="1">
        <f t="shared" si="4"/>
        <v>69.902737500000001</v>
      </c>
    </row>
    <row r="244" spans="3:9" ht="12.5" x14ac:dyDescent="0.25">
      <c r="C244" s="74" t="s">
        <v>674</v>
      </c>
      <c r="D244" s="74" t="s">
        <v>309</v>
      </c>
      <c r="E244" s="74">
        <v>42.853177500000001</v>
      </c>
      <c r="F244" s="74" t="s">
        <v>376</v>
      </c>
      <c r="G244" s="74" t="s">
        <v>403</v>
      </c>
      <c r="H244" s="74" t="s">
        <v>587</v>
      </c>
      <c r="I244" s="1">
        <f t="shared" si="4"/>
        <v>42.853177499999994</v>
      </c>
    </row>
    <row r="245" spans="3:9" ht="12.5" x14ac:dyDescent="0.25">
      <c r="C245" s="74" t="s">
        <v>674</v>
      </c>
      <c r="D245" s="74" t="s">
        <v>303</v>
      </c>
      <c r="E245" s="74">
        <v>42.818062499999996</v>
      </c>
      <c r="F245" s="74" t="s">
        <v>376</v>
      </c>
      <c r="G245" s="74" t="s">
        <v>403</v>
      </c>
      <c r="H245" s="74" t="s">
        <v>587</v>
      </c>
      <c r="I245" s="1">
        <f t="shared" si="4"/>
        <v>42.818062499999996</v>
      </c>
    </row>
    <row r="246" spans="3:9" ht="12.5" x14ac:dyDescent="0.25">
      <c r="C246" s="74" t="s">
        <v>675</v>
      </c>
      <c r="D246" s="74" t="s">
        <v>311</v>
      </c>
      <c r="E246" s="74">
        <v>22.257570000000001</v>
      </c>
      <c r="F246" s="74" t="s">
        <v>376</v>
      </c>
      <c r="G246" s="74" t="s">
        <v>403</v>
      </c>
      <c r="H246" s="74" t="s">
        <v>587</v>
      </c>
      <c r="I246" s="1">
        <f t="shared" si="4"/>
        <v>22.257570000000001</v>
      </c>
    </row>
    <row r="247" spans="3:9" ht="12.5" x14ac:dyDescent="0.25">
      <c r="C247" s="74" t="s">
        <v>521</v>
      </c>
      <c r="D247" s="74" t="s">
        <v>327</v>
      </c>
      <c r="E247" s="74">
        <v>3.9405824999999997</v>
      </c>
      <c r="F247" s="74" t="s">
        <v>376</v>
      </c>
      <c r="G247" s="74" t="s">
        <v>403</v>
      </c>
      <c r="H247" s="74" t="s">
        <v>587</v>
      </c>
      <c r="I247" s="1">
        <f t="shared" si="4"/>
        <v>3.9405824999999997</v>
      </c>
    </row>
    <row r="248" spans="3:9" ht="12.5" x14ac:dyDescent="0.25">
      <c r="C248" s="74" t="s">
        <v>521</v>
      </c>
      <c r="D248" s="74" t="s">
        <v>315</v>
      </c>
      <c r="E248" s="74">
        <v>3.8357625</v>
      </c>
      <c r="F248" s="74" t="s">
        <v>376</v>
      </c>
      <c r="G248" s="74" t="s">
        <v>403</v>
      </c>
      <c r="H248" s="74" t="s">
        <v>587</v>
      </c>
      <c r="I248" s="1">
        <f t="shared" si="4"/>
        <v>3.8357625</v>
      </c>
    </row>
    <row r="249" spans="3:9" ht="12.5" x14ac:dyDescent="0.25">
      <c r="C249" s="74" t="s">
        <v>330</v>
      </c>
      <c r="D249" s="74" t="s">
        <v>319</v>
      </c>
      <c r="E249" s="74">
        <v>1.776885</v>
      </c>
      <c r="F249" s="74" t="s">
        <v>376</v>
      </c>
      <c r="G249" s="74" t="s">
        <v>403</v>
      </c>
      <c r="H249" s="74" t="s">
        <v>587</v>
      </c>
      <c r="I249" s="1">
        <f t="shared" si="4"/>
        <v>1.776885</v>
      </c>
    </row>
    <row r="250" spans="3:9" ht="12.5" x14ac:dyDescent="0.25">
      <c r="C250" s="74" t="s">
        <v>401</v>
      </c>
      <c r="D250" s="74" t="s">
        <v>598</v>
      </c>
      <c r="E250" s="74">
        <v>1.2566474999999999</v>
      </c>
      <c r="F250" s="74" t="s">
        <v>376</v>
      </c>
      <c r="G250" s="74" t="s">
        <v>403</v>
      </c>
      <c r="H250" s="74" t="s">
        <v>587</v>
      </c>
      <c r="I250" s="1">
        <f t="shared" si="4"/>
        <v>1.2566474999999999</v>
      </c>
    </row>
    <row r="251" spans="3:9" ht="12.5" x14ac:dyDescent="0.25">
      <c r="C251" s="74" t="s">
        <v>401</v>
      </c>
      <c r="D251" s="74" t="s">
        <v>317</v>
      </c>
      <c r="E251" s="74">
        <v>1.2229800000000002</v>
      </c>
      <c r="F251" s="74" t="s">
        <v>376</v>
      </c>
      <c r="G251" s="74" t="s">
        <v>403</v>
      </c>
      <c r="H251" s="74" t="s">
        <v>587</v>
      </c>
      <c r="I251" s="1">
        <f t="shared" si="4"/>
        <v>1.2229800000000002</v>
      </c>
    </row>
    <row r="252" spans="3:9" ht="12.5" x14ac:dyDescent="0.25">
      <c r="C252" s="74" t="s">
        <v>354</v>
      </c>
      <c r="D252" s="74" t="s">
        <v>321</v>
      </c>
      <c r="E252" s="74">
        <v>0.63561749999999995</v>
      </c>
      <c r="F252" s="74" t="s">
        <v>376</v>
      </c>
      <c r="G252" s="74" t="s">
        <v>403</v>
      </c>
      <c r="H252" s="74" t="s">
        <v>587</v>
      </c>
      <c r="I252" s="1">
        <f t="shared" si="4"/>
        <v>0.63561749999999995</v>
      </c>
    </row>
    <row r="253" spans="3:9" ht="12.5" x14ac:dyDescent="0.25">
      <c r="C253" s="74" t="s">
        <v>355</v>
      </c>
      <c r="D253" s="74" t="s">
        <v>323</v>
      </c>
      <c r="E253" s="74">
        <v>0.38341500000000001</v>
      </c>
      <c r="F253" s="74" t="s">
        <v>376</v>
      </c>
      <c r="G253" s="74" t="s">
        <v>403</v>
      </c>
      <c r="H253" s="74" t="s">
        <v>587</v>
      </c>
      <c r="I253" s="1">
        <f t="shared" si="4"/>
        <v>0.38341500000000001</v>
      </c>
    </row>
    <row r="254" spans="3:9" ht="12.5" x14ac:dyDescent="0.25">
      <c r="C254" s="74" t="s">
        <v>356</v>
      </c>
      <c r="D254" s="74" t="s">
        <v>333</v>
      </c>
      <c r="E254" s="74">
        <v>9.8085000000000006E-2</v>
      </c>
      <c r="F254" s="74" t="s">
        <v>376</v>
      </c>
      <c r="G254" s="74" t="s">
        <v>403</v>
      </c>
      <c r="H254" s="74" t="s">
        <v>587</v>
      </c>
      <c r="I254" s="1">
        <f t="shared" si="4"/>
        <v>9.8085000000000019E-2</v>
      </c>
    </row>
    <row r="255" spans="3:9" ht="12.5" x14ac:dyDescent="0.25">
      <c r="C255" s="74" t="s">
        <v>356</v>
      </c>
      <c r="D255" s="74" t="s">
        <v>331</v>
      </c>
      <c r="E255" s="74">
        <v>3.7139999999999999E-2</v>
      </c>
      <c r="F255" s="74" t="s">
        <v>376</v>
      </c>
      <c r="G255" s="74" t="s">
        <v>403</v>
      </c>
      <c r="H255" s="74" t="s">
        <v>587</v>
      </c>
      <c r="I255" s="1">
        <f t="shared" si="4"/>
        <v>3.7139999999999999E-2</v>
      </c>
    </row>
    <row r="256" spans="3:9" ht="12.5" x14ac:dyDescent="0.25">
      <c r="C256" s="74" t="s">
        <v>356</v>
      </c>
      <c r="D256" s="74" t="s">
        <v>335</v>
      </c>
      <c r="E256" s="74">
        <v>2.7952499999999998E-2</v>
      </c>
      <c r="F256" s="74" t="s">
        <v>376</v>
      </c>
      <c r="G256" s="74" t="s">
        <v>403</v>
      </c>
      <c r="H256" s="74" t="s">
        <v>587</v>
      </c>
      <c r="I256" s="1">
        <f t="shared" si="4"/>
        <v>2.7952500000000002E-2</v>
      </c>
    </row>
    <row r="257" spans="1:9" ht="12.5" x14ac:dyDescent="0.25">
      <c r="C257" s="74" t="s">
        <v>356</v>
      </c>
      <c r="D257" s="74" t="s">
        <v>325</v>
      </c>
      <c r="E257" s="74">
        <v>1.0215E-2</v>
      </c>
      <c r="F257" s="74" t="s">
        <v>376</v>
      </c>
      <c r="G257" s="74" t="s">
        <v>403</v>
      </c>
      <c r="H257" s="74" t="s">
        <v>587</v>
      </c>
      <c r="I257" s="1">
        <f t="shared" si="4"/>
        <v>1.0215E-2</v>
      </c>
    </row>
    <row r="258" spans="1:9" ht="12.5" x14ac:dyDescent="0.25">
      <c r="B258" s="74" t="s">
        <v>676</v>
      </c>
      <c r="D258" s="74" t="s">
        <v>337</v>
      </c>
      <c r="E258" s="74">
        <v>582.98070141248729</v>
      </c>
      <c r="F258" s="74" t="s">
        <v>376</v>
      </c>
      <c r="G258" s="74" t="s">
        <v>403</v>
      </c>
      <c r="I258" s="1">
        <f t="shared" si="4"/>
        <v>361.04170590010324</v>
      </c>
    </row>
    <row r="259" spans="1:9" ht="12.5" x14ac:dyDescent="0.25">
      <c r="A259" s="74" t="s">
        <v>289</v>
      </c>
      <c r="D259" s="74" t="s">
        <v>290</v>
      </c>
      <c r="E259" s="74" t="s">
        <v>291</v>
      </c>
      <c r="F259" s="74" t="s">
        <v>3</v>
      </c>
      <c r="I259" s="1" t="str">
        <f t="shared" si="4"/>
        <v>Amount</v>
      </c>
    </row>
    <row r="260" spans="1:9" ht="12.5" x14ac:dyDescent="0.25">
      <c r="A260" s="74" t="s">
        <v>292</v>
      </c>
      <c r="D260" s="74" t="s">
        <v>563</v>
      </c>
      <c r="E260" s="75">
        <v>266851</v>
      </c>
      <c r="F260" s="74" t="s">
        <v>376</v>
      </c>
      <c r="G260" s="74" t="s">
        <v>417</v>
      </c>
      <c r="I260" s="1">
        <f t="shared" si="4"/>
        <v>266851</v>
      </c>
    </row>
    <row r="261" spans="1:9" ht="12.5" x14ac:dyDescent="0.25">
      <c r="B261" s="74" t="s">
        <v>677</v>
      </c>
      <c r="D261" s="74" t="s">
        <v>565</v>
      </c>
      <c r="E261" s="75">
        <v>151401</v>
      </c>
      <c r="F261" s="74" t="s">
        <v>376</v>
      </c>
      <c r="G261" s="74" t="s">
        <v>417</v>
      </c>
      <c r="I261" s="1">
        <f t="shared" si="4"/>
        <v>151401</v>
      </c>
    </row>
    <row r="262" spans="1:9" ht="12.5" x14ac:dyDescent="0.25">
      <c r="C262" s="74" t="s">
        <v>678</v>
      </c>
      <c r="D262" s="74" t="s">
        <v>313</v>
      </c>
      <c r="E262" s="75">
        <v>105566</v>
      </c>
      <c r="F262" s="74" t="s">
        <v>376</v>
      </c>
      <c r="G262" s="74" t="s">
        <v>417</v>
      </c>
      <c r="H262" s="74" t="s">
        <v>567</v>
      </c>
      <c r="I262" s="1">
        <f t="shared" si="4"/>
        <v>105566</v>
      </c>
    </row>
    <row r="263" spans="1:9" ht="12.5" x14ac:dyDescent="0.25">
      <c r="C263" s="74" t="s">
        <v>679</v>
      </c>
      <c r="D263" s="74" t="s">
        <v>569</v>
      </c>
      <c r="E263" s="75">
        <v>25764.6</v>
      </c>
      <c r="F263" s="74" t="s">
        <v>376</v>
      </c>
      <c r="G263" s="74" t="s">
        <v>417</v>
      </c>
      <c r="H263" s="74" t="s">
        <v>567</v>
      </c>
      <c r="I263" s="1">
        <f t="shared" si="4"/>
        <v>25764.6</v>
      </c>
    </row>
    <row r="264" spans="1:9" ht="12.5" x14ac:dyDescent="0.25">
      <c r="C264" s="74" t="s">
        <v>680</v>
      </c>
      <c r="D264" s="74" t="s">
        <v>573</v>
      </c>
      <c r="E264" s="74">
        <v>6684.7647500000003</v>
      </c>
      <c r="F264" s="74" t="s">
        <v>376</v>
      </c>
      <c r="G264" s="74" t="s">
        <v>417</v>
      </c>
      <c r="H264" s="74" t="s">
        <v>567</v>
      </c>
      <c r="I264" s="1">
        <f t="shared" si="4"/>
        <v>6684.7647500000003</v>
      </c>
    </row>
    <row r="265" spans="1:9" ht="12.5" x14ac:dyDescent="0.25">
      <c r="C265" s="74" t="s">
        <v>681</v>
      </c>
      <c r="D265" s="74" t="s">
        <v>571</v>
      </c>
      <c r="E265" s="74">
        <v>5539.8149400000002</v>
      </c>
      <c r="F265" s="74" t="s">
        <v>376</v>
      </c>
      <c r="G265" s="74" t="s">
        <v>417</v>
      </c>
      <c r="H265" s="74" t="s">
        <v>567</v>
      </c>
      <c r="I265" s="1">
        <f t="shared" si="4"/>
        <v>5539.8149400000002</v>
      </c>
    </row>
    <row r="266" spans="1:9" ht="12.5" x14ac:dyDescent="0.25">
      <c r="C266" s="74" t="s">
        <v>682</v>
      </c>
      <c r="D266" s="74" t="s">
        <v>581</v>
      </c>
      <c r="E266" s="74">
        <v>3580.3932199999999</v>
      </c>
      <c r="F266" s="74" t="s">
        <v>376</v>
      </c>
      <c r="G266" s="74" t="s">
        <v>417</v>
      </c>
      <c r="H266" s="74" t="s">
        <v>567</v>
      </c>
      <c r="I266" s="1">
        <f t="shared" si="4"/>
        <v>3580.3932199999999</v>
      </c>
    </row>
    <row r="267" spans="1:9" ht="12.5" x14ac:dyDescent="0.25">
      <c r="C267" s="74" t="s">
        <v>683</v>
      </c>
      <c r="D267" s="74" t="s">
        <v>575</v>
      </c>
      <c r="E267" s="74">
        <v>1416.6138800000001</v>
      </c>
      <c r="F267" s="74" t="s">
        <v>376</v>
      </c>
      <c r="G267" s="74" t="s">
        <v>417</v>
      </c>
      <c r="H267" s="74" t="s">
        <v>567</v>
      </c>
      <c r="I267" s="1">
        <f t="shared" si="4"/>
        <v>1416.6138800000001</v>
      </c>
    </row>
    <row r="268" spans="1:9" ht="12.5" x14ac:dyDescent="0.25">
      <c r="C268" s="74" t="s">
        <v>413</v>
      </c>
      <c r="D268" s="74" t="s">
        <v>578</v>
      </c>
      <c r="E268" s="74">
        <v>963.00007000000005</v>
      </c>
      <c r="F268" s="74" t="s">
        <v>376</v>
      </c>
      <c r="G268" s="74" t="s">
        <v>417</v>
      </c>
      <c r="H268" s="74" t="s">
        <v>567</v>
      </c>
      <c r="I268" s="1">
        <f t="shared" si="4"/>
        <v>963.00007000000005</v>
      </c>
    </row>
    <row r="269" spans="1:9" ht="12.5" x14ac:dyDescent="0.25">
      <c r="C269" s="74" t="s">
        <v>324</v>
      </c>
      <c r="D269" s="74" t="s">
        <v>580</v>
      </c>
      <c r="E269" s="74">
        <v>822.34914000000003</v>
      </c>
      <c r="F269" s="74" t="s">
        <v>376</v>
      </c>
      <c r="G269" s="74" t="s">
        <v>417</v>
      </c>
      <c r="H269" s="74" t="s">
        <v>567</v>
      </c>
      <c r="I269" s="1">
        <f t="shared" si="4"/>
        <v>822.34914000000003</v>
      </c>
    </row>
    <row r="270" spans="1:9" ht="12.5" x14ac:dyDescent="0.25">
      <c r="C270" s="74" t="s">
        <v>491</v>
      </c>
      <c r="D270" s="74" t="s">
        <v>577</v>
      </c>
      <c r="E270" s="74">
        <v>402.99610999999999</v>
      </c>
      <c r="F270" s="74" t="s">
        <v>376</v>
      </c>
      <c r="G270" s="74" t="s">
        <v>417</v>
      </c>
      <c r="H270" s="74" t="s">
        <v>567</v>
      </c>
      <c r="I270" s="1">
        <f t="shared" si="4"/>
        <v>402.99610999999999</v>
      </c>
    </row>
    <row r="271" spans="1:9" ht="12.5" x14ac:dyDescent="0.25">
      <c r="C271" s="74" t="s">
        <v>491</v>
      </c>
      <c r="D271" s="74" t="s">
        <v>583</v>
      </c>
      <c r="E271" s="74">
        <v>394.11718000000002</v>
      </c>
      <c r="F271" s="74" t="s">
        <v>376</v>
      </c>
      <c r="G271" s="74" t="s">
        <v>417</v>
      </c>
      <c r="H271" s="74" t="s">
        <v>567</v>
      </c>
      <c r="I271" s="1">
        <f t="shared" si="4"/>
        <v>394.11718000000002</v>
      </c>
    </row>
    <row r="272" spans="1:9" ht="12.5" x14ac:dyDescent="0.25">
      <c r="C272" s="74" t="s">
        <v>401</v>
      </c>
      <c r="D272" s="74" t="s">
        <v>582</v>
      </c>
      <c r="E272" s="74">
        <v>170.82057</v>
      </c>
      <c r="F272" s="74" t="s">
        <v>376</v>
      </c>
      <c r="G272" s="74" t="s">
        <v>417</v>
      </c>
      <c r="H272" s="74" t="s">
        <v>567</v>
      </c>
      <c r="I272" s="1">
        <f t="shared" si="4"/>
        <v>170.82057</v>
      </c>
    </row>
    <row r="273" spans="2:9" ht="12.5" x14ac:dyDescent="0.25">
      <c r="C273" s="74" t="s">
        <v>387</v>
      </c>
      <c r="D273" s="74" t="s">
        <v>584</v>
      </c>
      <c r="E273" s="74">
        <v>35.393880000000003</v>
      </c>
      <c r="F273" s="74" t="s">
        <v>376</v>
      </c>
      <c r="G273" s="74" t="s">
        <v>417</v>
      </c>
      <c r="H273" s="74" t="s">
        <v>567</v>
      </c>
      <c r="I273" s="1">
        <f t="shared" si="4"/>
        <v>35.393880000000003</v>
      </c>
    </row>
    <row r="274" spans="2:9" ht="12.5" x14ac:dyDescent="0.25">
      <c r="C274" s="74" t="s">
        <v>387</v>
      </c>
      <c r="D274" s="74" t="s">
        <v>315</v>
      </c>
      <c r="E274" s="74">
        <v>25.916920000000001</v>
      </c>
      <c r="F274" s="74" t="s">
        <v>376</v>
      </c>
      <c r="G274" s="74" t="s">
        <v>417</v>
      </c>
      <c r="H274" s="74" t="s">
        <v>567</v>
      </c>
      <c r="I274" s="1">
        <f t="shared" si="4"/>
        <v>25.916920000000001</v>
      </c>
    </row>
    <row r="275" spans="2:9" ht="12.5" x14ac:dyDescent="0.25">
      <c r="C275" s="74" t="s">
        <v>356</v>
      </c>
      <c r="D275" s="74" t="s">
        <v>323</v>
      </c>
      <c r="E275" s="74">
        <v>10.50234</v>
      </c>
      <c r="F275" s="74" t="s">
        <v>376</v>
      </c>
      <c r="G275" s="74" t="s">
        <v>417</v>
      </c>
      <c r="H275" s="74" t="s">
        <v>567</v>
      </c>
      <c r="I275" s="1">
        <f t="shared" si="4"/>
        <v>10.50234</v>
      </c>
    </row>
    <row r="276" spans="2:9" ht="12.5" x14ac:dyDescent="0.25">
      <c r="C276" s="74" t="s">
        <v>356</v>
      </c>
      <c r="D276" s="74" t="s">
        <v>325</v>
      </c>
      <c r="E276" s="74">
        <v>8.1967599999999994</v>
      </c>
      <c r="F276" s="74" t="s">
        <v>376</v>
      </c>
      <c r="G276" s="74" t="s">
        <v>417</v>
      </c>
      <c r="H276" s="74" t="s">
        <v>567</v>
      </c>
      <c r="I276" s="1">
        <f t="shared" si="4"/>
        <v>8.1967599999999994</v>
      </c>
    </row>
    <row r="277" spans="2:9" ht="12.5" x14ac:dyDescent="0.25">
      <c r="C277" s="74" t="s">
        <v>356</v>
      </c>
      <c r="D277" s="74" t="s">
        <v>317</v>
      </c>
      <c r="E277" s="74">
        <v>7.8163600000000004</v>
      </c>
      <c r="F277" s="74" t="s">
        <v>376</v>
      </c>
      <c r="G277" s="74" t="s">
        <v>417</v>
      </c>
      <c r="H277" s="74" t="s">
        <v>567</v>
      </c>
      <c r="I277" s="1">
        <f t="shared" si="4"/>
        <v>7.8163600000000004</v>
      </c>
    </row>
    <row r="278" spans="2:9" ht="12.5" x14ac:dyDescent="0.25">
      <c r="C278" s="74" t="s">
        <v>356</v>
      </c>
      <c r="D278" s="74" t="s">
        <v>327</v>
      </c>
      <c r="E278" s="74">
        <v>2.47505</v>
      </c>
      <c r="F278" s="74" t="s">
        <v>376</v>
      </c>
      <c r="G278" s="74" t="s">
        <v>417</v>
      </c>
      <c r="H278" s="74" t="s">
        <v>567</v>
      </c>
      <c r="I278" s="1">
        <f t="shared" si="4"/>
        <v>2.47505</v>
      </c>
    </row>
    <row r="279" spans="2:9" ht="12.5" x14ac:dyDescent="0.25">
      <c r="C279" s="74" t="s">
        <v>356</v>
      </c>
      <c r="D279" s="74" t="s">
        <v>319</v>
      </c>
      <c r="E279" s="74">
        <v>2.4316300000000002</v>
      </c>
      <c r="F279" s="74" t="s">
        <v>376</v>
      </c>
      <c r="G279" s="74" t="s">
        <v>417</v>
      </c>
      <c r="H279" s="74" t="s">
        <v>567</v>
      </c>
      <c r="I279" s="1">
        <f t="shared" si="4"/>
        <v>2.4316300000000002</v>
      </c>
    </row>
    <row r="280" spans="2:9" ht="12.5" x14ac:dyDescent="0.25">
      <c r="C280" s="74" t="s">
        <v>356</v>
      </c>
      <c r="D280" s="74" t="s">
        <v>329</v>
      </c>
      <c r="E280" s="74">
        <v>2.24634</v>
      </c>
      <c r="F280" s="74" t="s">
        <v>376</v>
      </c>
      <c r="G280" s="74" t="s">
        <v>417</v>
      </c>
      <c r="H280" s="74" t="s">
        <v>567</v>
      </c>
      <c r="I280" s="1">
        <f t="shared" si="4"/>
        <v>2.24634</v>
      </c>
    </row>
    <row r="281" spans="2:9" ht="12.5" x14ac:dyDescent="0.25">
      <c r="C281" s="74" t="s">
        <v>356</v>
      </c>
      <c r="D281" s="74" t="s">
        <v>321</v>
      </c>
      <c r="E281" s="74">
        <v>1.2124600000000001</v>
      </c>
      <c r="F281" s="74" t="s">
        <v>376</v>
      </c>
      <c r="G281" s="74" t="s">
        <v>417</v>
      </c>
      <c r="H281" s="74" t="s">
        <v>567</v>
      </c>
      <c r="I281" s="1">
        <f t="shared" si="4"/>
        <v>1.2124600000000001</v>
      </c>
    </row>
    <row r="282" spans="2:9" ht="12.5" x14ac:dyDescent="0.25">
      <c r="B282" s="74" t="s">
        <v>684</v>
      </c>
      <c r="D282" s="74" t="s">
        <v>586</v>
      </c>
      <c r="E282" s="75">
        <v>80609.25</v>
      </c>
      <c r="F282" s="74" t="s">
        <v>376</v>
      </c>
      <c r="G282" s="74" t="s">
        <v>417</v>
      </c>
      <c r="H282" s="74" t="s">
        <v>587</v>
      </c>
      <c r="I282" s="1">
        <f t="shared" si="4"/>
        <v>80609.25</v>
      </c>
    </row>
    <row r="283" spans="2:9" ht="12.5" x14ac:dyDescent="0.25">
      <c r="C283" s="74" t="s">
        <v>685</v>
      </c>
      <c r="D283" s="74" t="s">
        <v>313</v>
      </c>
      <c r="E283" s="75">
        <v>33452.550000000003</v>
      </c>
      <c r="F283" s="74" t="s">
        <v>376</v>
      </c>
      <c r="G283" s="74" t="s">
        <v>417</v>
      </c>
      <c r="H283" s="74" t="s">
        <v>587</v>
      </c>
      <c r="I283" s="1">
        <f t="shared" si="4"/>
        <v>33452.550000000003</v>
      </c>
    </row>
    <row r="284" spans="2:9" ht="12.5" x14ac:dyDescent="0.25">
      <c r="C284" s="74" t="s">
        <v>686</v>
      </c>
      <c r="D284" s="74" t="s">
        <v>299</v>
      </c>
      <c r="E284" s="75">
        <v>31631.699999999997</v>
      </c>
      <c r="F284" s="74" t="s">
        <v>376</v>
      </c>
      <c r="G284" s="74" t="s">
        <v>417</v>
      </c>
      <c r="H284" s="74" t="s">
        <v>587</v>
      </c>
      <c r="I284" s="1">
        <f t="shared" si="4"/>
        <v>31631.699999999997</v>
      </c>
    </row>
    <row r="285" spans="2:9" ht="12.5" x14ac:dyDescent="0.25">
      <c r="C285" s="74" t="s">
        <v>687</v>
      </c>
      <c r="D285" s="74" t="s">
        <v>303</v>
      </c>
      <c r="E285" s="74">
        <v>5324.1807749999998</v>
      </c>
      <c r="F285" s="74" t="s">
        <v>376</v>
      </c>
      <c r="G285" s="74" t="s">
        <v>417</v>
      </c>
      <c r="H285" s="74" t="s">
        <v>587</v>
      </c>
      <c r="I285" s="1">
        <f t="shared" si="4"/>
        <v>5324.1807749999998</v>
      </c>
    </row>
    <row r="286" spans="2:9" ht="12.5" x14ac:dyDescent="0.25">
      <c r="C286" s="74" t="s">
        <v>688</v>
      </c>
      <c r="D286" s="74" t="s">
        <v>309</v>
      </c>
      <c r="E286" s="74">
        <v>3239.4045974999999</v>
      </c>
      <c r="F286" s="74" t="s">
        <v>376</v>
      </c>
      <c r="G286" s="74" t="s">
        <v>417</v>
      </c>
      <c r="H286" s="74" t="s">
        <v>587</v>
      </c>
      <c r="I286" s="1">
        <f t="shared" si="4"/>
        <v>3239.4045974999995</v>
      </c>
    </row>
    <row r="287" spans="2:9" ht="12.5" x14ac:dyDescent="0.25">
      <c r="C287" s="74" t="s">
        <v>689</v>
      </c>
      <c r="D287" s="74" t="s">
        <v>301</v>
      </c>
      <c r="E287" s="74">
        <v>3173.7263924999997</v>
      </c>
      <c r="F287" s="74" t="s">
        <v>376</v>
      </c>
      <c r="G287" s="74" t="s">
        <v>417</v>
      </c>
      <c r="H287" s="74" t="s">
        <v>587</v>
      </c>
      <c r="I287" s="1">
        <f t="shared" si="4"/>
        <v>3173.7263924999993</v>
      </c>
    </row>
    <row r="288" spans="2:9" ht="12.5" x14ac:dyDescent="0.25">
      <c r="C288" s="74" t="s">
        <v>690</v>
      </c>
      <c r="D288" s="74" t="s">
        <v>311</v>
      </c>
      <c r="E288" s="74">
        <v>1898.928735</v>
      </c>
      <c r="F288" s="74" t="s">
        <v>376</v>
      </c>
      <c r="G288" s="74" t="s">
        <v>417</v>
      </c>
      <c r="H288" s="74" t="s">
        <v>587</v>
      </c>
      <c r="I288" s="1">
        <f t="shared" si="4"/>
        <v>1898.9287350000002</v>
      </c>
    </row>
    <row r="289" spans="1:9" ht="12.5" x14ac:dyDescent="0.25">
      <c r="C289" s="74" t="s">
        <v>691</v>
      </c>
      <c r="D289" s="74" t="s">
        <v>592</v>
      </c>
      <c r="E289" s="74">
        <v>1624.8491325</v>
      </c>
      <c r="F289" s="74" t="s">
        <v>376</v>
      </c>
      <c r="G289" s="74" t="s">
        <v>417</v>
      </c>
      <c r="H289" s="74" t="s">
        <v>587</v>
      </c>
      <c r="I289" s="1">
        <f t="shared" si="4"/>
        <v>1624.8491325000002</v>
      </c>
    </row>
    <row r="290" spans="1:9" ht="12.5" x14ac:dyDescent="0.25">
      <c r="C290" s="74" t="s">
        <v>332</v>
      </c>
      <c r="D290" s="74" t="s">
        <v>315</v>
      </c>
      <c r="E290" s="74">
        <v>149.23823999999999</v>
      </c>
      <c r="F290" s="74" t="s">
        <v>376</v>
      </c>
      <c r="G290" s="74" t="s">
        <v>417</v>
      </c>
      <c r="H290" s="74" t="s">
        <v>587</v>
      </c>
      <c r="I290" s="1">
        <f t="shared" si="4"/>
        <v>149.23823999999999</v>
      </c>
    </row>
    <row r="291" spans="1:9" ht="12.5" x14ac:dyDescent="0.25">
      <c r="C291" s="74" t="s">
        <v>355</v>
      </c>
      <c r="D291" s="74" t="s">
        <v>317</v>
      </c>
      <c r="E291" s="74">
        <v>34.483942499999998</v>
      </c>
      <c r="F291" s="74" t="s">
        <v>376</v>
      </c>
      <c r="G291" s="74" t="s">
        <v>417</v>
      </c>
      <c r="H291" s="74" t="s">
        <v>587</v>
      </c>
      <c r="I291" s="1">
        <f t="shared" si="4"/>
        <v>34.483942499999998</v>
      </c>
    </row>
    <row r="292" spans="1:9" ht="12.5" x14ac:dyDescent="0.25">
      <c r="C292" s="74" t="s">
        <v>387</v>
      </c>
      <c r="D292" s="74" t="s">
        <v>333</v>
      </c>
      <c r="E292" s="74">
        <v>22.741364999999998</v>
      </c>
      <c r="F292" s="74" t="s">
        <v>376</v>
      </c>
      <c r="G292" s="74" t="s">
        <v>417</v>
      </c>
      <c r="H292" s="74" t="s">
        <v>587</v>
      </c>
      <c r="I292" s="1">
        <f t="shared" si="4"/>
        <v>22.741364999999998</v>
      </c>
    </row>
    <row r="293" spans="1:9" ht="12.5" x14ac:dyDescent="0.25">
      <c r="C293" s="74" t="s">
        <v>387</v>
      </c>
      <c r="D293" s="74" t="s">
        <v>319</v>
      </c>
      <c r="E293" s="74">
        <v>14.683732499999998</v>
      </c>
      <c r="F293" s="74" t="s">
        <v>376</v>
      </c>
      <c r="G293" s="74" t="s">
        <v>417</v>
      </c>
      <c r="H293" s="74" t="s">
        <v>587</v>
      </c>
      <c r="I293" s="1">
        <f t="shared" si="4"/>
        <v>14.683732499999998</v>
      </c>
    </row>
    <row r="294" spans="1:9" ht="12.5" x14ac:dyDescent="0.25">
      <c r="C294" s="74" t="s">
        <v>387</v>
      </c>
      <c r="D294" s="74" t="s">
        <v>327</v>
      </c>
      <c r="E294" s="74">
        <v>12.890880000000001</v>
      </c>
      <c r="F294" s="74" t="s">
        <v>376</v>
      </c>
      <c r="G294" s="74" t="s">
        <v>417</v>
      </c>
      <c r="H294" s="74" t="s">
        <v>587</v>
      </c>
      <c r="I294" s="1">
        <f t="shared" si="4"/>
        <v>12.890880000000001</v>
      </c>
    </row>
    <row r="295" spans="1:9" ht="12.5" x14ac:dyDescent="0.25">
      <c r="C295" s="74" t="s">
        <v>387</v>
      </c>
      <c r="D295" s="74" t="s">
        <v>598</v>
      </c>
      <c r="E295" s="74">
        <v>11.699662500000001</v>
      </c>
      <c r="F295" s="74" t="s">
        <v>376</v>
      </c>
      <c r="G295" s="74" t="s">
        <v>417</v>
      </c>
      <c r="H295" s="74" t="s">
        <v>587</v>
      </c>
      <c r="I295" s="1">
        <f t="shared" si="4"/>
        <v>11.699662500000001</v>
      </c>
    </row>
    <row r="296" spans="1:9" ht="12.5" x14ac:dyDescent="0.25">
      <c r="C296" s="74" t="s">
        <v>387</v>
      </c>
      <c r="D296" s="74" t="s">
        <v>323</v>
      </c>
      <c r="E296" s="74">
        <v>11.552579999999999</v>
      </c>
      <c r="F296" s="74" t="s">
        <v>376</v>
      </c>
      <c r="G296" s="74" t="s">
        <v>417</v>
      </c>
      <c r="H296" s="74" t="s">
        <v>587</v>
      </c>
      <c r="I296" s="1">
        <f t="shared" si="4"/>
        <v>11.552579999999999</v>
      </c>
    </row>
    <row r="297" spans="1:9" ht="12.5" x14ac:dyDescent="0.25">
      <c r="C297" s="74" t="s">
        <v>356</v>
      </c>
      <c r="D297" s="74" t="s">
        <v>321</v>
      </c>
      <c r="E297" s="74">
        <v>5.3490824999999997</v>
      </c>
      <c r="F297" s="74" t="s">
        <v>376</v>
      </c>
      <c r="G297" s="74" t="s">
        <v>417</v>
      </c>
      <c r="H297" s="74" t="s">
        <v>587</v>
      </c>
      <c r="I297" s="1">
        <f t="shared" si="4"/>
        <v>5.3490824999999989</v>
      </c>
    </row>
    <row r="298" spans="1:9" ht="12.5" x14ac:dyDescent="0.25">
      <c r="C298" s="74" t="s">
        <v>356</v>
      </c>
      <c r="D298" s="74" t="s">
        <v>325</v>
      </c>
      <c r="E298" s="74">
        <v>0.65573999999999999</v>
      </c>
      <c r="F298" s="74" t="s">
        <v>376</v>
      </c>
      <c r="G298" s="74" t="s">
        <v>417</v>
      </c>
      <c r="H298" s="74" t="s">
        <v>587</v>
      </c>
      <c r="I298" s="1">
        <f t="shared" si="4"/>
        <v>0.65573999999999999</v>
      </c>
    </row>
    <row r="299" spans="1:9" ht="12.5" x14ac:dyDescent="0.25">
      <c r="C299" s="74" t="s">
        <v>356</v>
      </c>
      <c r="D299" s="74" t="s">
        <v>335</v>
      </c>
      <c r="E299" s="74">
        <v>0.40075500000000003</v>
      </c>
      <c r="F299" s="74" t="s">
        <v>376</v>
      </c>
      <c r="G299" s="74" t="s">
        <v>417</v>
      </c>
      <c r="H299" s="74" t="s">
        <v>587</v>
      </c>
      <c r="I299" s="1">
        <f t="shared" si="4"/>
        <v>0.40075500000000003</v>
      </c>
    </row>
    <row r="300" spans="1:9" ht="12.5" x14ac:dyDescent="0.25">
      <c r="C300" s="74" t="s">
        <v>356</v>
      </c>
      <c r="D300" s="74" t="s">
        <v>331</v>
      </c>
      <c r="E300" s="74">
        <v>0.13907250000000002</v>
      </c>
      <c r="F300" s="74" t="s">
        <v>376</v>
      </c>
      <c r="G300" s="74" t="s">
        <v>417</v>
      </c>
      <c r="H300" s="74" t="s">
        <v>587</v>
      </c>
      <c r="I300" s="1">
        <f t="shared" si="4"/>
        <v>0.13907250000000002</v>
      </c>
    </row>
    <row r="301" spans="1:9" ht="12.5" x14ac:dyDescent="0.25">
      <c r="B301" s="74" t="s">
        <v>692</v>
      </c>
      <c r="D301" s="74" t="s">
        <v>337</v>
      </c>
      <c r="E301" s="74">
        <v>13314.363239631524</v>
      </c>
      <c r="F301" s="74" t="s">
        <v>376</v>
      </c>
      <c r="G301" s="74" t="s">
        <v>417</v>
      </c>
      <c r="I301" s="1">
        <f t="shared" si="4"/>
        <v>8245.6252931929812</v>
      </c>
    </row>
    <row r="302" spans="1:9" ht="12.5" x14ac:dyDescent="0.25">
      <c r="A302" s="74" t="s">
        <v>289</v>
      </c>
      <c r="D302" s="74" t="s">
        <v>290</v>
      </c>
      <c r="E302" s="74" t="s">
        <v>291</v>
      </c>
      <c r="F302" s="74" t="s">
        <v>3</v>
      </c>
      <c r="I302" s="1" t="str">
        <f t="shared" ref="I302:I365" si="5">IF(H302="Server",E302*$L$8/$M$8,IF(D302="market for electricity, low voltage | electricity, low voltage | APOS, U - FR",E302*$L$5/$M$5,E302))</f>
        <v>Amount</v>
      </c>
    </row>
    <row r="303" spans="1:9" ht="12.5" x14ac:dyDescent="0.25">
      <c r="A303" s="74" t="s">
        <v>292</v>
      </c>
      <c r="D303" s="74" t="s">
        <v>563</v>
      </c>
      <c r="E303" s="75">
        <v>32913</v>
      </c>
      <c r="F303" s="74" t="s">
        <v>429</v>
      </c>
      <c r="G303" s="74" t="s">
        <v>430</v>
      </c>
      <c r="I303" s="1">
        <f t="shared" si="5"/>
        <v>32913</v>
      </c>
    </row>
    <row r="304" spans="1:9" ht="12.5" x14ac:dyDescent="0.25">
      <c r="B304" s="74" t="s">
        <v>693</v>
      </c>
      <c r="D304" s="74" t="s">
        <v>337</v>
      </c>
      <c r="E304" s="75">
        <v>52545.889866939608</v>
      </c>
      <c r="F304" s="74" t="s">
        <v>429</v>
      </c>
      <c r="G304" s="74" t="s">
        <v>430</v>
      </c>
      <c r="I304" s="1">
        <f t="shared" si="5"/>
        <v>32541.828004998981</v>
      </c>
    </row>
    <row r="305" spans="2:9" ht="12.5" x14ac:dyDescent="0.25">
      <c r="B305" s="74" t="s">
        <v>694</v>
      </c>
      <c r="D305" s="74" t="s">
        <v>565</v>
      </c>
      <c r="E305" s="74">
        <v>856.53961000000004</v>
      </c>
      <c r="F305" s="74" t="s">
        <v>429</v>
      </c>
      <c r="G305" s="74" t="s">
        <v>430</v>
      </c>
      <c r="I305" s="1">
        <f t="shared" si="5"/>
        <v>856.53961000000004</v>
      </c>
    </row>
    <row r="306" spans="2:9" ht="12.5" x14ac:dyDescent="0.25">
      <c r="C306" s="74" t="s">
        <v>695</v>
      </c>
      <c r="D306" s="74" t="s">
        <v>313</v>
      </c>
      <c r="E306" s="74">
        <v>409.0059</v>
      </c>
      <c r="F306" s="74" t="s">
        <v>429</v>
      </c>
      <c r="G306" s="74" t="s">
        <v>430</v>
      </c>
      <c r="H306" s="74" t="s">
        <v>567</v>
      </c>
      <c r="I306" s="1">
        <f t="shared" si="5"/>
        <v>409.0059</v>
      </c>
    </row>
    <row r="307" spans="2:9" ht="12.5" x14ac:dyDescent="0.25">
      <c r="C307" s="74" t="s">
        <v>696</v>
      </c>
      <c r="D307" s="74" t="s">
        <v>569</v>
      </c>
      <c r="E307" s="74">
        <v>131.75404</v>
      </c>
      <c r="F307" s="74" t="s">
        <v>429</v>
      </c>
      <c r="G307" s="74" t="s">
        <v>430</v>
      </c>
      <c r="H307" s="74" t="s">
        <v>567</v>
      </c>
      <c r="I307" s="1">
        <f t="shared" si="5"/>
        <v>131.75404</v>
      </c>
    </row>
    <row r="308" spans="2:9" ht="12.5" x14ac:dyDescent="0.25">
      <c r="C308" s="74" t="s">
        <v>653</v>
      </c>
      <c r="D308" s="74" t="s">
        <v>571</v>
      </c>
      <c r="E308" s="74">
        <v>124.40227</v>
      </c>
      <c r="F308" s="74" t="s">
        <v>429</v>
      </c>
      <c r="G308" s="74" t="s">
        <v>430</v>
      </c>
      <c r="H308" s="74" t="s">
        <v>567</v>
      </c>
      <c r="I308" s="1">
        <f t="shared" si="5"/>
        <v>124.40227</v>
      </c>
    </row>
    <row r="309" spans="2:9" ht="12.5" x14ac:dyDescent="0.25">
      <c r="C309" s="74" t="s">
        <v>413</v>
      </c>
      <c r="D309" s="74" t="s">
        <v>573</v>
      </c>
      <c r="E309" s="74">
        <v>119.17552999999999</v>
      </c>
      <c r="F309" s="74" t="s">
        <v>429</v>
      </c>
      <c r="G309" s="74" t="s">
        <v>430</v>
      </c>
      <c r="H309" s="74" t="s">
        <v>567</v>
      </c>
      <c r="I309" s="1">
        <f t="shared" si="5"/>
        <v>119.17552999999999</v>
      </c>
    </row>
    <row r="310" spans="2:9" ht="12.5" x14ac:dyDescent="0.25">
      <c r="C310" s="74" t="s">
        <v>330</v>
      </c>
      <c r="D310" s="74" t="s">
        <v>575</v>
      </c>
      <c r="E310" s="74">
        <v>28.178560000000001</v>
      </c>
      <c r="F310" s="74" t="s">
        <v>429</v>
      </c>
      <c r="G310" s="74" t="s">
        <v>430</v>
      </c>
      <c r="H310" s="74" t="s">
        <v>567</v>
      </c>
      <c r="I310" s="1">
        <f t="shared" si="5"/>
        <v>28.178560000000001</v>
      </c>
    </row>
    <row r="311" spans="2:9" ht="12.5" x14ac:dyDescent="0.25">
      <c r="C311" s="74" t="s">
        <v>334</v>
      </c>
      <c r="D311" s="74" t="s">
        <v>577</v>
      </c>
      <c r="E311" s="74">
        <v>12.75868</v>
      </c>
      <c r="F311" s="74" t="s">
        <v>429</v>
      </c>
      <c r="G311" s="74" t="s">
        <v>430</v>
      </c>
      <c r="H311" s="74" t="s">
        <v>567</v>
      </c>
      <c r="I311" s="1">
        <f t="shared" si="5"/>
        <v>12.75868</v>
      </c>
    </row>
    <row r="312" spans="2:9" ht="12.5" x14ac:dyDescent="0.25">
      <c r="C312" s="74" t="s">
        <v>334</v>
      </c>
      <c r="D312" s="74" t="s">
        <v>578</v>
      </c>
      <c r="E312" s="74">
        <v>12.46068</v>
      </c>
      <c r="F312" s="74" t="s">
        <v>429</v>
      </c>
      <c r="G312" s="74" t="s">
        <v>430</v>
      </c>
      <c r="H312" s="74" t="s">
        <v>567</v>
      </c>
      <c r="I312" s="1">
        <f t="shared" si="5"/>
        <v>12.46068</v>
      </c>
    </row>
    <row r="313" spans="2:9" ht="12.5" x14ac:dyDescent="0.25">
      <c r="C313" s="74" t="s">
        <v>354</v>
      </c>
      <c r="D313" s="74" t="s">
        <v>580</v>
      </c>
      <c r="E313" s="74">
        <v>9.6661800000000007</v>
      </c>
      <c r="F313" s="74" t="s">
        <v>429</v>
      </c>
      <c r="G313" s="74" t="s">
        <v>430</v>
      </c>
      <c r="H313" s="74" t="s">
        <v>567</v>
      </c>
      <c r="I313" s="1">
        <f t="shared" si="5"/>
        <v>9.6661800000000007</v>
      </c>
    </row>
    <row r="314" spans="2:9" ht="12.5" x14ac:dyDescent="0.25">
      <c r="C314" s="74" t="s">
        <v>387</v>
      </c>
      <c r="D314" s="74" t="s">
        <v>582</v>
      </c>
      <c r="E314" s="74">
        <v>2.6109</v>
      </c>
      <c r="F314" s="74" t="s">
        <v>429</v>
      </c>
      <c r="G314" s="74" t="s">
        <v>430</v>
      </c>
      <c r="H314" s="74" t="s">
        <v>567</v>
      </c>
      <c r="I314" s="1">
        <f t="shared" si="5"/>
        <v>2.6109</v>
      </c>
    </row>
    <row r="315" spans="2:9" ht="12.5" x14ac:dyDescent="0.25">
      <c r="C315" s="74" t="s">
        <v>387</v>
      </c>
      <c r="D315" s="74" t="s">
        <v>583</v>
      </c>
      <c r="E315" s="74">
        <v>2.3862299999999999</v>
      </c>
      <c r="F315" s="74" t="s">
        <v>429</v>
      </c>
      <c r="G315" s="74" t="s">
        <v>430</v>
      </c>
      <c r="H315" s="74" t="s">
        <v>567</v>
      </c>
      <c r="I315" s="1">
        <f t="shared" si="5"/>
        <v>2.3862299999999999</v>
      </c>
    </row>
    <row r="316" spans="2:9" ht="12.5" x14ac:dyDescent="0.25">
      <c r="C316" s="74" t="s">
        <v>387</v>
      </c>
      <c r="D316" s="74" t="s">
        <v>581</v>
      </c>
      <c r="E316" s="74">
        <v>2.2599900000000002</v>
      </c>
      <c r="F316" s="74" t="s">
        <v>429</v>
      </c>
      <c r="G316" s="74" t="s">
        <v>430</v>
      </c>
      <c r="H316" s="74" t="s">
        <v>567</v>
      </c>
      <c r="I316" s="1">
        <f t="shared" si="5"/>
        <v>2.2599900000000002</v>
      </c>
    </row>
    <row r="317" spans="2:9" ht="12.5" x14ac:dyDescent="0.25">
      <c r="C317" s="74" t="s">
        <v>356</v>
      </c>
      <c r="D317" s="74" t="s">
        <v>323</v>
      </c>
      <c r="E317" s="74">
        <v>0.37375999999999998</v>
      </c>
      <c r="F317" s="74" t="s">
        <v>429</v>
      </c>
      <c r="G317" s="74" t="s">
        <v>430</v>
      </c>
      <c r="H317" s="74" t="s">
        <v>567</v>
      </c>
      <c r="I317" s="1">
        <f t="shared" si="5"/>
        <v>0.37375999999999998</v>
      </c>
    </row>
    <row r="318" spans="2:9" ht="12.5" x14ac:dyDescent="0.25">
      <c r="C318" s="74" t="s">
        <v>356</v>
      </c>
      <c r="D318" s="74" t="s">
        <v>315</v>
      </c>
      <c r="E318" s="74">
        <v>0.30068</v>
      </c>
      <c r="F318" s="74" t="s">
        <v>429</v>
      </c>
      <c r="G318" s="74" t="s">
        <v>430</v>
      </c>
      <c r="H318" s="74" t="s">
        <v>567</v>
      </c>
      <c r="I318" s="1">
        <f t="shared" si="5"/>
        <v>0.30068</v>
      </c>
    </row>
    <row r="319" spans="2:9" ht="12.5" x14ac:dyDescent="0.25">
      <c r="C319" s="74" t="s">
        <v>356</v>
      </c>
      <c r="D319" s="74" t="s">
        <v>327</v>
      </c>
      <c r="E319" s="74">
        <v>0.29125000000000001</v>
      </c>
      <c r="F319" s="74" t="s">
        <v>429</v>
      </c>
      <c r="G319" s="74" t="s">
        <v>430</v>
      </c>
      <c r="H319" s="74" t="s">
        <v>567</v>
      </c>
      <c r="I319" s="1">
        <f t="shared" si="5"/>
        <v>0.29125000000000001</v>
      </c>
    </row>
    <row r="320" spans="2:9" ht="12.5" x14ac:dyDescent="0.25">
      <c r="C320" s="74" t="s">
        <v>356</v>
      </c>
      <c r="D320" s="74" t="s">
        <v>321</v>
      </c>
      <c r="E320" s="74">
        <v>0.27904000000000001</v>
      </c>
      <c r="F320" s="74" t="s">
        <v>429</v>
      </c>
      <c r="G320" s="74" t="s">
        <v>430</v>
      </c>
      <c r="H320" s="74" t="s">
        <v>567</v>
      </c>
      <c r="I320" s="1">
        <f t="shared" si="5"/>
        <v>0.27904000000000001</v>
      </c>
    </row>
    <row r="321" spans="2:9" ht="12.5" x14ac:dyDescent="0.25">
      <c r="C321" s="74" t="s">
        <v>356</v>
      </c>
      <c r="D321" s="74" t="s">
        <v>317</v>
      </c>
      <c r="E321" s="74">
        <v>0.24296000000000001</v>
      </c>
      <c r="F321" s="74" t="s">
        <v>429</v>
      </c>
      <c r="G321" s="74" t="s">
        <v>430</v>
      </c>
      <c r="H321" s="74" t="s">
        <v>567</v>
      </c>
      <c r="I321" s="1">
        <f t="shared" si="5"/>
        <v>0.24296000000000001</v>
      </c>
    </row>
    <row r="322" spans="2:9" ht="12.5" x14ac:dyDescent="0.25">
      <c r="C322" s="74" t="s">
        <v>356</v>
      </c>
      <c r="D322" s="74" t="s">
        <v>319</v>
      </c>
      <c r="E322" s="74">
        <v>0.16361999999999999</v>
      </c>
      <c r="F322" s="74" t="s">
        <v>429</v>
      </c>
      <c r="G322" s="74" t="s">
        <v>430</v>
      </c>
      <c r="H322" s="74" t="s">
        <v>567</v>
      </c>
      <c r="I322" s="1">
        <f t="shared" si="5"/>
        <v>0.16361999999999999</v>
      </c>
    </row>
    <row r="323" spans="2:9" ht="12.5" x14ac:dyDescent="0.25">
      <c r="C323" s="74" t="s">
        <v>356</v>
      </c>
      <c r="D323" s="74" t="s">
        <v>584</v>
      </c>
      <c r="E323" s="74">
        <v>0.15711</v>
      </c>
      <c r="F323" s="74" t="s">
        <v>429</v>
      </c>
      <c r="G323" s="74" t="s">
        <v>430</v>
      </c>
      <c r="H323" s="74" t="s">
        <v>567</v>
      </c>
      <c r="I323" s="1">
        <f t="shared" si="5"/>
        <v>0.15711</v>
      </c>
    </row>
    <row r="324" spans="2:9" ht="12.5" x14ac:dyDescent="0.25">
      <c r="C324" s="74" t="s">
        <v>356</v>
      </c>
      <c r="D324" s="74" t="s">
        <v>329</v>
      </c>
      <c r="E324" s="74">
        <v>5.747E-2</v>
      </c>
      <c r="F324" s="74" t="s">
        <v>429</v>
      </c>
      <c r="G324" s="74" t="s">
        <v>430</v>
      </c>
      <c r="H324" s="74" t="s">
        <v>567</v>
      </c>
      <c r="I324" s="1">
        <f t="shared" si="5"/>
        <v>5.747E-2</v>
      </c>
    </row>
    <row r="325" spans="2:9" ht="12.5" x14ac:dyDescent="0.25">
      <c r="C325" s="74" t="s">
        <v>356</v>
      </c>
      <c r="D325" s="74" t="s">
        <v>325</v>
      </c>
      <c r="E325" s="74">
        <v>1.478E-2</v>
      </c>
      <c r="F325" s="74" t="s">
        <v>429</v>
      </c>
      <c r="G325" s="74" t="s">
        <v>430</v>
      </c>
      <c r="H325" s="74" t="s">
        <v>567</v>
      </c>
      <c r="I325" s="1">
        <f t="shared" si="5"/>
        <v>1.478E-2</v>
      </c>
    </row>
    <row r="326" spans="2:9" ht="12.5" x14ac:dyDescent="0.25">
      <c r="B326" s="74" t="s">
        <v>697</v>
      </c>
      <c r="D326" s="74" t="s">
        <v>586</v>
      </c>
      <c r="E326" s="74">
        <v>449.77721999999994</v>
      </c>
      <c r="F326" s="74" t="s">
        <v>429</v>
      </c>
      <c r="G326" s="74" t="s">
        <v>430</v>
      </c>
      <c r="H326" s="74" t="s">
        <v>587</v>
      </c>
      <c r="I326" s="1">
        <f t="shared" si="5"/>
        <v>449.77721999999994</v>
      </c>
    </row>
    <row r="327" spans="2:9" ht="12.5" x14ac:dyDescent="0.25">
      <c r="C327" s="74" t="s">
        <v>579</v>
      </c>
      <c r="D327" s="74" t="s">
        <v>299</v>
      </c>
      <c r="E327" s="74">
        <v>142.760895</v>
      </c>
      <c r="F327" s="74" t="s">
        <v>429</v>
      </c>
      <c r="G327" s="74" t="s">
        <v>430</v>
      </c>
      <c r="H327" s="74" t="s">
        <v>587</v>
      </c>
      <c r="I327" s="1">
        <f t="shared" si="5"/>
        <v>142.760895</v>
      </c>
    </row>
    <row r="328" spans="2:9" ht="12.5" x14ac:dyDescent="0.25">
      <c r="C328" s="74" t="s">
        <v>683</v>
      </c>
      <c r="D328" s="74" t="s">
        <v>313</v>
      </c>
      <c r="E328" s="74">
        <v>129.60942749999998</v>
      </c>
      <c r="F328" s="74" t="s">
        <v>429</v>
      </c>
      <c r="G328" s="74" t="s">
        <v>430</v>
      </c>
      <c r="H328" s="74" t="s">
        <v>587</v>
      </c>
      <c r="I328" s="1">
        <f t="shared" si="5"/>
        <v>129.60942749999998</v>
      </c>
    </row>
    <row r="329" spans="2:9" ht="12.5" x14ac:dyDescent="0.25">
      <c r="C329" s="74" t="s">
        <v>479</v>
      </c>
      <c r="D329" s="74" t="s">
        <v>301</v>
      </c>
      <c r="E329" s="74">
        <v>49.366207500000002</v>
      </c>
      <c r="F329" s="74" t="s">
        <v>429</v>
      </c>
      <c r="G329" s="74" t="s">
        <v>430</v>
      </c>
      <c r="H329" s="74" t="s">
        <v>587</v>
      </c>
      <c r="I329" s="1">
        <f t="shared" si="5"/>
        <v>49.366207500000002</v>
      </c>
    </row>
    <row r="330" spans="2:9" ht="12.5" x14ac:dyDescent="0.25">
      <c r="C330" s="74" t="s">
        <v>415</v>
      </c>
      <c r="D330" s="74" t="s">
        <v>303</v>
      </c>
      <c r="E330" s="74">
        <v>35.03895</v>
      </c>
      <c r="F330" s="74" t="s">
        <v>429</v>
      </c>
      <c r="G330" s="74" t="s">
        <v>430</v>
      </c>
      <c r="H330" s="74" t="s">
        <v>587</v>
      </c>
      <c r="I330" s="1">
        <f t="shared" si="5"/>
        <v>35.03895</v>
      </c>
    </row>
    <row r="331" spans="2:9" ht="12.5" x14ac:dyDescent="0.25">
      <c r="C331" s="74" t="s">
        <v>415</v>
      </c>
      <c r="D331" s="74" t="s">
        <v>311</v>
      </c>
      <c r="E331" s="74">
        <v>33.999367499999998</v>
      </c>
      <c r="F331" s="74" t="s">
        <v>429</v>
      </c>
      <c r="G331" s="74" t="s">
        <v>430</v>
      </c>
      <c r="H331" s="74" t="s">
        <v>587</v>
      </c>
      <c r="I331" s="1">
        <f t="shared" si="5"/>
        <v>33.999367499999998</v>
      </c>
    </row>
    <row r="332" spans="2:9" ht="12.5" x14ac:dyDescent="0.25">
      <c r="C332" s="74" t="s">
        <v>669</v>
      </c>
      <c r="D332" s="74" t="s">
        <v>309</v>
      </c>
      <c r="E332" s="74">
        <v>30.069105</v>
      </c>
      <c r="F332" s="74" t="s">
        <v>429</v>
      </c>
      <c r="G332" s="74" t="s">
        <v>430</v>
      </c>
      <c r="H332" s="74" t="s">
        <v>587</v>
      </c>
      <c r="I332" s="1">
        <f t="shared" si="5"/>
        <v>30.069104999999997</v>
      </c>
    </row>
    <row r="333" spans="2:9" ht="12.5" x14ac:dyDescent="0.25">
      <c r="C333" s="74" t="s">
        <v>330</v>
      </c>
      <c r="D333" s="74" t="s">
        <v>592</v>
      </c>
      <c r="E333" s="74">
        <v>21.5791875</v>
      </c>
      <c r="F333" s="74" t="s">
        <v>429</v>
      </c>
      <c r="G333" s="74" t="s">
        <v>430</v>
      </c>
      <c r="H333" s="74" t="s">
        <v>587</v>
      </c>
      <c r="I333" s="1">
        <f t="shared" si="5"/>
        <v>21.5791875</v>
      </c>
    </row>
    <row r="334" spans="2:9" ht="12.5" x14ac:dyDescent="0.25">
      <c r="C334" s="74" t="s">
        <v>387</v>
      </c>
      <c r="D334" s="74" t="s">
        <v>315</v>
      </c>
      <c r="E334" s="74">
        <v>1.7313975000000001</v>
      </c>
      <c r="F334" s="74" t="s">
        <v>429</v>
      </c>
      <c r="G334" s="74" t="s">
        <v>430</v>
      </c>
      <c r="H334" s="74" t="s">
        <v>587</v>
      </c>
      <c r="I334" s="1">
        <f t="shared" si="5"/>
        <v>1.7313975000000001</v>
      </c>
    </row>
    <row r="335" spans="2:9" ht="12.5" x14ac:dyDescent="0.25">
      <c r="C335" s="74" t="s">
        <v>387</v>
      </c>
      <c r="D335" s="74" t="s">
        <v>327</v>
      </c>
      <c r="E335" s="74">
        <v>1.5169199999999998</v>
      </c>
      <c r="F335" s="74" t="s">
        <v>429</v>
      </c>
      <c r="G335" s="74" t="s">
        <v>430</v>
      </c>
      <c r="H335" s="74" t="s">
        <v>587</v>
      </c>
      <c r="I335" s="1">
        <f t="shared" si="5"/>
        <v>1.5169199999999998</v>
      </c>
    </row>
    <row r="336" spans="2:9" ht="12.5" x14ac:dyDescent="0.25">
      <c r="C336" s="74" t="s">
        <v>356</v>
      </c>
      <c r="D336" s="74" t="s">
        <v>321</v>
      </c>
      <c r="E336" s="74">
        <v>1.2310350000000001</v>
      </c>
      <c r="F336" s="74" t="s">
        <v>429</v>
      </c>
      <c r="G336" s="74" t="s">
        <v>430</v>
      </c>
      <c r="H336" s="74" t="s">
        <v>587</v>
      </c>
      <c r="I336" s="1">
        <f t="shared" si="5"/>
        <v>1.2310350000000001</v>
      </c>
    </row>
    <row r="337" spans="1:9" ht="12.5" x14ac:dyDescent="0.25">
      <c r="C337" s="74" t="s">
        <v>356</v>
      </c>
      <c r="D337" s="74" t="s">
        <v>317</v>
      </c>
      <c r="E337" s="74">
        <v>1.0718775</v>
      </c>
      <c r="F337" s="74" t="s">
        <v>429</v>
      </c>
      <c r="G337" s="74" t="s">
        <v>430</v>
      </c>
      <c r="H337" s="74" t="s">
        <v>587</v>
      </c>
      <c r="I337" s="1">
        <f t="shared" si="5"/>
        <v>1.0718775</v>
      </c>
    </row>
    <row r="338" spans="1:9" ht="12.5" x14ac:dyDescent="0.25">
      <c r="C338" s="74" t="s">
        <v>356</v>
      </c>
      <c r="D338" s="74" t="s">
        <v>319</v>
      </c>
      <c r="E338" s="74">
        <v>0.98804999999999987</v>
      </c>
      <c r="F338" s="74" t="s">
        <v>429</v>
      </c>
      <c r="G338" s="74" t="s">
        <v>430</v>
      </c>
      <c r="H338" s="74" t="s">
        <v>587</v>
      </c>
      <c r="I338" s="1">
        <f t="shared" si="5"/>
        <v>0.98804999999999987</v>
      </c>
    </row>
    <row r="339" spans="1:9" ht="12.5" x14ac:dyDescent="0.25">
      <c r="C339" s="74" t="s">
        <v>356</v>
      </c>
      <c r="D339" s="74" t="s">
        <v>323</v>
      </c>
      <c r="E339" s="74">
        <v>0.41114249999999997</v>
      </c>
      <c r="F339" s="74" t="s">
        <v>429</v>
      </c>
      <c r="G339" s="74" t="s">
        <v>430</v>
      </c>
      <c r="H339" s="74" t="s">
        <v>587</v>
      </c>
      <c r="I339" s="1">
        <f t="shared" si="5"/>
        <v>0.41114249999999997</v>
      </c>
    </row>
    <row r="340" spans="1:9" ht="12.5" x14ac:dyDescent="0.25">
      <c r="C340" s="74" t="s">
        <v>356</v>
      </c>
      <c r="D340" s="74" t="s">
        <v>598</v>
      </c>
      <c r="E340" s="74">
        <v>0.29930249999999997</v>
      </c>
      <c r="F340" s="74" t="s">
        <v>429</v>
      </c>
      <c r="G340" s="74" t="s">
        <v>430</v>
      </c>
      <c r="H340" s="74" t="s">
        <v>587</v>
      </c>
      <c r="I340" s="1">
        <f t="shared" si="5"/>
        <v>0.29930249999999997</v>
      </c>
    </row>
    <row r="341" spans="1:9" ht="12.5" x14ac:dyDescent="0.25">
      <c r="C341" s="74" t="s">
        <v>356</v>
      </c>
      <c r="D341" s="74" t="s">
        <v>335</v>
      </c>
      <c r="E341" s="74">
        <v>9.3524999999999997E-2</v>
      </c>
      <c r="F341" s="74" t="s">
        <v>429</v>
      </c>
      <c r="G341" s="74" t="s">
        <v>430</v>
      </c>
      <c r="H341" s="74" t="s">
        <v>587</v>
      </c>
      <c r="I341" s="1">
        <f t="shared" si="5"/>
        <v>9.3525000000000011E-2</v>
      </c>
    </row>
    <row r="342" spans="1:9" ht="12.5" x14ac:dyDescent="0.25">
      <c r="C342" s="74" t="s">
        <v>356</v>
      </c>
      <c r="D342" s="74" t="s">
        <v>333</v>
      </c>
      <c r="E342" s="74">
        <v>7.4025000000000002E-3</v>
      </c>
      <c r="F342" s="74" t="s">
        <v>429</v>
      </c>
      <c r="G342" s="74" t="s">
        <v>430</v>
      </c>
      <c r="H342" s="74" t="s">
        <v>587</v>
      </c>
      <c r="I342" s="1">
        <f t="shared" si="5"/>
        <v>7.4025000000000002E-3</v>
      </c>
    </row>
    <row r="343" spans="1:9" ht="12.5" x14ac:dyDescent="0.25">
      <c r="C343" s="74" t="s">
        <v>356</v>
      </c>
      <c r="D343" s="74" t="s">
        <v>331</v>
      </c>
      <c r="E343" s="74">
        <v>2.2575E-3</v>
      </c>
      <c r="F343" s="74" t="s">
        <v>429</v>
      </c>
      <c r="G343" s="74" t="s">
        <v>430</v>
      </c>
      <c r="H343" s="74" t="s">
        <v>587</v>
      </c>
      <c r="I343" s="1">
        <f t="shared" si="5"/>
        <v>2.2575E-3</v>
      </c>
    </row>
    <row r="344" spans="1:9" ht="12.5" x14ac:dyDescent="0.25">
      <c r="C344" s="74" t="s">
        <v>356</v>
      </c>
      <c r="D344" s="74" t="s">
        <v>325</v>
      </c>
      <c r="E344" s="74">
        <v>1.1850000000000001E-3</v>
      </c>
      <c r="F344" s="74" t="s">
        <v>429</v>
      </c>
      <c r="G344" s="74" t="s">
        <v>430</v>
      </c>
      <c r="H344" s="74" t="s">
        <v>587</v>
      </c>
      <c r="I344" s="1">
        <f t="shared" si="5"/>
        <v>1.1850000000000001E-3</v>
      </c>
    </row>
    <row r="345" spans="1:9" ht="12.5" x14ac:dyDescent="0.25">
      <c r="A345" s="74" t="s">
        <v>289</v>
      </c>
      <c r="D345" s="74" t="s">
        <v>290</v>
      </c>
      <c r="E345" s="74" t="s">
        <v>291</v>
      </c>
      <c r="F345" s="74" t="s">
        <v>3</v>
      </c>
      <c r="I345" s="1" t="str">
        <f t="shared" si="5"/>
        <v>Amount</v>
      </c>
    </row>
    <row r="346" spans="1:9" ht="12.5" x14ac:dyDescent="0.25">
      <c r="A346" s="74" t="s">
        <v>292</v>
      </c>
      <c r="D346" s="74" t="s">
        <v>563</v>
      </c>
      <c r="E346" s="74">
        <v>268.38544000000002</v>
      </c>
      <c r="F346" s="74" t="s">
        <v>441</v>
      </c>
      <c r="G346" s="74" t="s">
        <v>442</v>
      </c>
      <c r="I346" s="1">
        <f t="shared" si="5"/>
        <v>268.38544000000002</v>
      </c>
    </row>
    <row r="347" spans="1:9" ht="12.5" x14ac:dyDescent="0.25">
      <c r="B347" s="74" t="s">
        <v>698</v>
      </c>
      <c r="D347" s="74" t="s">
        <v>565</v>
      </c>
      <c r="E347" s="74">
        <v>134.51428000000001</v>
      </c>
      <c r="F347" s="74" t="s">
        <v>441</v>
      </c>
      <c r="G347" s="74" t="s">
        <v>442</v>
      </c>
      <c r="I347" s="1">
        <f t="shared" si="5"/>
        <v>134.51428000000001</v>
      </c>
    </row>
    <row r="348" spans="1:9" ht="12.5" x14ac:dyDescent="0.25">
      <c r="C348" s="74" t="s">
        <v>699</v>
      </c>
      <c r="D348" s="74" t="s">
        <v>313</v>
      </c>
      <c r="E348" s="74">
        <v>89.440309999999997</v>
      </c>
      <c r="F348" s="74" t="s">
        <v>441</v>
      </c>
      <c r="G348" s="74" t="s">
        <v>442</v>
      </c>
      <c r="H348" s="74" t="s">
        <v>567</v>
      </c>
      <c r="I348" s="1">
        <f t="shared" si="5"/>
        <v>89.440309999999997</v>
      </c>
    </row>
    <row r="349" spans="1:9" ht="12.5" x14ac:dyDescent="0.25">
      <c r="C349" s="74" t="s">
        <v>700</v>
      </c>
      <c r="D349" s="74" t="s">
        <v>569</v>
      </c>
      <c r="E349" s="74">
        <v>16.40175</v>
      </c>
      <c r="F349" s="74" t="s">
        <v>441</v>
      </c>
      <c r="G349" s="74" t="s">
        <v>442</v>
      </c>
      <c r="H349" s="74" t="s">
        <v>567</v>
      </c>
      <c r="I349" s="1">
        <f t="shared" si="5"/>
        <v>16.40175</v>
      </c>
    </row>
    <row r="350" spans="1:9" ht="12.5" x14ac:dyDescent="0.25">
      <c r="C350" s="74" t="s">
        <v>701</v>
      </c>
      <c r="D350" s="74" t="s">
        <v>571</v>
      </c>
      <c r="E350" s="74">
        <v>11.19158</v>
      </c>
      <c r="F350" s="74" t="s">
        <v>441</v>
      </c>
      <c r="G350" s="74" t="s">
        <v>442</v>
      </c>
      <c r="H350" s="74" t="s">
        <v>567</v>
      </c>
      <c r="I350" s="1">
        <f t="shared" si="5"/>
        <v>11.19158</v>
      </c>
    </row>
    <row r="351" spans="1:9" ht="12.5" x14ac:dyDescent="0.25">
      <c r="C351" s="74" t="s">
        <v>702</v>
      </c>
      <c r="D351" s="74" t="s">
        <v>573</v>
      </c>
      <c r="E351" s="74">
        <v>8.2574900000000007</v>
      </c>
      <c r="F351" s="74" t="s">
        <v>441</v>
      </c>
      <c r="G351" s="74" t="s">
        <v>442</v>
      </c>
      <c r="H351" s="74" t="s">
        <v>567</v>
      </c>
      <c r="I351" s="1">
        <f t="shared" si="5"/>
        <v>8.2574900000000007</v>
      </c>
    </row>
    <row r="352" spans="1:9" ht="12.5" x14ac:dyDescent="0.25">
      <c r="C352" s="74" t="s">
        <v>703</v>
      </c>
      <c r="D352" s="74" t="s">
        <v>581</v>
      </c>
      <c r="E352" s="74">
        <v>2.41229</v>
      </c>
      <c r="F352" s="74" t="s">
        <v>441</v>
      </c>
      <c r="G352" s="74" t="s">
        <v>442</v>
      </c>
      <c r="H352" s="74" t="s">
        <v>567</v>
      </c>
      <c r="I352" s="1">
        <f t="shared" si="5"/>
        <v>2.41229</v>
      </c>
    </row>
    <row r="353" spans="2:9" ht="12.5" x14ac:dyDescent="0.25">
      <c r="C353" s="74" t="s">
        <v>596</v>
      </c>
      <c r="D353" s="74" t="s">
        <v>575</v>
      </c>
      <c r="E353" s="74">
        <v>1.7980799999999999</v>
      </c>
      <c r="F353" s="74" t="s">
        <v>441</v>
      </c>
      <c r="G353" s="74" t="s">
        <v>442</v>
      </c>
      <c r="H353" s="74" t="s">
        <v>567</v>
      </c>
      <c r="I353" s="1">
        <f t="shared" si="5"/>
        <v>1.7980799999999999</v>
      </c>
    </row>
    <row r="354" spans="2:9" ht="12.5" x14ac:dyDescent="0.25">
      <c r="C354" s="74" t="s">
        <v>608</v>
      </c>
      <c r="D354" s="74" t="s">
        <v>580</v>
      </c>
      <c r="E354" s="74">
        <v>1.68821</v>
      </c>
      <c r="F354" s="74" t="s">
        <v>441</v>
      </c>
      <c r="G354" s="74" t="s">
        <v>442</v>
      </c>
      <c r="H354" s="74" t="s">
        <v>567</v>
      </c>
      <c r="I354" s="1">
        <f t="shared" si="5"/>
        <v>1.68821</v>
      </c>
    </row>
    <row r="355" spans="2:9" ht="12.5" x14ac:dyDescent="0.25">
      <c r="C355" s="74" t="s">
        <v>413</v>
      </c>
      <c r="D355" s="74" t="s">
        <v>578</v>
      </c>
      <c r="E355" s="74">
        <v>0.96716000000000002</v>
      </c>
      <c r="F355" s="74" t="s">
        <v>441</v>
      </c>
      <c r="G355" s="74" t="s">
        <v>442</v>
      </c>
      <c r="H355" s="74" t="s">
        <v>567</v>
      </c>
      <c r="I355" s="1">
        <f t="shared" si="5"/>
        <v>0.96716000000000002</v>
      </c>
    </row>
    <row r="356" spans="2:9" ht="12.5" x14ac:dyDescent="0.25">
      <c r="C356" s="74" t="s">
        <v>373</v>
      </c>
      <c r="D356" s="74" t="s">
        <v>577</v>
      </c>
      <c r="E356" s="74">
        <v>0.78432999999999997</v>
      </c>
      <c r="F356" s="74" t="s">
        <v>441</v>
      </c>
      <c r="G356" s="74" t="s">
        <v>442</v>
      </c>
      <c r="H356" s="74" t="s">
        <v>567</v>
      </c>
      <c r="I356" s="1">
        <f t="shared" si="5"/>
        <v>0.78432999999999997</v>
      </c>
    </row>
    <row r="357" spans="2:9" ht="12.5" x14ac:dyDescent="0.25">
      <c r="C357" s="74" t="s">
        <v>479</v>
      </c>
      <c r="D357" s="74" t="s">
        <v>582</v>
      </c>
      <c r="E357" s="74">
        <v>0.54407000000000005</v>
      </c>
      <c r="F357" s="74" t="s">
        <v>441</v>
      </c>
      <c r="G357" s="74" t="s">
        <v>442</v>
      </c>
      <c r="H357" s="74" t="s">
        <v>567</v>
      </c>
      <c r="I357" s="1">
        <f t="shared" si="5"/>
        <v>0.54407000000000005</v>
      </c>
    </row>
    <row r="358" spans="2:9" ht="12.5" x14ac:dyDescent="0.25">
      <c r="C358" s="74" t="s">
        <v>439</v>
      </c>
      <c r="D358" s="74" t="s">
        <v>317</v>
      </c>
      <c r="E358" s="74">
        <v>0.43245</v>
      </c>
      <c r="F358" s="74" t="s">
        <v>441</v>
      </c>
      <c r="G358" s="74" t="s">
        <v>442</v>
      </c>
      <c r="H358" s="74" t="s">
        <v>567</v>
      </c>
      <c r="I358" s="1">
        <f t="shared" si="5"/>
        <v>0.43245</v>
      </c>
    </row>
    <row r="359" spans="2:9" ht="12.5" x14ac:dyDescent="0.25">
      <c r="C359" s="74" t="s">
        <v>330</v>
      </c>
      <c r="D359" s="74" t="s">
        <v>583</v>
      </c>
      <c r="E359" s="74">
        <v>0.23535</v>
      </c>
      <c r="F359" s="74" t="s">
        <v>441</v>
      </c>
      <c r="G359" s="74" t="s">
        <v>442</v>
      </c>
      <c r="H359" s="74" t="s">
        <v>567</v>
      </c>
      <c r="I359" s="1">
        <f t="shared" si="5"/>
        <v>0.23535</v>
      </c>
    </row>
    <row r="360" spans="2:9" ht="12.5" x14ac:dyDescent="0.25">
      <c r="C360" s="74" t="s">
        <v>334</v>
      </c>
      <c r="D360" s="74" t="s">
        <v>323</v>
      </c>
      <c r="E360" s="74">
        <v>0.10216</v>
      </c>
      <c r="F360" s="74" t="s">
        <v>441</v>
      </c>
      <c r="G360" s="74" t="s">
        <v>442</v>
      </c>
      <c r="H360" s="74" t="s">
        <v>567</v>
      </c>
      <c r="I360" s="1">
        <f t="shared" si="5"/>
        <v>0.10216</v>
      </c>
    </row>
    <row r="361" spans="2:9" ht="12.5" x14ac:dyDescent="0.25">
      <c r="C361" s="74" t="s">
        <v>354</v>
      </c>
      <c r="D361" s="74" t="s">
        <v>584</v>
      </c>
      <c r="E361" s="74">
        <v>7.8229999999999994E-2</v>
      </c>
      <c r="F361" s="74" t="s">
        <v>441</v>
      </c>
      <c r="G361" s="74" t="s">
        <v>442</v>
      </c>
      <c r="H361" s="74" t="s">
        <v>567</v>
      </c>
      <c r="I361" s="1">
        <f t="shared" si="5"/>
        <v>7.8229999999999994E-2</v>
      </c>
    </row>
    <row r="362" spans="2:9" ht="12.5" x14ac:dyDescent="0.25">
      <c r="C362" s="74" t="s">
        <v>354</v>
      </c>
      <c r="D362" s="74" t="s">
        <v>315</v>
      </c>
      <c r="E362" s="74">
        <v>6.8940000000000001E-2</v>
      </c>
      <c r="F362" s="74" t="s">
        <v>441</v>
      </c>
      <c r="G362" s="74" t="s">
        <v>442</v>
      </c>
      <c r="H362" s="74" t="s">
        <v>567</v>
      </c>
      <c r="I362" s="1">
        <f t="shared" si="5"/>
        <v>6.8940000000000001E-2</v>
      </c>
    </row>
    <row r="363" spans="2:9" ht="12.5" x14ac:dyDescent="0.25">
      <c r="C363" s="74" t="s">
        <v>355</v>
      </c>
      <c r="D363" s="74" t="s">
        <v>319</v>
      </c>
      <c r="E363" s="74">
        <v>6.4829999999999999E-2</v>
      </c>
      <c r="F363" s="74" t="s">
        <v>441</v>
      </c>
      <c r="G363" s="74" t="s">
        <v>442</v>
      </c>
      <c r="H363" s="74" t="s">
        <v>567</v>
      </c>
      <c r="I363" s="1">
        <f t="shared" si="5"/>
        <v>6.4829999999999999E-2</v>
      </c>
    </row>
    <row r="364" spans="2:9" ht="12.5" x14ac:dyDescent="0.25">
      <c r="C364" s="74" t="s">
        <v>387</v>
      </c>
      <c r="D364" s="74" t="s">
        <v>327</v>
      </c>
      <c r="E364" s="74">
        <v>1.9970000000000002E-2</v>
      </c>
      <c r="F364" s="74" t="s">
        <v>441</v>
      </c>
      <c r="G364" s="74" t="s">
        <v>442</v>
      </c>
      <c r="H364" s="74" t="s">
        <v>567</v>
      </c>
      <c r="I364" s="1">
        <f t="shared" si="5"/>
        <v>1.9970000000000002E-2</v>
      </c>
    </row>
    <row r="365" spans="2:9" ht="12.5" x14ac:dyDescent="0.25">
      <c r="C365" s="74" t="s">
        <v>387</v>
      </c>
      <c r="D365" s="74" t="s">
        <v>321</v>
      </c>
      <c r="E365" s="74">
        <v>1.6449999999999999E-2</v>
      </c>
      <c r="F365" s="74" t="s">
        <v>441</v>
      </c>
      <c r="G365" s="74" t="s">
        <v>442</v>
      </c>
      <c r="H365" s="74" t="s">
        <v>567</v>
      </c>
      <c r="I365" s="1">
        <f t="shared" si="5"/>
        <v>1.6449999999999999E-2</v>
      </c>
    </row>
    <row r="366" spans="2:9" ht="12.5" x14ac:dyDescent="0.25">
      <c r="C366" s="74" t="s">
        <v>387</v>
      </c>
      <c r="D366" s="74" t="s">
        <v>329</v>
      </c>
      <c r="E366" s="74">
        <v>1.43E-2</v>
      </c>
      <c r="F366" s="74" t="s">
        <v>441</v>
      </c>
      <c r="G366" s="74" t="s">
        <v>442</v>
      </c>
      <c r="H366" s="74" t="s">
        <v>567</v>
      </c>
      <c r="I366" s="1">
        <f t="shared" ref="I366:I429" si="6">IF(H366="Server",E366*$L$8/$M$8,IF(D366="market for electricity, low voltage | electricity, low voltage | APOS, U - FR",E366*$L$5/$M$5,E366))</f>
        <v>1.43E-2</v>
      </c>
    </row>
    <row r="367" spans="2:9" ht="12.5" x14ac:dyDescent="0.25">
      <c r="C367" s="74" t="s">
        <v>704</v>
      </c>
      <c r="D367" s="74" t="s">
        <v>325</v>
      </c>
      <c r="E367" s="74">
        <v>-3.6700000000000001E-3</v>
      </c>
      <c r="F367" s="74" t="s">
        <v>441</v>
      </c>
      <c r="G367" s="74" t="s">
        <v>442</v>
      </c>
      <c r="H367" s="74" t="s">
        <v>567</v>
      </c>
      <c r="I367" s="1">
        <f t="shared" si="6"/>
        <v>-3.6700000000000001E-3</v>
      </c>
    </row>
    <row r="368" spans="2:9" ht="12.5" x14ac:dyDescent="0.25">
      <c r="B368" s="74" t="s">
        <v>705</v>
      </c>
      <c r="D368" s="74" t="s">
        <v>586</v>
      </c>
      <c r="E368" s="74">
        <v>85.364302499999994</v>
      </c>
      <c r="F368" s="74" t="s">
        <v>441</v>
      </c>
      <c r="G368" s="74" t="s">
        <v>442</v>
      </c>
      <c r="H368" s="74" t="s">
        <v>587</v>
      </c>
      <c r="I368" s="1">
        <f t="shared" si="6"/>
        <v>85.364302499999994</v>
      </c>
    </row>
    <row r="369" spans="3:9" ht="12.5" x14ac:dyDescent="0.25">
      <c r="C369" s="74" t="s">
        <v>706</v>
      </c>
      <c r="D369" s="74" t="s">
        <v>299</v>
      </c>
      <c r="E369" s="74">
        <v>30.193845</v>
      </c>
      <c r="F369" s="74" t="s">
        <v>441</v>
      </c>
      <c r="G369" s="74" t="s">
        <v>442</v>
      </c>
      <c r="H369" s="74" t="s">
        <v>587</v>
      </c>
      <c r="I369" s="1">
        <f t="shared" si="6"/>
        <v>30.193845</v>
      </c>
    </row>
    <row r="370" spans="3:9" ht="12.5" x14ac:dyDescent="0.25">
      <c r="C370" s="74" t="s">
        <v>707</v>
      </c>
      <c r="D370" s="74" t="s">
        <v>313</v>
      </c>
      <c r="E370" s="74">
        <v>28.342642500000004</v>
      </c>
      <c r="F370" s="74" t="s">
        <v>441</v>
      </c>
      <c r="G370" s="74" t="s">
        <v>442</v>
      </c>
      <c r="H370" s="74" t="s">
        <v>587</v>
      </c>
      <c r="I370" s="1">
        <f t="shared" si="6"/>
        <v>28.3426425</v>
      </c>
    </row>
    <row r="371" spans="3:9" ht="12.5" x14ac:dyDescent="0.25">
      <c r="C371" s="74" t="s">
        <v>708</v>
      </c>
      <c r="D371" s="74" t="s">
        <v>301</v>
      </c>
      <c r="E371" s="74">
        <v>9.2010000000000005</v>
      </c>
      <c r="F371" s="74" t="s">
        <v>441</v>
      </c>
      <c r="G371" s="74" t="s">
        <v>442</v>
      </c>
      <c r="H371" s="74" t="s">
        <v>587</v>
      </c>
      <c r="I371" s="1">
        <f t="shared" si="6"/>
        <v>9.2010000000000005</v>
      </c>
    </row>
    <row r="372" spans="3:9" ht="12.5" x14ac:dyDescent="0.25">
      <c r="C372" s="74" t="s">
        <v>489</v>
      </c>
      <c r="D372" s="74" t="s">
        <v>303</v>
      </c>
      <c r="E372" s="74">
        <v>5.7135899999999999</v>
      </c>
      <c r="F372" s="74" t="s">
        <v>441</v>
      </c>
      <c r="G372" s="74" t="s">
        <v>442</v>
      </c>
      <c r="H372" s="74" t="s">
        <v>587</v>
      </c>
      <c r="I372" s="1">
        <f t="shared" si="6"/>
        <v>5.7135899999999999</v>
      </c>
    </row>
    <row r="373" spans="3:9" ht="12.5" x14ac:dyDescent="0.25">
      <c r="C373" s="74" t="s">
        <v>709</v>
      </c>
      <c r="D373" s="74" t="s">
        <v>309</v>
      </c>
      <c r="E373" s="74">
        <v>3.7876875000000001</v>
      </c>
      <c r="F373" s="74" t="s">
        <v>441</v>
      </c>
      <c r="G373" s="74" t="s">
        <v>442</v>
      </c>
      <c r="H373" s="74" t="s">
        <v>587</v>
      </c>
      <c r="I373" s="1">
        <f t="shared" si="6"/>
        <v>3.7876875000000001</v>
      </c>
    </row>
    <row r="374" spans="3:9" ht="12.5" x14ac:dyDescent="0.25">
      <c r="C374" s="74" t="s">
        <v>710</v>
      </c>
      <c r="D374" s="74" t="s">
        <v>311</v>
      </c>
      <c r="E374" s="74">
        <v>2.6137350000000001</v>
      </c>
      <c r="F374" s="74" t="s">
        <v>441</v>
      </c>
      <c r="G374" s="74" t="s">
        <v>442</v>
      </c>
      <c r="H374" s="74" t="s">
        <v>587</v>
      </c>
      <c r="I374" s="1">
        <f t="shared" si="6"/>
        <v>2.6137350000000001</v>
      </c>
    </row>
    <row r="375" spans="3:9" ht="12.5" x14ac:dyDescent="0.25">
      <c r="C375" s="74" t="s">
        <v>652</v>
      </c>
      <c r="D375" s="74" t="s">
        <v>592</v>
      </c>
      <c r="E375" s="74">
        <v>2.4255</v>
      </c>
      <c r="F375" s="74" t="s">
        <v>441</v>
      </c>
      <c r="G375" s="74" t="s">
        <v>442</v>
      </c>
      <c r="H375" s="74" t="s">
        <v>587</v>
      </c>
      <c r="I375" s="1">
        <f t="shared" si="6"/>
        <v>2.4255</v>
      </c>
    </row>
    <row r="376" spans="3:9" ht="12.5" x14ac:dyDescent="0.25">
      <c r="C376" s="74" t="s">
        <v>690</v>
      </c>
      <c r="D376" s="74" t="s">
        <v>317</v>
      </c>
      <c r="E376" s="74">
        <v>1.9078724999999999</v>
      </c>
      <c r="F376" s="74" t="s">
        <v>441</v>
      </c>
      <c r="G376" s="74" t="s">
        <v>442</v>
      </c>
      <c r="H376" s="74" t="s">
        <v>587</v>
      </c>
      <c r="I376" s="1">
        <f t="shared" si="6"/>
        <v>1.9078724999999999</v>
      </c>
    </row>
    <row r="377" spans="3:9" ht="12.5" x14ac:dyDescent="0.25">
      <c r="C377" s="74" t="s">
        <v>479</v>
      </c>
      <c r="D377" s="74" t="s">
        <v>315</v>
      </c>
      <c r="E377" s="74">
        <v>0.39697499999999997</v>
      </c>
      <c r="F377" s="74" t="s">
        <v>441</v>
      </c>
      <c r="G377" s="74" t="s">
        <v>442</v>
      </c>
      <c r="H377" s="74" t="s">
        <v>587</v>
      </c>
      <c r="I377" s="1">
        <f t="shared" si="6"/>
        <v>0.39697500000000002</v>
      </c>
    </row>
    <row r="378" spans="3:9" ht="12.5" x14ac:dyDescent="0.25">
      <c r="C378" s="74" t="s">
        <v>521</v>
      </c>
      <c r="D378" s="74" t="s">
        <v>319</v>
      </c>
      <c r="E378" s="74">
        <v>0.391455</v>
      </c>
      <c r="F378" s="74" t="s">
        <v>441</v>
      </c>
      <c r="G378" s="74" t="s">
        <v>442</v>
      </c>
      <c r="H378" s="74" t="s">
        <v>587</v>
      </c>
      <c r="I378" s="1">
        <f t="shared" si="6"/>
        <v>0.39145499999999994</v>
      </c>
    </row>
    <row r="379" spans="3:9" ht="12.5" x14ac:dyDescent="0.25">
      <c r="C379" s="74" t="s">
        <v>401</v>
      </c>
      <c r="D379" s="74" t="s">
        <v>323</v>
      </c>
      <c r="E379" s="74">
        <v>0.11238000000000001</v>
      </c>
      <c r="F379" s="74" t="s">
        <v>441</v>
      </c>
      <c r="G379" s="74" t="s">
        <v>442</v>
      </c>
      <c r="H379" s="74" t="s">
        <v>587</v>
      </c>
      <c r="I379" s="1">
        <f t="shared" si="6"/>
        <v>0.11237999999999999</v>
      </c>
    </row>
    <row r="380" spans="3:9" ht="12.5" x14ac:dyDescent="0.25">
      <c r="C380" s="74" t="s">
        <v>427</v>
      </c>
      <c r="D380" s="74" t="s">
        <v>327</v>
      </c>
      <c r="E380" s="74">
        <v>0.103995</v>
      </c>
      <c r="F380" s="74" t="s">
        <v>441</v>
      </c>
      <c r="G380" s="74" t="s">
        <v>442</v>
      </c>
      <c r="H380" s="74" t="s">
        <v>587</v>
      </c>
      <c r="I380" s="1">
        <f t="shared" si="6"/>
        <v>0.103995</v>
      </c>
    </row>
    <row r="381" spans="3:9" ht="12.5" x14ac:dyDescent="0.25">
      <c r="C381" s="74" t="s">
        <v>334</v>
      </c>
      <c r="D381" s="74" t="s">
        <v>598</v>
      </c>
      <c r="E381" s="74">
        <v>7.4497499999999994E-2</v>
      </c>
      <c r="F381" s="74" t="s">
        <v>441</v>
      </c>
      <c r="G381" s="74" t="s">
        <v>442</v>
      </c>
      <c r="H381" s="74" t="s">
        <v>587</v>
      </c>
      <c r="I381" s="1">
        <f t="shared" si="6"/>
        <v>7.4497499999999994E-2</v>
      </c>
    </row>
    <row r="382" spans="3:9" ht="12.5" x14ac:dyDescent="0.25">
      <c r="C382" s="74" t="s">
        <v>334</v>
      </c>
      <c r="D382" s="74" t="s">
        <v>321</v>
      </c>
      <c r="E382" s="74">
        <v>7.2569999999999996E-2</v>
      </c>
      <c r="F382" s="74" t="s">
        <v>441</v>
      </c>
      <c r="G382" s="74" t="s">
        <v>442</v>
      </c>
      <c r="H382" s="74" t="s">
        <v>587</v>
      </c>
      <c r="I382" s="1">
        <f t="shared" si="6"/>
        <v>7.2569999999999996E-2</v>
      </c>
    </row>
    <row r="383" spans="3:9" ht="12.5" x14ac:dyDescent="0.25">
      <c r="C383" s="74" t="s">
        <v>387</v>
      </c>
      <c r="D383" s="74" t="s">
        <v>333</v>
      </c>
      <c r="E383" s="74">
        <v>2.0902499999999997E-2</v>
      </c>
      <c r="F383" s="74" t="s">
        <v>441</v>
      </c>
      <c r="G383" s="74" t="s">
        <v>442</v>
      </c>
      <c r="H383" s="74" t="s">
        <v>587</v>
      </c>
      <c r="I383" s="1">
        <f t="shared" si="6"/>
        <v>2.0902500000000001E-2</v>
      </c>
    </row>
    <row r="384" spans="3:9" ht="12.5" x14ac:dyDescent="0.25">
      <c r="C384" s="74" t="s">
        <v>356</v>
      </c>
      <c r="D384" s="74" t="s">
        <v>335</v>
      </c>
      <c r="E384" s="74">
        <v>3.1725E-3</v>
      </c>
      <c r="F384" s="74" t="s">
        <v>441</v>
      </c>
      <c r="G384" s="74" t="s">
        <v>442</v>
      </c>
      <c r="H384" s="74" t="s">
        <v>587</v>
      </c>
      <c r="I384" s="1">
        <f t="shared" si="6"/>
        <v>3.1725E-3</v>
      </c>
    </row>
    <row r="385" spans="1:9" ht="12.5" x14ac:dyDescent="0.25">
      <c r="C385" s="74" t="s">
        <v>356</v>
      </c>
      <c r="D385" s="74" t="s">
        <v>331</v>
      </c>
      <c r="E385" s="74">
        <v>2.7750000000000001E-3</v>
      </c>
      <c r="F385" s="74" t="s">
        <v>441</v>
      </c>
      <c r="G385" s="74" t="s">
        <v>442</v>
      </c>
      <c r="H385" s="74" t="s">
        <v>587</v>
      </c>
      <c r="I385" s="1">
        <f t="shared" si="6"/>
        <v>2.7750000000000001E-3</v>
      </c>
    </row>
    <row r="386" spans="1:9" ht="12.5" x14ac:dyDescent="0.25">
      <c r="C386" s="74" t="s">
        <v>704</v>
      </c>
      <c r="D386" s="74" t="s">
        <v>325</v>
      </c>
      <c r="E386" s="74">
        <v>-2.9250000000000001E-4</v>
      </c>
      <c r="F386" s="74" t="s">
        <v>441</v>
      </c>
      <c r="G386" s="74" t="s">
        <v>442</v>
      </c>
      <c r="H386" s="74" t="s">
        <v>587</v>
      </c>
      <c r="I386" s="1">
        <f t="shared" si="6"/>
        <v>-2.9250000000000001E-4</v>
      </c>
    </row>
    <row r="387" spans="1:9" ht="12.5" x14ac:dyDescent="0.25">
      <c r="B387" s="74" t="s">
        <v>711</v>
      </c>
      <c r="D387" s="74" t="s">
        <v>337</v>
      </c>
      <c r="E387" s="74">
        <v>33.495388495394067</v>
      </c>
      <c r="F387" s="74" t="s">
        <v>441</v>
      </c>
      <c r="G387" s="74" t="s">
        <v>442</v>
      </c>
      <c r="I387" s="1">
        <f t="shared" si="6"/>
        <v>20.743795073942277</v>
      </c>
    </row>
    <row r="388" spans="1:9" ht="12.5" x14ac:dyDescent="0.25">
      <c r="A388" s="74" t="s">
        <v>289</v>
      </c>
      <c r="D388" s="74" t="s">
        <v>290</v>
      </c>
      <c r="E388" s="74" t="s">
        <v>291</v>
      </c>
      <c r="F388" s="74" t="s">
        <v>3</v>
      </c>
      <c r="I388" s="1" t="str">
        <f t="shared" si="6"/>
        <v>Amount</v>
      </c>
    </row>
    <row r="389" spans="1:9" ht="12.5" x14ac:dyDescent="0.25">
      <c r="A389" s="74" t="s">
        <v>292</v>
      </c>
      <c r="D389" s="74" t="s">
        <v>563</v>
      </c>
      <c r="E389" s="75">
        <v>12392.3</v>
      </c>
      <c r="F389" s="74" t="s">
        <v>376</v>
      </c>
      <c r="G389" s="74" t="s">
        <v>455</v>
      </c>
      <c r="I389" s="1">
        <f t="shared" si="6"/>
        <v>12392.3</v>
      </c>
    </row>
    <row r="390" spans="1:9" ht="12.5" x14ac:dyDescent="0.25">
      <c r="B390" s="74" t="s">
        <v>712</v>
      </c>
      <c r="D390" s="74" t="s">
        <v>565</v>
      </c>
      <c r="E390" s="74">
        <v>6158.6920899999996</v>
      </c>
      <c r="F390" s="74" t="s">
        <v>376</v>
      </c>
      <c r="G390" s="74" t="s">
        <v>455</v>
      </c>
      <c r="I390" s="1">
        <f t="shared" si="6"/>
        <v>6158.6920899999996</v>
      </c>
    </row>
    <row r="391" spans="1:9" ht="12.5" x14ac:dyDescent="0.25">
      <c r="C391" s="74" t="s">
        <v>713</v>
      </c>
      <c r="D391" s="74" t="s">
        <v>313</v>
      </c>
      <c r="E391" s="74">
        <v>4323.7253000000001</v>
      </c>
      <c r="F391" s="74" t="s">
        <v>376</v>
      </c>
      <c r="G391" s="74" t="s">
        <v>455</v>
      </c>
      <c r="H391" s="74" t="s">
        <v>567</v>
      </c>
      <c r="I391" s="1">
        <f t="shared" si="6"/>
        <v>4323.7253000000001</v>
      </c>
    </row>
    <row r="392" spans="1:9" ht="12.5" x14ac:dyDescent="0.25">
      <c r="C392" s="74" t="s">
        <v>714</v>
      </c>
      <c r="D392" s="74" t="s">
        <v>569</v>
      </c>
      <c r="E392" s="74">
        <v>972.81659000000002</v>
      </c>
      <c r="F392" s="74" t="s">
        <v>376</v>
      </c>
      <c r="G392" s="74" t="s">
        <v>455</v>
      </c>
      <c r="H392" s="74" t="s">
        <v>567</v>
      </c>
      <c r="I392" s="1">
        <f t="shared" si="6"/>
        <v>972.81659000000002</v>
      </c>
    </row>
    <row r="393" spans="1:9" ht="12.5" x14ac:dyDescent="0.25">
      <c r="C393" s="74" t="s">
        <v>715</v>
      </c>
      <c r="D393" s="74" t="s">
        <v>573</v>
      </c>
      <c r="E393" s="74">
        <v>280.55462999999997</v>
      </c>
      <c r="F393" s="74" t="s">
        <v>376</v>
      </c>
      <c r="G393" s="74" t="s">
        <v>455</v>
      </c>
      <c r="H393" s="74" t="s">
        <v>567</v>
      </c>
      <c r="I393" s="1">
        <f t="shared" si="6"/>
        <v>280.55462999999997</v>
      </c>
    </row>
    <row r="394" spans="1:9" ht="12.5" x14ac:dyDescent="0.25">
      <c r="C394" s="74" t="s">
        <v>716</v>
      </c>
      <c r="D394" s="74" t="s">
        <v>571</v>
      </c>
      <c r="E394" s="74">
        <v>230.50651999999999</v>
      </c>
      <c r="F394" s="74" t="s">
        <v>376</v>
      </c>
      <c r="G394" s="74" t="s">
        <v>455</v>
      </c>
      <c r="H394" s="74" t="s">
        <v>567</v>
      </c>
      <c r="I394" s="1">
        <f t="shared" si="6"/>
        <v>230.50651999999999</v>
      </c>
    </row>
    <row r="395" spans="1:9" ht="12.5" x14ac:dyDescent="0.25">
      <c r="C395" s="74" t="s">
        <v>574</v>
      </c>
      <c r="D395" s="74" t="s">
        <v>581</v>
      </c>
      <c r="E395" s="74">
        <v>145.93374</v>
      </c>
      <c r="F395" s="74" t="s">
        <v>376</v>
      </c>
      <c r="G395" s="74" t="s">
        <v>455</v>
      </c>
      <c r="H395" s="74" t="s">
        <v>567</v>
      </c>
      <c r="I395" s="1">
        <f t="shared" si="6"/>
        <v>145.93374</v>
      </c>
    </row>
    <row r="396" spans="1:9" ht="12.5" x14ac:dyDescent="0.25">
      <c r="C396" s="74" t="s">
        <v>534</v>
      </c>
      <c r="D396" s="74" t="s">
        <v>575</v>
      </c>
      <c r="E396" s="74">
        <v>57.702419999999996</v>
      </c>
      <c r="F396" s="74" t="s">
        <v>376</v>
      </c>
      <c r="G396" s="74" t="s">
        <v>455</v>
      </c>
      <c r="H396" s="74" t="s">
        <v>567</v>
      </c>
      <c r="I396" s="1">
        <f t="shared" si="6"/>
        <v>57.702419999999996</v>
      </c>
    </row>
    <row r="397" spans="1:9" ht="12.5" x14ac:dyDescent="0.25">
      <c r="C397" s="74" t="s">
        <v>414</v>
      </c>
      <c r="D397" s="74" t="s">
        <v>580</v>
      </c>
      <c r="E397" s="74">
        <v>41.824910000000003</v>
      </c>
      <c r="F397" s="74" t="s">
        <v>376</v>
      </c>
      <c r="G397" s="74" t="s">
        <v>455</v>
      </c>
      <c r="H397" s="74" t="s">
        <v>567</v>
      </c>
      <c r="I397" s="1">
        <f t="shared" si="6"/>
        <v>41.824910000000003</v>
      </c>
    </row>
    <row r="398" spans="1:9" ht="12.5" x14ac:dyDescent="0.25">
      <c r="C398" s="74" t="s">
        <v>435</v>
      </c>
      <c r="D398" s="74" t="s">
        <v>578</v>
      </c>
      <c r="E398" s="74">
        <v>39.448059999999998</v>
      </c>
      <c r="F398" s="74" t="s">
        <v>376</v>
      </c>
      <c r="G398" s="74" t="s">
        <v>455</v>
      </c>
      <c r="H398" s="74" t="s">
        <v>567</v>
      </c>
      <c r="I398" s="1">
        <f t="shared" si="6"/>
        <v>39.448059999999998</v>
      </c>
    </row>
    <row r="399" spans="1:9" ht="12.5" x14ac:dyDescent="0.25">
      <c r="C399" s="74" t="s">
        <v>426</v>
      </c>
      <c r="D399" s="74" t="s">
        <v>315</v>
      </c>
      <c r="E399" s="74">
        <v>21.162030000000001</v>
      </c>
      <c r="F399" s="74" t="s">
        <v>376</v>
      </c>
      <c r="G399" s="74" t="s">
        <v>455</v>
      </c>
      <c r="H399" s="74" t="s">
        <v>567</v>
      </c>
      <c r="I399" s="1">
        <f t="shared" si="6"/>
        <v>21.162030000000001</v>
      </c>
    </row>
    <row r="400" spans="1:9" ht="12.5" x14ac:dyDescent="0.25">
      <c r="C400" s="74" t="s">
        <v>415</v>
      </c>
      <c r="D400" s="74" t="s">
        <v>577</v>
      </c>
      <c r="E400" s="74">
        <v>17.040590000000002</v>
      </c>
      <c r="F400" s="74" t="s">
        <v>376</v>
      </c>
      <c r="G400" s="74" t="s">
        <v>455</v>
      </c>
      <c r="H400" s="74" t="s">
        <v>567</v>
      </c>
      <c r="I400" s="1">
        <f t="shared" si="6"/>
        <v>17.040590000000002</v>
      </c>
    </row>
    <row r="401" spans="2:9" ht="12.5" x14ac:dyDescent="0.25">
      <c r="C401" s="74" t="s">
        <v>328</v>
      </c>
      <c r="D401" s="74" t="s">
        <v>583</v>
      </c>
      <c r="E401" s="74">
        <v>15.90071</v>
      </c>
      <c r="F401" s="74" t="s">
        <v>376</v>
      </c>
      <c r="G401" s="74" t="s">
        <v>455</v>
      </c>
      <c r="H401" s="74" t="s">
        <v>567</v>
      </c>
      <c r="I401" s="1">
        <f t="shared" si="6"/>
        <v>15.90071</v>
      </c>
    </row>
    <row r="402" spans="2:9" ht="12.5" x14ac:dyDescent="0.25">
      <c r="C402" s="74" t="s">
        <v>332</v>
      </c>
      <c r="D402" s="74" t="s">
        <v>582</v>
      </c>
      <c r="E402" s="74">
        <v>8.3693100000000005</v>
      </c>
      <c r="F402" s="74" t="s">
        <v>376</v>
      </c>
      <c r="G402" s="74" t="s">
        <v>455</v>
      </c>
      <c r="H402" s="74" t="s">
        <v>567</v>
      </c>
      <c r="I402" s="1">
        <f t="shared" si="6"/>
        <v>8.3693100000000005</v>
      </c>
    </row>
    <row r="403" spans="2:9" ht="12.5" x14ac:dyDescent="0.25">
      <c r="C403" s="74" t="s">
        <v>355</v>
      </c>
      <c r="D403" s="74" t="s">
        <v>584</v>
      </c>
      <c r="E403" s="74">
        <v>1.92893</v>
      </c>
      <c r="F403" s="74" t="s">
        <v>376</v>
      </c>
      <c r="G403" s="74" t="s">
        <v>455</v>
      </c>
      <c r="H403" s="74" t="s">
        <v>567</v>
      </c>
      <c r="I403" s="1">
        <f t="shared" si="6"/>
        <v>1.92893</v>
      </c>
    </row>
    <row r="404" spans="2:9" ht="12.5" x14ac:dyDescent="0.25">
      <c r="C404" s="74" t="s">
        <v>356</v>
      </c>
      <c r="D404" s="74" t="s">
        <v>323</v>
      </c>
      <c r="E404" s="74">
        <v>0.46135999999999999</v>
      </c>
      <c r="F404" s="74" t="s">
        <v>376</v>
      </c>
      <c r="G404" s="74" t="s">
        <v>455</v>
      </c>
      <c r="H404" s="74" t="s">
        <v>567</v>
      </c>
      <c r="I404" s="1">
        <f t="shared" si="6"/>
        <v>0.46135999999999999</v>
      </c>
    </row>
    <row r="405" spans="2:9" ht="12.5" x14ac:dyDescent="0.25">
      <c r="C405" s="74" t="s">
        <v>356</v>
      </c>
      <c r="D405" s="74" t="s">
        <v>325</v>
      </c>
      <c r="E405" s="74">
        <v>0.43481999999999998</v>
      </c>
      <c r="F405" s="74" t="s">
        <v>376</v>
      </c>
      <c r="G405" s="74" t="s">
        <v>455</v>
      </c>
      <c r="H405" s="74" t="s">
        <v>567</v>
      </c>
      <c r="I405" s="1">
        <f t="shared" si="6"/>
        <v>0.43481999999999998</v>
      </c>
    </row>
    <row r="406" spans="2:9" ht="12.5" x14ac:dyDescent="0.25">
      <c r="C406" s="74" t="s">
        <v>356</v>
      </c>
      <c r="D406" s="74" t="s">
        <v>317</v>
      </c>
      <c r="E406" s="74">
        <v>0.35589999999999999</v>
      </c>
      <c r="F406" s="74" t="s">
        <v>376</v>
      </c>
      <c r="G406" s="74" t="s">
        <v>455</v>
      </c>
      <c r="H406" s="74" t="s">
        <v>567</v>
      </c>
      <c r="I406" s="1">
        <f t="shared" si="6"/>
        <v>0.35589999999999999</v>
      </c>
    </row>
    <row r="407" spans="2:9" ht="12.5" x14ac:dyDescent="0.25">
      <c r="C407" s="74" t="s">
        <v>356</v>
      </c>
      <c r="D407" s="74" t="s">
        <v>319</v>
      </c>
      <c r="E407" s="74">
        <v>0.17810000000000001</v>
      </c>
      <c r="F407" s="74" t="s">
        <v>376</v>
      </c>
      <c r="G407" s="74" t="s">
        <v>455</v>
      </c>
      <c r="H407" s="74" t="s">
        <v>567</v>
      </c>
      <c r="I407" s="1">
        <f t="shared" si="6"/>
        <v>0.17810000000000001</v>
      </c>
    </row>
    <row r="408" spans="2:9" ht="12.5" x14ac:dyDescent="0.25">
      <c r="C408" s="74" t="s">
        <v>356</v>
      </c>
      <c r="D408" s="74" t="s">
        <v>327</v>
      </c>
      <c r="E408" s="74">
        <v>0.15442</v>
      </c>
      <c r="F408" s="74" t="s">
        <v>376</v>
      </c>
      <c r="G408" s="74" t="s">
        <v>455</v>
      </c>
      <c r="H408" s="74" t="s">
        <v>567</v>
      </c>
      <c r="I408" s="1">
        <f t="shared" si="6"/>
        <v>0.15442</v>
      </c>
    </row>
    <row r="409" spans="2:9" ht="12.5" x14ac:dyDescent="0.25">
      <c r="C409" s="74" t="s">
        <v>356</v>
      </c>
      <c r="D409" s="74" t="s">
        <v>329</v>
      </c>
      <c r="E409" s="74">
        <v>0.12101000000000001</v>
      </c>
      <c r="F409" s="74" t="s">
        <v>376</v>
      </c>
      <c r="G409" s="74" t="s">
        <v>455</v>
      </c>
      <c r="H409" s="74" t="s">
        <v>567</v>
      </c>
      <c r="I409" s="1">
        <f t="shared" si="6"/>
        <v>0.12101000000000001</v>
      </c>
    </row>
    <row r="410" spans="2:9" ht="12.5" x14ac:dyDescent="0.25">
      <c r="C410" s="74" t="s">
        <v>356</v>
      </c>
      <c r="D410" s="74" t="s">
        <v>321</v>
      </c>
      <c r="E410" s="74">
        <v>7.2739999999999999E-2</v>
      </c>
      <c r="F410" s="74" t="s">
        <v>376</v>
      </c>
      <c r="G410" s="74" t="s">
        <v>455</v>
      </c>
      <c r="H410" s="74" t="s">
        <v>567</v>
      </c>
      <c r="I410" s="1">
        <f t="shared" si="6"/>
        <v>7.2739999999999999E-2</v>
      </c>
    </row>
    <row r="411" spans="2:9" ht="12.5" x14ac:dyDescent="0.25">
      <c r="B411" s="74" t="s">
        <v>717</v>
      </c>
      <c r="D411" s="74" t="s">
        <v>586</v>
      </c>
      <c r="E411" s="74">
        <v>3465.0097425000004</v>
      </c>
      <c r="F411" s="74" t="s">
        <v>376</v>
      </c>
      <c r="G411" s="74" t="s">
        <v>455</v>
      </c>
      <c r="H411" s="74" t="s">
        <v>587</v>
      </c>
      <c r="I411" s="1">
        <f t="shared" si="6"/>
        <v>3465.0097425000004</v>
      </c>
    </row>
    <row r="412" spans="2:9" ht="12.5" x14ac:dyDescent="0.25">
      <c r="C412" s="74" t="s">
        <v>718</v>
      </c>
      <c r="D412" s="74" t="s">
        <v>313</v>
      </c>
      <c r="E412" s="74">
        <v>1370.1405075</v>
      </c>
      <c r="F412" s="74" t="s">
        <v>376</v>
      </c>
      <c r="G412" s="74" t="s">
        <v>455</v>
      </c>
      <c r="H412" s="74" t="s">
        <v>587</v>
      </c>
      <c r="I412" s="1">
        <f t="shared" si="6"/>
        <v>1370.1405075</v>
      </c>
    </row>
    <row r="413" spans="2:9" ht="12.5" x14ac:dyDescent="0.25">
      <c r="C413" s="74" t="s">
        <v>719</v>
      </c>
      <c r="D413" s="74" t="s">
        <v>299</v>
      </c>
      <c r="E413" s="74">
        <v>1318.51593</v>
      </c>
      <c r="F413" s="74" t="s">
        <v>376</v>
      </c>
      <c r="G413" s="74" t="s">
        <v>455</v>
      </c>
      <c r="H413" s="74" t="s">
        <v>587</v>
      </c>
      <c r="I413" s="1">
        <f t="shared" si="6"/>
        <v>1318.51593</v>
      </c>
    </row>
    <row r="414" spans="2:9" ht="12.5" x14ac:dyDescent="0.25">
      <c r="C414" s="74" t="s">
        <v>720</v>
      </c>
      <c r="D414" s="74" t="s">
        <v>303</v>
      </c>
      <c r="E414" s="74">
        <v>223.90725749999999</v>
      </c>
      <c r="F414" s="74" t="s">
        <v>376</v>
      </c>
      <c r="G414" s="74" t="s">
        <v>455</v>
      </c>
      <c r="H414" s="74" t="s">
        <v>587</v>
      </c>
      <c r="I414" s="1">
        <f t="shared" si="6"/>
        <v>223.90725749999999</v>
      </c>
    </row>
    <row r="415" spans="2:9" ht="12.5" x14ac:dyDescent="0.25">
      <c r="C415" s="74" t="s">
        <v>721</v>
      </c>
      <c r="D415" s="74" t="s">
        <v>309</v>
      </c>
      <c r="E415" s="74">
        <v>135.45693</v>
      </c>
      <c r="F415" s="74" t="s">
        <v>376</v>
      </c>
      <c r="G415" s="74" t="s">
        <v>455</v>
      </c>
      <c r="H415" s="74" t="s">
        <v>587</v>
      </c>
      <c r="I415" s="1">
        <f t="shared" si="6"/>
        <v>135.45693</v>
      </c>
    </row>
    <row r="416" spans="2:9" ht="12.5" x14ac:dyDescent="0.25">
      <c r="C416" s="74" t="s">
        <v>722</v>
      </c>
      <c r="D416" s="74" t="s">
        <v>301</v>
      </c>
      <c r="E416" s="74">
        <v>135.22674750000002</v>
      </c>
      <c r="F416" s="74" t="s">
        <v>376</v>
      </c>
      <c r="G416" s="74" t="s">
        <v>455</v>
      </c>
      <c r="H416" s="74" t="s">
        <v>587</v>
      </c>
      <c r="I416" s="1">
        <f t="shared" si="6"/>
        <v>135.22674750000002</v>
      </c>
    </row>
    <row r="417" spans="1:9" ht="12.5" x14ac:dyDescent="0.25">
      <c r="C417" s="74" t="s">
        <v>723</v>
      </c>
      <c r="D417" s="74" t="s">
        <v>315</v>
      </c>
      <c r="E417" s="74">
        <v>121.85804999999999</v>
      </c>
      <c r="F417" s="74" t="s">
        <v>376</v>
      </c>
      <c r="G417" s="74" t="s">
        <v>455</v>
      </c>
      <c r="H417" s="74" t="s">
        <v>587</v>
      </c>
      <c r="I417" s="1">
        <f t="shared" si="6"/>
        <v>121.85804999999999</v>
      </c>
    </row>
    <row r="418" spans="1:9" ht="12.5" x14ac:dyDescent="0.25">
      <c r="C418" s="74" t="s">
        <v>724</v>
      </c>
      <c r="D418" s="74" t="s">
        <v>311</v>
      </c>
      <c r="E418" s="74">
        <v>79.806952500000008</v>
      </c>
      <c r="F418" s="74" t="s">
        <v>376</v>
      </c>
      <c r="G418" s="74" t="s">
        <v>455</v>
      </c>
      <c r="H418" s="74" t="s">
        <v>587</v>
      </c>
      <c r="I418" s="1">
        <f t="shared" si="6"/>
        <v>79.806952500000008</v>
      </c>
    </row>
    <row r="419" spans="1:9" ht="12.5" x14ac:dyDescent="0.25">
      <c r="C419" s="74" t="s">
        <v>725</v>
      </c>
      <c r="D419" s="74" t="s">
        <v>592</v>
      </c>
      <c r="E419" s="74">
        <v>71.9266425</v>
      </c>
      <c r="F419" s="74" t="s">
        <v>376</v>
      </c>
      <c r="G419" s="74" t="s">
        <v>455</v>
      </c>
      <c r="H419" s="74" t="s">
        <v>587</v>
      </c>
      <c r="I419" s="1">
        <f t="shared" si="6"/>
        <v>71.9266425</v>
      </c>
    </row>
    <row r="420" spans="1:9" ht="12.5" x14ac:dyDescent="0.25">
      <c r="C420" s="74" t="s">
        <v>354</v>
      </c>
      <c r="D420" s="74" t="s">
        <v>333</v>
      </c>
      <c r="E420" s="74">
        <v>3.1978124999999999</v>
      </c>
      <c r="F420" s="74" t="s">
        <v>376</v>
      </c>
      <c r="G420" s="74" t="s">
        <v>455</v>
      </c>
      <c r="H420" s="74" t="s">
        <v>587</v>
      </c>
      <c r="I420" s="1">
        <f t="shared" si="6"/>
        <v>3.1978124999999999</v>
      </c>
    </row>
    <row r="421" spans="1:9" ht="12.5" x14ac:dyDescent="0.25">
      <c r="C421" s="74" t="s">
        <v>355</v>
      </c>
      <c r="D421" s="74" t="s">
        <v>317</v>
      </c>
      <c r="E421" s="74">
        <v>1.5701475</v>
      </c>
      <c r="F421" s="74" t="s">
        <v>376</v>
      </c>
      <c r="G421" s="74" t="s">
        <v>455</v>
      </c>
      <c r="H421" s="74" t="s">
        <v>587</v>
      </c>
      <c r="I421" s="1">
        <f t="shared" si="6"/>
        <v>1.5701475</v>
      </c>
    </row>
    <row r="422" spans="1:9" ht="12.5" x14ac:dyDescent="0.25">
      <c r="C422" s="74" t="s">
        <v>387</v>
      </c>
      <c r="D422" s="74" t="s">
        <v>319</v>
      </c>
      <c r="E422" s="74">
        <v>1.075485</v>
      </c>
      <c r="F422" s="74" t="s">
        <v>376</v>
      </c>
      <c r="G422" s="74" t="s">
        <v>455</v>
      </c>
      <c r="H422" s="74" t="s">
        <v>587</v>
      </c>
      <c r="I422" s="1">
        <f t="shared" si="6"/>
        <v>1.075485</v>
      </c>
    </row>
    <row r="423" spans="1:9" ht="12.5" x14ac:dyDescent="0.25">
      <c r="C423" s="74" t="s">
        <v>387</v>
      </c>
      <c r="D423" s="74" t="s">
        <v>327</v>
      </c>
      <c r="E423" s="74">
        <v>0.80425500000000005</v>
      </c>
      <c r="F423" s="74" t="s">
        <v>376</v>
      </c>
      <c r="G423" s="74" t="s">
        <v>455</v>
      </c>
      <c r="H423" s="74" t="s">
        <v>587</v>
      </c>
      <c r="I423" s="1">
        <f t="shared" si="6"/>
        <v>0.80425500000000005</v>
      </c>
    </row>
    <row r="424" spans="1:9" ht="12.5" x14ac:dyDescent="0.25">
      <c r="C424" s="74" t="s">
        <v>387</v>
      </c>
      <c r="D424" s="74" t="s">
        <v>598</v>
      </c>
      <c r="E424" s="74">
        <v>0.63028499999999998</v>
      </c>
      <c r="F424" s="74" t="s">
        <v>376</v>
      </c>
      <c r="G424" s="74" t="s">
        <v>455</v>
      </c>
      <c r="H424" s="74" t="s">
        <v>587</v>
      </c>
      <c r="I424" s="1">
        <f t="shared" si="6"/>
        <v>0.63028499999999998</v>
      </c>
    </row>
    <row r="425" spans="1:9" ht="12.5" x14ac:dyDescent="0.25">
      <c r="C425" s="74" t="s">
        <v>387</v>
      </c>
      <c r="D425" s="74" t="s">
        <v>323</v>
      </c>
      <c r="E425" s="74">
        <v>0.50750249999999997</v>
      </c>
      <c r="F425" s="74" t="s">
        <v>376</v>
      </c>
      <c r="G425" s="74" t="s">
        <v>455</v>
      </c>
      <c r="H425" s="74" t="s">
        <v>587</v>
      </c>
      <c r="I425" s="1">
        <f t="shared" si="6"/>
        <v>0.50750249999999997</v>
      </c>
    </row>
    <row r="426" spans="1:9" ht="12.5" x14ac:dyDescent="0.25">
      <c r="C426" s="74" t="s">
        <v>356</v>
      </c>
      <c r="D426" s="74" t="s">
        <v>321</v>
      </c>
      <c r="E426" s="74">
        <v>0.32090999999999997</v>
      </c>
      <c r="F426" s="74" t="s">
        <v>376</v>
      </c>
      <c r="G426" s="74" t="s">
        <v>455</v>
      </c>
      <c r="H426" s="74" t="s">
        <v>587</v>
      </c>
      <c r="I426" s="1">
        <f t="shared" si="6"/>
        <v>0.32090999999999997</v>
      </c>
    </row>
    <row r="427" spans="1:9" ht="12.5" x14ac:dyDescent="0.25">
      <c r="C427" s="74" t="s">
        <v>356</v>
      </c>
      <c r="D427" s="74" t="s">
        <v>325</v>
      </c>
      <c r="E427" s="74">
        <v>3.4784999999999996E-2</v>
      </c>
      <c r="F427" s="74" t="s">
        <v>376</v>
      </c>
      <c r="G427" s="74" t="s">
        <v>455</v>
      </c>
      <c r="H427" s="74" t="s">
        <v>587</v>
      </c>
      <c r="I427" s="1">
        <f t="shared" si="6"/>
        <v>3.4784999999999996E-2</v>
      </c>
    </row>
    <row r="428" spans="1:9" ht="12.5" x14ac:dyDescent="0.25">
      <c r="C428" s="74" t="s">
        <v>356</v>
      </c>
      <c r="D428" s="74" t="s">
        <v>335</v>
      </c>
      <c r="E428" s="74">
        <v>2.2095E-2</v>
      </c>
      <c r="F428" s="74" t="s">
        <v>376</v>
      </c>
      <c r="G428" s="74" t="s">
        <v>455</v>
      </c>
      <c r="H428" s="74" t="s">
        <v>587</v>
      </c>
      <c r="I428" s="1">
        <f t="shared" si="6"/>
        <v>2.2095E-2</v>
      </c>
    </row>
    <row r="429" spans="1:9" ht="12.5" x14ac:dyDescent="0.25">
      <c r="C429" s="74" t="s">
        <v>356</v>
      </c>
      <c r="D429" s="74" t="s">
        <v>331</v>
      </c>
      <c r="E429" s="74">
        <v>7.4625000000000004E-3</v>
      </c>
      <c r="F429" s="74" t="s">
        <v>376</v>
      </c>
      <c r="G429" s="74" t="s">
        <v>455</v>
      </c>
      <c r="H429" s="74" t="s">
        <v>587</v>
      </c>
      <c r="I429" s="1">
        <f t="shared" si="6"/>
        <v>7.4625000000000004E-3</v>
      </c>
    </row>
    <row r="430" spans="1:9" ht="12.5" x14ac:dyDescent="0.25">
      <c r="B430" s="74" t="s">
        <v>726</v>
      </c>
      <c r="D430" s="74" t="s">
        <v>337</v>
      </c>
      <c r="E430" s="74">
        <v>2695.3600517502559</v>
      </c>
      <c r="F430" s="74" t="s">
        <v>376</v>
      </c>
      <c r="G430" s="74" t="s">
        <v>455</v>
      </c>
      <c r="I430" s="1">
        <f t="shared" ref="I430:I493" si="7">IF(H430="Server",E430*$L$8/$M$8,IF(D430="market for electricity, low voltage | electricity, low voltage | APOS, U - FR",E430*$L$5/$M$5,E430))</f>
        <v>1669.2446057667369</v>
      </c>
    </row>
    <row r="431" spans="1:9" ht="12.5" x14ac:dyDescent="0.25">
      <c r="A431" s="74" t="s">
        <v>289</v>
      </c>
      <c r="D431" s="74" t="s">
        <v>290</v>
      </c>
      <c r="E431" s="74" t="s">
        <v>291</v>
      </c>
      <c r="F431" s="74" t="s">
        <v>3</v>
      </c>
      <c r="I431" s="1" t="str">
        <f t="shared" si="7"/>
        <v>Amount</v>
      </c>
    </row>
    <row r="432" spans="1:9" ht="12.5" x14ac:dyDescent="0.25">
      <c r="A432" s="74" t="s">
        <v>292</v>
      </c>
      <c r="D432" s="74" t="s">
        <v>563</v>
      </c>
      <c r="E432" s="74">
        <v>2.0953400000000002</v>
      </c>
      <c r="F432" s="74" t="s">
        <v>467</v>
      </c>
      <c r="G432" s="74" t="s">
        <v>468</v>
      </c>
      <c r="I432" s="1">
        <f t="shared" si="7"/>
        <v>2.0953400000000002</v>
      </c>
    </row>
    <row r="433" spans="2:9" ht="12.5" x14ac:dyDescent="0.25">
      <c r="B433" s="74" t="s">
        <v>727</v>
      </c>
      <c r="D433" s="74" t="s">
        <v>565</v>
      </c>
      <c r="E433" s="74">
        <v>0.86528000000000005</v>
      </c>
      <c r="F433" s="74" t="s">
        <v>467</v>
      </c>
      <c r="G433" s="74" t="s">
        <v>468</v>
      </c>
      <c r="I433" s="1">
        <f t="shared" si="7"/>
        <v>0.86528000000000005</v>
      </c>
    </row>
    <row r="434" spans="2:9" ht="12.5" x14ac:dyDescent="0.25">
      <c r="C434" s="74" t="s">
        <v>728</v>
      </c>
      <c r="D434" s="74" t="s">
        <v>313</v>
      </c>
      <c r="E434" s="74">
        <v>0.42226999999999998</v>
      </c>
      <c r="F434" s="74" t="s">
        <v>467</v>
      </c>
      <c r="G434" s="74" t="s">
        <v>468</v>
      </c>
      <c r="H434" s="74" t="s">
        <v>567</v>
      </c>
      <c r="I434" s="1">
        <f t="shared" si="7"/>
        <v>0.42226999999999998</v>
      </c>
    </row>
    <row r="435" spans="2:9" ht="12.5" x14ac:dyDescent="0.25">
      <c r="C435" s="74" t="s">
        <v>729</v>
      </c>
      <c r="D435" s="74" t="s">
        <v>569</v>
      </c>
      <c r="E435" s="74">
        <v>0.23102</v>
      </c>
      <c r="F435" s="74" t="s">
        <v>467</v>
      </c>
      <c r="G435" s="74" t="s">
        <v>468</v>
      </c>
      <c r="H435" s="74" t="s">
        <v>567</v>
      </c>
      <c r="I435" s="1">
        <f t="shared" si="7"/>
        <v>0.23102</v>
      </c>
    </row>
    <row r="436" spans="2:9" ht="12.5" x14ac:dyDescent="0.25">
      <c r="C436" s="74" t="s">
        <v>730</v>
      </c>
      <c r="D436" s="74" t="s">
        <v>571</v>
      </c>
      <c r="E436" s="74">
        <v>9.3520000000000006E-2</v>
      </c>
      <c r="F436" s="74" t="s">
        <v>467</v>
      </c>
      <c r="G436" s="74" t="s">
        <v>468</v>
      </c>
      <c r="H436" s="74" t="s">
        <v>567</v>
      </c>
      <c r="I436" s="1">
        <f t="shared" si="7"/>
        <v>9.3520000000000006E-2</v>
      </c>
    </row>
    <row r="437" spans="2:9" ht="12.5" x14ac:dyDescent="0.25">
      <c r="C437" s="74" t="s">
        <v>731</v>
      </c>
      <c r="D437" s="74" t="s">
        <v>573</v>
      </c>
      <c r="E437" s="74">
        <v>5.3859999999999998E-2</v>
      </c>
      <c r="F437" s="74" t="s">
        <v>467</v>
      </c>
      <c r="G437" s="74" t="s">
        <v>468</v>
      </c>
      <c r="H437" s="74" t="s">
        <v>567</v>
      </c>
      <c r="I437" s="1">
        <f t="shared" si="7"/>
        <v>5.3859999999999998E-2</v>
      </c>
    </row>
    <row r="438" spans="2:9" ht="12.5" x14ac:dyDescent="0.25">
      <c r="C438" s="74" t="s">
        <v>732</v>
      </c>
      <c r="D438" s="74" t="s">
        <v>575</v>
      </c>
      <c r="E438" s="74">
        <v>2.018E-2</v>
      </c>
      <c r="F438" s="74" t="s">
        <v>467</v>
      </c>
      <c r="G438" s="74" t="s">
        <v>468</v>
      </c>
      <c r="H438" s="74" t="s">
        <v>567</v>
      </c>
      <c r="I438" s="1">
        <f t="shared" si="7"/>
        <v>2.018E-2</v>
      </c>
    </row>
    <row r="439" spans="2:9" ht="12.5" x14ac:dyDescent="0.25">
      <c r="C439" s="74" t="s">
        <v>683</v>
      </c>
      <c r="D439" s="74" t="s">
        <v>578</v>
      </c>
      <c r="E439" s="74">
        <v>1.106E-2</v>
      </c>
      <c r="F439" s="74" t="s">
        <v>467</v>
      </c>
      <c r="G439" s="74" t="s">
        <v>468</v>
      </c>
      <c r="H439" s="74" t="s">
        <v>567</v>
      </c>
      <c r="I439" s="1">
        <f t="shared" si="7"/>
        <v>1.106E-2</v>
      </c>
    </row>
    <row r="440" spans="2:9" ht="12.5" x14ac:dyDescent="0.25">
      <c r="C440" s="74" t="s">
        <v>434</v>
      </c>
      <c r="D440" s="74" t="s">
        <v>581</v>
      </c>
      <c r="E440" s="74">
        <v>8.9800000000000001E-3</v>
      </c>
      <c r="F440" s="74" t="s">
        <v>467</v>
      </c>
      <c r="G440" s="74" t="s">
        <v>468</v>
      </c>
      <c r="H440" s="74" t="s">
        <v>567</v>
      </c>
      <c r="I440" s="1">
        <f t="shared" si="7"/>
        <v>8.9800000000000001E-3</v>
      </c>
    </row>
    <row r="441" spans="2:9" ht="12.5" x14ac:dyDescent="0.25">
      <c r="C441" s="74" t="s">
        <v>668</v>
      </c>
      <c r="D441" s="74" t="s">
        <v>580</v>
      </c>
      <c r="E441" s="74">
        <v>7.3499999999999998E-3</v>
      </c>
      <c r="F441" s="74" t="s">
        <v>467</v>
      </c>
      <c r="G441" s="74" t="s">
        <v>468</v>
      </c>
      <c r="H441" s="74" t="s">
        <v>567</v>
      </c>
      <c r="I441" s="1">
        <f t="shared" si="7"/>
        <v>7.3499999999999998E-3</v>
      </c>
    </row>
    <row r="442" spans="2:9" ht="12.5" x14ac:dyDescent="0.25">
      <c r="C442" s="74" t="s">
        <v>324</v>
      </c>
      <c r="D442" s="74" t="s">
        <v>577</v>
      </c>
      <c r="E442" s="74">
        <v>6.4700000000000001E-3</v>
      </c>
      <c r="F442" s="74" t="s">
        <v>467</v>
      </c>
      <c r="G442" s="74" t="s">
        <v>468</v>
      </c>
      <c r="H442" s="74" t="s">
        <v>567</v>
      </c>
      <c r="I442" s="1">
        <f t="shared" si="7"/>
        <v>6.4700000000000001E-3</v>
      </c>
    </row>
    <row r="443" spans="2:9" ht="12.5" x14ac:dyDescent="0.25">
      <c r="C443" s="74" t="s">
        <v>426</v>
      </c>
      <c r="D443" s="74" t="s">
        <v>325</v>
      </c>
      <c r="E443" s="74">
        <v>3.65E-3</v>
      </c>
      <c r="F443" s="74" t="s">
        <v>467</v>
      </c>
      <c r="G443" s="74" t="s">
        <v>468</v>
      </c>
      <c r="H443" s="74" t="s">
        <v>567</v>
      </c>
      <c r="I443" s="1">
        <f t="shared" si="7"/>
        <v>3.65E-3</v>
      </c>
    </row>
    <row r="444" spans="2:9" ht="12.5" x14ac:dyDescent="0.25">
      <c r="C444" s="74" t="s">
        <v>374</v>
      </c>
      <c r="D444" s="74" t="s">
        <v>323</v>
      </c>
      <c r="E444" s="74">
        <v>2.3700000000000001E-3</v>
      </c>
      <c r="F444" s="74" t="s">
        <v>467</v>
      </c>
      <c r="G444" s="74" t="s">
        <v>468</v>
      </c>
      <c r="H444" s="74" t="s">
        <v>567</v>
      </c>
      <c r="I444" s="1">
        <f t="shared" si="7"/>
        <v>2.3700000000000001E-3</v>
      </c>
    </row>
    <row r="445" spans="2:9" ht="12.5" x14ac:dyDescent="0.25">
      <c r="C445" s="74" t="s">
        <v>330</v>
      </c>
      <c r="D445" s="74" t="s">
        <v>583</v>
      </c>
      <c r="E445" s="74">
        <v>1.92E-3</v>
      </c>
      <c r="F445" s="74" t="s">
        <v>467</v>
      </c>
      <c r="G445" s="74" t="s">
        <v>468</v>
      </c>
      <c r="H445" s="74" t="s">
        <v>567</v>
      </c>
      <c r="I445" s="1">
        <f t="shared" si="7"/>
        <v>1.92E-3</v>
      </c>
    </row>
    <row r="446" spans="2:9" ht="12.5" x14ac:dyDescent="0.25">
      <c r="C446" s="74" t="s">
        <v>400</v>
      </c>
      <c r="D446" s="74" t="s">
        <v>582</v>
      </c>
      <c r="E446" s="74">
        <v>1.66E-3</v>
      </c>
      <c r="F446" s="74" t="s">
        <v>467</v>
      </c>
      <c r="G446" s="74" t="s">
        <v>468</v>
      </c>
      <c r="H446" s="74" t="s">
        <v>567</v>
      </c>
      <c r="I446" s="1">
        <f t="shared" si="7"/>
        <v>1.66E-3</v>
      </c>
    </row>
    <row r="447" spans="2:9" ht="12.5" x14ac:dyDescent="0.25">
      <c r="C447" s="74" t="s">
        <v>387</v>
      </c>
      <c r="D447" s="74" t="s">
        <v>315</v>
      </c>
      <c r="E447" s="74">
        <v>2.9999999999999997E-4</v>
      </c>
      <c r="F447" s="74" t="s">
        <v>467</v>
      </c>
      <c r="G447" s="74" t="s">
        <v>468</v>
      </c>
      <c r="H447" s="74" t="s">
        <v>567</v>
      </c>
      <c r="I447" s="1">
        <f t="shared" si="7"/>
        <v>2.9999999999999997E-4</v>
      </c>
    </row>
    <row r="448" spans="2:9" ht="12.5" x14ac:dyDescent="0.25">
      <c r="C448" s="74" t="s">
        <v>387</v>
      </c>
      <c r="D448" s="74" t="s">
        <v>584</v>
      </c>
      <c r="E448" s="74">
        <v>1.6000000000000001E-4</v>
      </c>
      <c r="F448" s="74" t="s">
        <v>467</v>
      </c>
      <c r="G448" s="74" t="s">
        <v>468</v>
      </c>
      <c r="H448" s="74" t="s">
        <v>567</v>
      </c>
      <c r="I448" s="1">
        <f t="shared" si="7"/>
        <v>1.6000000000000001E-4</v>
      </c>
    </row>
    <row r="449" spans="2:9" ht="12.5" x14ac:dyDescent="0.25">
      <c r="C449" s="74" t="s">
        <v>387</v>
      </c>
      <c r="D449" s="74" t="s">
        <v>327</v>
      </c>
      <c r="E449" s="74">
        <v>1.3999999999999999E-4</v>
      </c>
      <c r="F449" s="74" t="s">
        <v>467</v>
      </c>
      <c r="G449" s="74" t="s">
        <v>468</v>
      </c>
      <c r="H449" s="74" t="s">
        <v>567</v>
      </c>
      <c r="I449" s="1">
        <f t="shared" si="7"/>
        <v>1.3999999999999999E-4</v>
      </c>
    </row>
    <row r="450" spans="2:9" ht="12.5" x14ac:dyDescent="0.25">
      <c r="C450" s="74" t="s">
        <v>387</v>
      </c>
      <c r="D450" s="74" t="s">
        <v>319</v>
      </c>
      <c r="E450" s="74">
        <v>1.2E-4</v>
      </c>
      <c r="F450" s="74" t="s">
        <v>467</v>
      </c>
      <c r="G450" s="74" t="s">
        <v>468</v>
      </c>
      <c r="H450" s="74" t="s">
        <v>567</v>
      </c>
      <c r="I450" s="1">
        <f t="shared" si="7"/>
        <v>1.2E-4</v>
      </c>
    </row>
    <row r="451" spans="2:9" ht="12.5" x14ac:dyDescent="0.25">
      <c r="C451" s="74" t="s">
        <v>356</v>
      </c>
      <c r="D451" s="74" t="s">
        <v>317</v>
      </c>
      <c r="E451" s="75">
        <v>8.9728999999999994E-5</v>
      </c>
      <c r="F451" s="74" t="s">
        <v>467</v>
      </c>
      <c r="G451" s="74" t="s">
        <v>468</v>
      </c>
      <c r="H451" s="74" t="s">
        <v>567</v>
      </c>
      <c r="I451" s="1">
        <f t="shared" si="7"/>
        <v>8.9728999999999994E-5</v>
      </c>
    </row>
    <row r="452" spans="2:9" ht="12.5" x14ac:dyDescent="0.25">
      <c r="C452" s="74" t="s">
        <v>356</v>
      </c>
      <c r="D452" s="74" t="s">
        <v>329</v>
      </c>
      <c r="E452" s="75">
        <v>7.6552300000000002E-5</v>
      </c>
      <c r="F452" s="74" t="s">
        <v>467</v>
      </c>
      <c r="G452" s="74" t="s">
        <v>468</v>
      </c>
      <c r="H452" s="74" t="s">
        <v>567</v>
      </c>
      <c r="I452" s="1">
        <f t="shared" si="7"/>
        <v>7.6552300000000002E-5</v>
      </c>
    </row>
    <row r="453" spans="2:9" ht="12.5" x14ac:dyDescent="0.25">
      <c r="C453" s="74" t="s">
        <v>356</v>
      </c>
      <c r="D453" s="74" t="s">
        <v>321</v>
      </c>
      <c r="E453" s="75">
        <v>6.8462199999999996E-5</v>
      </c>
      <c r="F453" s="74" t="s">
        <v>467</v>
      </c>
      <c r="G453" s="74" t="s">
        <v>468</v>
      </c>
      <c r="H453" s="74" t="s">
        <v>567</v>
      </c>
      <c r="I453" s="1">
        <f t="shared" si="7"/>
        <v>6.8462199999999996E-5</v>
      </c>
    </row>
    <row r="454" spans="2:9" ht="12.5" x14ac:dyDescent="0.25">
      <c r="B454" s="74" t="s">
        <v>733</v>
      </c>
      <c r="D454" s="74" t="s">
        <v>337</v>
      </c>
      <c r="E454" s="74">
        <v>1.136219447287615</v>
      </c>
      <c r="F454" s="74" t="s">
        <v>467</v>
      </c>
      <c r="G454" s="74" t="s">
        <v>468</v>
      </c>
      <c r="I454" s="1">
        <f t="shared" si="7"/>
        <v>0.7036641290726714</v>
      </c>
    </row>
    <row r="455" spans="2:9" ht="12.5" x14ac:dyDescent="0.25">
      <c r="B455" s="74" t="s">
        <v>734</v>
      </c>
      <c r="D455" s="74" t="s">
        <v>586</v>
      </c>
      <c r="E455" s="74">
        <v>0.41239500000000001</v>
      </c>
      <c r="F455" s="74" t="s">
        <v>467</v>
      </c>
      <c r="G455" s="74" t="s">
        <v>468</v>
      </c>
      <c r="H455" s="74" t="s">
        <v>587</v>
      </c>
      <c r="I455" s="1">
        <f t="shared" si="7"/>
        <v>0.41239500000000001</v>
      </c>
    </row>
    <row r="456" spans="2:9" ht="12.5" x14ac:dyDescent="0.25">
      <c r="C456" s="74" t="s">
        <v>407</v>
      </c>
      <c r="D456" s="74" t="s">
        <v>299</v>
      </c>
      <c r="E456" s="74">
        <v>0.14753250000000001</v>
      </c>
      <c r="F456" s="74" t="s">
        <v>467</v>
      </c>
      <c r="G456" s="74" t="s">
        <v>468</v>
      </c>
      <c r="H456" s="74" t="s">
        <v>587</v>
      </c>
      <c r="I456" s="1">
        <f t="shared" si="7"/>
        <v>0.14753250000000001</v>
      </c>
    </row>
    <row r="457" spans="2:9" ht="12.5" x14ac:dyDescent="0.25">
      <c r="C457" s="74" t="s">
        <v>735</v>
      </c>
      <c r="D457" s="74" t="s">
        <v>313</v>
      </c>
      <c r="E457" s="74">
        <v>0.13381499999999999</v>
      </c>
      <c r="F457" s="74" t="s">
        <v>467</v>
      </c>
      <c r="G457" s="74" t="s">
        <v>468</v>
      </c>
      <c r="H457" s="74" t="s">
        <v>587</v>
      </c>
      <c r="I457" s="1">
        <f t="shared" si="7"/>
        <v>0.13381499999999999</v>
      </c>
    </row>
    <row r="458" spans="2:9" ht="12.5" x14ac:dyDescent="0.25">
      <c r="C458" s="74" t="s">
        <v>736</v>
      </c>
      <c r="D458" s="74" t="s">
        <v>301</v>
      </c>
      <c r="E458" s="74">
        <v>3.7380000000000004E-2</v>
      </c>
      <c r="F458" s="74" t="s">
        <v>467</v>
      </c>
      <c r="G458" s="74" t="s">
        <v>468</v>
      </c>
      <c r="H458" s="74" t="s">
        <v>587</v>
      </c>
      <c r="I458" s="1">
        <f t="shared" si="7"/>
        <v>3.7380000000000004E-2</v>
      </c>
    </row>
    <row r="459" spans="2:9" ht="12.5" x14ac:dyDescent="0.25">
      <c r="C459" s="74" t="s">
        <v>737</v>
      </c>
      <c r="D459" s="74" t="s">
        <v>303</v>
      </c>
      <c r="E459" s="74">
        <v>2.9010000000000001E-2</v>
      </c>
      <c r="F459" s="74" t="s">
        <v>467</v>
      </c>
      <c r="G459" s="74" t="s">
        <v>468</v>
      </c>
      <c r="H459" s="74" t="s">
        <v>587</v>
      </c>
      <c r="I459" s="1">
        <f t="shared" si="7"/>
        <v>2.9009999999999998E-2</v>
      </c>
    </row>
    <row r="460" spans="2:9" ht="12.5" x14ac:dyDescent="0.25">
      <c r="C460" s="74" t="s">
        <v>369</v>
      </c>
      <c r="D460" s="74" t="s">
        <v>309</v>
      </c>
      <c r="E460" s="74">
        <v>2.0827499999999999E-2</v>
      </c>
      <c r="F460" s="74" t="s">
        <v>467</v>
      </c>
      <c r="G460" s="74" t="s">
        <v>468</v>
      </c>
      <c r="H460" s="74" t="s">
        <v>587</v>
      </c>
      <c r="I460" s="1">
        <f t="shared" si="7"/>
        <v>2.0827499999999999E-2</v>
      </c>
    </row>
    <row r="461" spans="2:9" ht="12.5" x14ac:dyDescent="0.25">
      <c r="C461" s="74" t="s">
        <v>490</v>
      </c>
      <c r="D461" s="74" t="s">
        <v>311</v>
      </c>
      <c r="E461" s="74">
        <v>1.8120000000000001E-2</v>
      </c>
      <c r="F461" s="74" t="s">
        <v>467</v>
      </c>
      <c r="G461" s="74" t="s">
        <v>468</v>
      </c>
      <c r="H461" s="74" t="s">
        <v>587</v>
      </c>
      <c r="I461" s="1">
        <f t="shared" si="7"/>
        <v>1.8120000000000001E-2</v>
      </c>
    </row>
    <row r="462" spans="2:9" ht="12.5" x14ac:dyDescent="0.25">
      <c r="C462" s="74" t="s">
        <v>738</v>
      </c>
      <c r="D462" s="74" t="s">
        <v>592</v>
      </c>
      <c r="E462" s="74">
        <v>1.7902499999999998E-2</v>
      </c>
      <c r="F462" s="74" t="s">
        <v>467</v>
      </c>
      <c r="G462" s="74" t="s">
        <v>468</v>
      </c>
      <c r="H462" s="74" t="s">
        <v>587</v>
      </c>
      <c r="I462" s="1">
        <f t="shared" si="7"/>
        <v>1.7902499999999998E-2</v>
      </c>
    </row>
    <row r="463" spans="2:9" ht="12.5" x14ac:dyDescent="0.25">
      <c r="C463" s="74" t="s">
        <v>426</v>
      </c>
      <c r="D463" s="74" t="s">
        <v>323</v>
      </c>
      <c r="E463" s="74">
        <v>2.6099999999999999E-3</v>
      </c>
      <c r="F463" s="74" t="s">
        <v>467</v>
      </c>
      <c r="G463" s="74" t="s">
        <v>468</v>
      </c>
      <c r="H463" s="74" t="s">
        <v>587</v>
      </c>
      <c r="I463" s="1">
        <f t="shared" si="7"/>
        <v>2.6099999999999999E-3</v>
      </c>
    </row>
    <row r="464" spans="2:9" ht="12.5" x14ac:dyDescent="0.25">
      <c r="C464" s="74" t="s">
        <v>374</v>
      </c>
      <c r="D464" s="74" t="s">
        <v>315</v>
      </c>
      <c r="E464" s="74">
        <v>1.725E-3</v>
      </c>
      <c r="F464" s="74" t="s">
        <v>467</v>
      </c>
      <c r="G464" s="74" t="s">
        <v>468</v>
      </c>
      <c r="H464" s="74" t="s">
        <v>587</v>
      </c>
      <c r="I464" s="1">
        <f t="shared" si="7"/>
        <v>1.725E-3</v>
      </c>
    </row>
    <row r="465" spans="1:9" ht="12.5" x14ac:dyDescent="0.25">
      <c r="C465" s="74" t="s">
        <v>427</v>
      </c>
      <c r="D465" s="74" t="s">
        <v>327</v>
      </c>
      <c r="E465" s="74">
        <v>7.425E-4</v>
      </c>
      <c r="F465" s="74" t="s">
        <v>467</v>
      </c>
      <c r="G465" s="74" t="s">
        <v>468</v>
      </c>
      <c r="H465" s="74" t="s">
        <v>587</v>
      </c>
      <c r="I465" s="1">
        <f t="shared" si="7"/>
        <v>7.425E-4</v>
      </c>
    </row>
    <row r="466" spans="1:9" ht="12.5" x14ac:dyDescent="0.25">
      <c r="C466" s="74" t="s">
        <v>427</v>
      </c>
      <c r="D466" s="74" t="s">
        <v>319</v>
      </c>
      <c r="E466" s="74">
        <v>7.3499999999999998E-4</v>
      </c>
      <c r="F466" s="74" t="s">
        <v>467</v>
      </c>
      <c r="G466" s="74" t="s">
        <v>468</v>
      </c>
      <c r="H466" s="74" t="s">
        <v>587</v>
      </c>
      <c r="I466" s="1">
        <f t="shared" si="7"/>
        <v>7.3499999999999998E-4</v>
      </c>
    </row>
    <row r="467" spans="1:9" ht="12.5" x14ac:dyDescent="0.25">
      <c r="C467" s="74" t="s">
        <v>334</v>
      </c>
      <c r="D467" s="74" t="s">
        <v>333</v>
      </c>
      <c r="E467" s="74">
        <v>5.8500000000000002E-4</v>
      </c>
      <c r="F467" s="74" t="s">
        <v>467</v>
      </c>
      <c r="G467" s="74" t="s">
        <v>468</v>
      </c>
      <c r="H467" s="74" t="s">
        <v>587</v>
      </c>
      <c r="I467" s="1">
        <f t="shared" si="7"/>
        <v>5.8500000000000002E-4</v>
      </c>
    </row>
    <row r="468" spans="1:9" ht="12.5" x14ac:dyDescent="0.25">
      <c r="C468" s="74" t="s">
        <v>354</v>
      </c>
      <c r="D468" s="74" t="s">
        <v>598</v>
      </c>
      <c r="E468" s="74">
        <v>3.9749999999999996E-4</v>
      </c>
      <c r="F468" s="74" t="s">
        <v>467</v>
      </c>
      <c r="G468" s="74" t="s">
        <v>468</v>
      </c>
      <c r="H468" s="74" t="s">
        <v>587</v>
      </c>
      <c r="I468" s="1">
        <f t="shared" si="7"/>
        <v>3.9750000000000001E-4</v>
      </c>
    </row>
    <row r="469" spans="1:9" ht="12.5" x14ac:dyDescent="0.25">
      <c r="C469" s="74" t="s">
        <v>354</v>
      </c>
      <c r="D469" s="74" t="s">
        <v>317</v>
      </c>
      <c r="E469" s="74">
        <v>3.9749999999999996E-4</v>
      </c>
      <c r="F469" s="74" t="s">
        <v>467</v>
      </c>
      <c r="G469" s="74" t="s">
        <v>468</v>
      </c>
      <c r="H469" s="74" t="s">
        <v>587</v>
      </c>
      <c r="I469" s="1">
        <f t="shared" si="7"/>
        <v>3.9750000000000001E-4</v>
      </c>
    </row>
    <row r="470" spans="1:9" ht="12.5" x14ac:dyDescent="0.25">
      <c r="C470" s="74" t="s">
        <v>355</v>
      </c>
      <c r="D470" s="74" t="s">
        <v>321</v>
      </c>
      <c r="E470" s="74">
        <v>3.0000000000000003E-4</v>
      </c>
      <c r="F470" s="74" t="s">
        <v>467</v>
      </c>
      <c r="G470" s="74" t="s">
        <v>468</v>
      </c>
      <c r="H470" s="74" t="s">
        <v>587</v>
      </c>
      <c r="I470" s="1">
        <f t="shared" si="7"/>
        <v>3.0000000000000003E-4</v>
      </c>
    </row>
    <row r="471" spans="1:9" ht="12.5" x14ac:dyDescent="0.25">
      <c r="C471" s="74" t="s">
        <v>355</v>
      </c>
      <c r="D471" s="74" t="s">
        <v>325</v>
      </c>
      <c r="E471" s="74">
        <v>2.9250000000000001E-4</v>
      </c>
      <c r="F471" s="74" t="s">
        <v>467</v>
      </c>
      <c r="G471" s="74" t="s">
        <v>468</v>
      </c>
      <c r="H471" s="74" t="s">
        <v>587</v>
      </c>
      <c r="I471" s="1">
        <f t="shared" si="7"/>
        <v>2.9250000000000001E-4</v>
      </c>
    </row>
    <row r="472" spans="1:9" ht="12.5" x14ac:dyDescent="0.25">
      <c r="C472" s="74" t="s">
        <v>356</v>
      </c>
      <c r="D472" s="74" t="s">
        <v>335</v>
      </c>
      <c r="E472" s="75">
        <v>2.75322E-5</v>
      </c>
      <c r="F472" s="74" t="s">
        <v>467</v>
      </c>
      <c r="G472" s="74" t="s">
        <v>468</v>
      </c>
      <c r="H472" s="74" t="s">
        <v>587</v>
      </c>
      <c r="I472" s="1">
        <f t="shared" si="7"/>
        <v>2.7532200000000004E-5</v>
      </c>
    </row>
    <row r="473" spans="1:9" ht="12.5" x14ac:dyDescent="0.25">
      <c r="C473" s="74" t="s">
        <v>356</v>
      </c>
      <c r="D473" s="74" t="s">
        <v>331</v>
      </c>
      <c r="E473" s="75">
        <v>1.0616175E-5</v>
      </c>
      <c r="F473" s="74" t="s">
        <v>467</v>
      </c>
      <c r="G473" s="74" t="s">
        <v>468</v>
      </c>
      <c r="H473" s="74" t="s">
        <v>587</v>
      </c>
      <c r="I473" s="1">
        <f t="shared" si="7"/>
        <v>1.0616175E-5</v>
      </c>
    </row>
    <row r="474" spans="1:9" ht="12.5" x14ac:dyDescent="0.25">
      <c r="A474" s="74" t="s">
        <v>289</v>
      </c>
      <c r="D474" s="74" t="s">
        <v>290</v>
      </c>
      <c r="E474" s="74" t="s">
        <v>291</v>
      </c>
      <c r="F474" s="74" t="s">
        <v>3</v>
      </c>
      <c r="I474" s="1" t="str">
        <f t="shared" si="7"/>
        <v>Amount</v>
      </c>
    </row>
    <row r="475" spans="1:9" ht="12.5" x14ac:dyDescent="0.25">
      <c r="A475" s="74" t="s">
        <v>292</v>
      </c>
      <c r="D475" s="74" t="s">
        <v>563</v>
      </c>
      <c r="E475" s="74">
        <v>531.11950000000002</v>
      </c>
      <c r="F475" s="74" t="s">
        <v>481</v>
      </c>
      <c r="G475" s="74" t="s">
        <v>482</v>
      </c>
      <c r="I475" s="1">
        <f t="shared" si="7"/>
        <v>531.11950000000002</v>
      </c>
    </row>
    <row r="476" spans="1:9" ht="12.5" x14ac:dyDescent="0.25">
      <c r="B476" s="74" t="s">
        <v>739</v>
      </c>
      <c r="D476" s="74" t="s">
        <v>565</v>
      </c>
      <c r="E476" s="74">
        <v>270.13308000000001</v>
      </c>
      <c r="F476" s="74" t="s">
        <v>481</v>
      </c>
      <c r="G476" s="74" t="s">
        <v>482</v>
      </c>
      <c r="I476" s="1">
        <f t="shared" si="7"/>
        <v>270.13308000000001</v>
      </c>
    </row>
    <row r="477" spans="1:9" ht="12.5" x14ac:dyDescent="0.25">
      <c r="C477" s="74" t="s">
        <v>740</v>
      </c>
      <c r="D477" s="74" t="s">
        <v>313</v>
      </c>
      <c r="E477" s="74">
        <v>142.02670000000001</v>
      </c>
      <c r="F477" s="74" t="s">
        <v>481</v>
      </c>
      <c r="G477" s="74" t="s">
        <v>482</v>
      </c>
      <c r="H477" s="74" t="s">
        <v>567</v>
      </c>
      <c r="I477" s="1">
        <f t="shared" si="7"/>
        <v>142.02670000000001</v>
      </c>
    </row>
    <row r="478" spans="1:9" ht="12.5" x14ac:dyDescent="0.25">
      <c r="C478" s="74" t="s">
        <v>741</v>
      </c>
      <c r="D478" s="74" t="s">
        <v>569</v>
      </c>
      <c r="E478" s="74">
        <v>78.886679999999998</v>
      </c>
      <c r="F478" s="74" t="s">
        <v>481</v>
      </c>
      <c r="G478" s="74" t="s">
        <v>482</v>
      </c>
      <c r="H478" s="74" t="s">
        <v>567</v>
      </c>
      <c r="I478" s="1">
        <f t="shared" si="7"/>
        <v>78.886679999999998</v>
      </c>
    </row>
    <row r="479" spans="1:9" ht="12.5" x14ac:dyDescent="0.25">
      <c r="C479" s="74" t="s">
        <v>742</v>
      </c>
      <c r="D479" s="74" t="s">
        <v>571</v>
      </c>
      <c r="E479" s="74">
        <v>12.186249999999999</v>
      </c>
      <c r="F479" s="74" t="s">
        <v>481</v>
      </c>
      <c r="G479" s="74" t="s">
        <v>482</v>
      </c>
      <c r="H479" s="74" t="s">
        <v>567</v>
      </c>
      <c r="I479" s="1">
        <f t="shared" si="7"/>
        <v>12.186249999999999</v>
      </c>
    </row>
    <row r="480" spans="1:9" ht="12.5" x14ac:dyDescent="0.25">
      <c r="C480" s="74" t="s">
        <v>743</v>
      </c>
      <c r="D480" s="74" t="s">
        <v>573</v>
      </c>
      <c r="E480" s="74">
        <v>9.5407100000000007</v>
      </c>
      <c r="F480" s="74" t="s">
        <v>481</v>
      </c>
      <c r="G480" s="74" t="s">
        <v>482</v>
      </c>
      <c r="H480" s="74" t="s">
        <v>567</v>
      </c>
      <c r="I480" s="1">
        <f t="shared" si="7"/>
        <v>9.5407100000000007</v>
      </c>
    </row>
    <row r="481" spans="3:9" ht="12.5" x14ac:dyDescent="0.25">
      <c r="C481" s="74" t="s">
        <v>744</v>
      </c>
      <c r="D481" s="74" t="s">
        <v>580</v>
      </c>
      <c r="E481" s="74">
        <v>8.3597999999999999</v>
      </c>
      <c r="F481" s="74" t="s">
        <v>481</v>
      </c>
      <c r="G481" s="74" t="s">
        <v>482</v>
      </c>
      <c r="H481" s="74" t="s">
        <v>567</v>
      </c>
      <c r="I481" s="1">
        <f t="shared" si="7"/>
        <v>8.3597999999999999</v>
      </c>
    </row>
    <row r="482" spans="3:9" ht="12.5" x14ac:dyDescent="0.25">
      <c r="C482" s="74" t="s">
        <v>738</v>
      </c>
      <c r="D482" s="74" t="s">
        <v>575</v>
      </c>
      <c r="E482" s="74">
        <v>6.0636799999999997</v>
      </c>
      <c r="F482" s="74" t="s">
        <v>481</v>
      </c>
      <c r="G482" s="74" t="s">
        <v>482</v>
      </c>
      <c r="H482" s="74" t="s">
        <v>567</v>
      </c>
      <c r="I482" s="1">
        <f t="shared" si="7"/>
        <v>6.0636799999999997</v>
      </c>
    </row>
    <row r="483" spans="3:9" ht="12.5" x14ac:dyDescent="0.25">
      <c r="C483" s="74" t="s">
        <v>745</v>
      </c>
      <c r="D483" s="74" t="s">
        <v>581</v>
      </c>
      <c r="E483" s="74">
        <v>5.4182800000000002</v>
      </c>
      <c r="F483" s="74" t="s">
        <v>481</v>
      </c>
      <c r="G483" s="74" t="s">
        <v>482</v>
      </c>
      <c r="H483" s="74" t="s">
        <v>567</v>
      </c>
      <c r="I483" s="1">
        <f t="shared" si="7"/>
        <v>5.4182800000000002</v>
      </c>
    </row>
    <row r="484" spans="3:9" ht="12.5" x14ac:dyDescent="0.25">
      <c r="C484" s="74" t="s">
        <v>579</v>
      </c>
      <c r="D484" s="74" t="s">
        <v>578</v>
      </c>
      <c r="E484" s="74">
        <v>3.1042800000000002</v>
      </c>
      <c r="F484" s="74" t="s">
        <v>481</v>
      </c>
      <c r="G484" s="74" t="s">
        <v>482</v>
      </c>
      <c r="H484" s="74" t="s">
        <v>567</v>
      </c>
      <c r="I484" s="1">
        <f t="shared" si="7"/>
        <v>3.1042800000000002</v>
      </c>
    </row>
    <row r="485" spans="3:9" ht="12.5" x14ac:dyDescent="0.25">
      <c r="C485" s="74" t="s">
        <v>696</v>
      </c>
      <c r="D485" s="74" t="s">
        <v>582</v>
      </c>
      <c r="E485" s="74">
        <v>2.1285099999999999</v>
      </c>
      <c r="F485" s="74" t="s">
        <v>481</v>
      </c>
      <c r="G485" s="74" t="s">
        <v>482</v>
      </c>
      <c r="H485" s="74" t="s">
        <v>567</v>
      </c>
      <c r="I485" s="1">
        <f t="shared" si="7"/>
        <v>2.1285099999999999</v>
      </c>
    </row>
    <row r="486" spans="3:9" ht="12.5" x14ac:dyDescent="0.25">
      <c r="C486" s="74" t="s">
        <v>479</v>
      </c>
      <c r="D486" s="74" t="s">
        <v>577</v>
      </c>
      <c r="E486" s="74">
        <v>1.0718700000000001</v>
      </c>
      <c r="F486" s="74" t="s">
        <v>481</v>
      </c>
      <c r="G486" s="74" t="s">
        <v>482</v>
      </c>
      <c r="H486" s="74" t="s">
        <v>567</v>
      </c>
      <c r="I486" s="1">
        <f t="shared" si="7"/>
        <v>1.0718700000000001</v>
      </c>
    </row>
    <row r="487" spans="3:9" ht="12.5" x14ac:dyDescent="0.25">
      <c r="C487" s="74" t="s">
        <v>426</v>
      </c>
      <c r="D487" s="74" t="s">
        <v>583</v>
      </c>
      <c r="E487" s="74">
        <v>0.92671000000000003</v>
      </c>
      <c r="F487" s="74" t="s">
        <v>481</v>
      </c>
      <c r="G487" s="74" t="s">
        <v>482</v>
      </c>
      <c r="H487" s="74" t="s">
        <v>567</v>
      </c>
      <c r="I487" s="1">
        <f t="shared" si="7"/>
        <v>0.92671000000000003</v>
      </c>
    </row>
    <row r="488" spans="3:9" ht="12.5" x14ac:dyDescent="0.25">
      <c r="C488" s="74" t="s">
        <v>334</v>
      </c>
      <c r="D488" s="74" t="s">
        <v>584</v>
      </c>
      <c r="E488" s="74">
        <v>0.23282</v>
      </c>
      <c r="F488" s="74" t="s">
        <v>481</v>
      </c>
      <c r="G488" s="74" t="s">
        <v>482</v>
      </c>
      <c r="H488" s="74" t="s">
        <v>567</v>
      </c>
      <c r="I488" s="1">
        <f t="shared" si="7"/>
        <v>0.23282</v>
      </c>
    </row>
    <row r="489" spans="3:9" ht="12.5" x14ac:dyDescent="0.25">
      <c r="C489" s="74" t="s">
        <v>387</v>
      </c>
      <c r="D489" s="74" t="s">
        <v>315</v>
      </c>
      <c r="E489" s="74">
        <v>5.5669999999999997E-2</v>
      </c>
      <c r="F489" s="74" t="s">
        <v>481</v>
      </c>
      <c r="G489" s="74" t="s">
        <v>482</v>
      </c>
      <c r="H489" s="74" t="s">
        <v>567</v>
      </c>
      <c r="I489" s="1">
        <f t="shared" si="7"/>
        <v>5.5669999999999997E-2</v>
      </c>
    </row>
    <row r="490" spans="3:9" ht="12.5" x14ac:dyDescent="0.25">
      <c r="C490" s="74" t="s">
        <v>387</v>
      </c>
      <c r="D490" s="74" t="s">
        <v>329</v>
      </c>
      <c r="E490" s="74">
        <v>3.6020000000000003E-2</v>
      </c>
      <c r="F490" s="74" t="s">
        <v>481</v>
      </c>
      <c r="G490" s="74" t="s">
        <v>482</v>
      </c>
      <c r="H490" s="74" t="s">
        <v>567</v>
      </c>
      <c r="I490" s="1">
        <f t="shared" si="7"/>
        <v>3.6020000000000003E-2</v>
      </c>
    </row>
    <row r="491" spans="3:9" ht="12.5" x14ac:dyDescent="0.25">
      <c r="C491" s="74" t="s">
        <v>387</v>
      </c>
      <c r="D491" s="74" t="s">
        <v>323</v>
      </c>
      <c r="E491" s="74">
        <v>3.2539999999999999E-2</v>
      </c>
      <c r="F491" s="74" t="s">
        <v>481</v>
      </c>
      <c r="G491" s="74" t="s">
        <v>482</v>
      </c>
      <c r="H491" s="74" t="s">
        <v>567</v>
      </c>
      <c r="I491" s="1">
        <f t="shared" si="7"/>
        <v>3.2539999999999999E-2</v>
      </c>
    </row>
    <row r="492" spans="3:9" ht="12.5" x14ac:dyDescent="0.25">
      <c r="C492" s="74" t="s">
        <v>356</v>
      </c>
      <c r="D492" s="74" t="s">
        <v>317</v>
      </c>
      <c r="E492" s="74">
        <v>2.4639999999999999E-2</v>
      </c>
      <c r="F492" s="74" t="s">
        <v>481</v>
      </c>
      <c r="G492" s="74" t="s">
        <v>482</v>
      </c>
      <c r="H492" s="74" t="s">
        <v>567</v>
      </c>
      <c r="I492" s="1">
        <f t="shared" si="7"/>
        <v>2.4639999999999999E-2</v>
      </c>
    </row>
    <row r="493" spans="3:9" ht="12.5" x14ac:dyDescent="0.25">
      <c r="C493" s="74" t="s">
        <v>356</v>
      </c>
      <c r="D493" s="74" t="s">
        <v>327</v>
      </c>
      <c r="E493" s="74">
        <v>2.4340000000000001E-2</v>
      </c>
      <c r="F493" s="74" t="s">
        <v>481</v>
      </c>
      <c r="G493" s="74" t="s">
        <v>482</v>
      </c>
      <c r="H493" s="74" t="s">
        <v>567</v>
      </c>
      <c r="I493" s="1">
        <f t="shared" si="7"/>
        <v>2.4340000000000001E-2</v>
      </c>
    </row>
    <row r="494" spans="3:9" ht="12.5" x14ac:dyDescent="0.25">
      <c r="C494" s="74" t="s">
        <v>356</v>
      </c>
      <c r="D494" s="74" t="s">
        <v>321</v>
      </c>
      <c r="E494" s="74">
        <v>8.4700000000000001E-3</v>
      </c>
      <c r="F494" s="74" t="s">
        <v>481</v>
      </c>
      <c r="G494" s="74" t="s">
        <v>482</v>
      </c>
      <c r="H494" s="74" t="s">
        <v>567</v>
      </c>
      <c r="I494" s="1">
        <f t="shared" ref="I494:I557" si="8">IF(H494="Server",E494*$L$8/$M$8,IF(D494="market for electricity, low voltage | electricity, low voltage | APOS, U - FR",E494*$L$5/$M$5,E494))</f>
        <v>8.4700000000000001E-3</v>
      </c>
    </row>
    <row r="495" spans="3:9" ht="12.5" x14ac:dyDescent="0.25">
      <c r="C495" s="74" t="s">
        <v>356</v>
      </c>
      <c r="D495" s="74" t="s">
        <v>319</v>
      </c>
      <c r="E495" s="74">
        <v>3.4399999999999999E-3</v>
      </c>
      <c r="F495" s="74" t="s">
        <v>481</v>
      </c>
      <c r="G495" s="74" t="s">
        <v>482</v>
      </c>
      <c r="H495" s="74" t="s">
        <v>567</v>
      </c>
      <c r="I495" s="1">
        <f t="shared" si="8"/>
        <v>3.4399999999999999E-3</v>
      </c>
    </row>
    <row r="496" spans="3:9" ht="12.5" x14ac:dyDescent="0.25">
      <c r="C496" s="74" t="s">
        <v>356</v>
      </c>
      <c r="D496" s="74" t="s">
        <v>325</v>
      </c>
      <c r="E496" s="74">
        <v>1.67E-3</v>
      </c>
      <c r="F496" s="74" t="s">
        <v>481</v>
      </c>
      <c r="G496" s="74" t="s">
        <v>482</v>
      </c>
      <c r="H496" s="74" t="s">
        <v>567</v>
      </c>
      <c r="I496" s="1">
        <f t="shared" si="8"/>
        <v>1.67E-3</v>
      </c>
    </row>
    <row r="497" spans="2:9" ht="12.5" x14ac:dyDescent="0.25">
      <c r="B497" s="74" t="s">
        <v>746</v>
      </c>
      <c r="D497" s="74" t="s">
        <v>586</v>
      </c>
      <c r="E497" s="74">
        <v>155.58134999999999</v>
      </c>
      <c r="F497" s="74" t="s">
        <v>481</v>
      </c>
      <c r="G497" s="74" t="s">
        <v>482</v>
      </c>
      <c r="H497" s="74" t="s">
        <v>587</v>
      </c>
      <c r="I497" s="1">
        <f t="shared" si="8"/>
        <v>155.58134999999999</v>
      </c>
    </row>
    <row r="498" spans="2:9" ht="12.5" x14ac:dyDescent="0.25">
      <c r="C498" s="74" t="s">
        <v>747</v>
      </c>
      <c r="D498" s="74" t="s">
        <v>299</v>
      </c>
      <c r="E498" s="74">
        <v>56.946487500000003</v>
      </c>
      <c r="F498" s="74" t="s">
        <v>481</v>
      </c>
      <c r="G498" s="74" t="s">
        <v>482</v>
      </c>
      <c r="H498" s="74" t="s">
        <v>587</v>
      </c>
      <c r="I498" s="1">
        <f t="shared" si="8"/>
        <v>56.946487500000011</v>
      </c>
    </row>
    <row r="499" spans="2:9" ht="12.5" x14ac:dyDescent="0.25">
      <c r="C499" s="74" t="s">
        <v>748</v>
      </c>
      <c r="D499" s="74" t="s">
        <v>313</v>
      </c>
      <c r="E499" s="74">
        <v>45.006682499999997</v>
      </c>
      <c r="F499" s="74" t="s">
        <v>481</v>
      </c>
      <c r="G499" s="74" t="s">
        <v>482</v>
      </c>
      <c r="H499" s="74" t="s">
        <v>587</v>
      </c>
      <c r="I499" s="1">
        <f t="shared" si="8"/>
        <v>45.006682499999989</v>
      </c>
    </row>
    <row r="500" spans="2:9" ht="12.5" x14ac:dyDescent="0.25">
      <c r="C500" s="74" t="s">
        <v>749</v>
      </c>
      <c r="D500" s="74" t="s">
        <v>301</v>
      </c>
      <c r="E500" s="74">
        <v>21.609179999999999</v>
      </c>
      <c r="F500" s="74" t="s">
        <v>481</v>
      </c>
      <c r="G500" s="74" t="s">
        <v>482</v>
      </c>
      <c r="H500" s="74" t="s">
        <v>587</v>
      </c>
      <c r="I500" s="1">
        <f t="shared" si="8"/>
        <v>21.609179999999999</v>
      </c>
    </row>
    <row r="501" spans="2:9" ht="12.5" x14ac:dyDescent="0.25">
      <c r="C501" s="74" t="s">
        <v>750</v>
      </c>
      <c r="D501" s="74" t="s">
        <v>592</v>
      </c>
      <c r="E501" s="74">
        <v>11.2892475</v>
      </c>
      <c r="F501" s="74" t="s">
        <v>481</v>
      </c>
      <c r="G501" s="74" t="s">
        <v>482</v>
      </c>
      <c r="H501" s="74" t="s">
        <v>587</v>
      </c>
      <c r="I501" s="1">
        <f t="shared" si="8"/>
        <v>11.2892475</v>
      </c>
    </row>
    <row r="502" spans="2:9" ht="12.5" x14ac:dyDescent="0.25">
      <c r="C502" s="74" t="s">
        <v>731</v>
      </c>
      <c r="D502" s="74" t="s">
        <v>303</v>
      </c>
      <c r="E502" s="74">
        <v>10.2415275</v>
      </c>
      <c r="F502" s="74" t="s">
        <v>481</v>
      </c>
      <c r="G502" s="74" t="s">
        <v>482</v>
      </c>
      <c r="H502" s="74" t="s">
        <v>587</v>
      </c>
      <c r="I502" s="1">
        <f t="shared" si="8"/>
        <v>10.2415275</v>
      </c>
    </row>
    <row r="503" spans="2:9" ht="12.5" x14ac:dyDescent="0.25">
      <c r="C503" s="74" t="s">
        <v>606</v>
      </c>
      <c r="D503" s="74" t="s">
        <v>309</v>
      </c>
      <c r="E503" s="74">
        <v>6.5247824999999997</v>
      </c>
      <c r="F503" s="74" t="s">
        <v>481</v>
      </c>
      <c r="G503" s="74" t="s">
        <v>482</v>
      </c>
      <c r="H503" s="74" t="s">
        <v>587</v>
      </c>
      <c r="I503" s="1">
        <f t="shared" si="8"/>
        <v>6.5247824999999997</v>
      </c>
    </row>
    <row r="504" spans="2:9" ht="12.5" x14ac:dyDescent="0.25">
      <c r="C504" s="74" t="s">
        <v>318</v>
      </c>
      <c r="D504" s="74" t="s">
        <v>311</v>
      </c>
      <c r="E504" s="74">
        <v>3.1231949999999999</v>
      </c>
      <c r="F504" s="74" t="s">
        <v>481</v>
      </c>
      <c r="G504" s="74" t="s">
        <v>482</v>
      </c>
      <c r="H504" s="74" t="s">
        <v>587</v>
      </c>
      <c r="I504" s="1">
        <f t="shared" si="8"/>
        <v>3.1231950000000004</v>
      </c>
    </row>
    <row r="505" spans="2:9" ht="12.5" x14ac:dyDescent="0.25">
      <c r="C505" s="74" t="s">
        <v>400</v>
      </c>
      <c r="D505" s="74" t="s">
        <v>315</v>
      </c>
      <c r="E505" s="74">
        <v>0.32055</v>
      </c>
      <c r="F505" s="74" t="s">
        <v>481</v>
      </c>
      <c r="G505" s="74" t="s">
        <v>482</v>
      </c>
      <c r="H505" s="74" t="s">
        <v>587</v>
      </c>
      <c r="I505" s="1">
        <f t="shared" si="8"/>
        <v>0.32055</v>
      </c>
    </row>
    <row r="506" spans="2:9" ht="12.5" x14ac:dyDescent="0.25">
      <c r="C506" s="74" t="s">
        <v>427</v>
      </c>
      <c r="D506" s="74" t="s">
        <v>598</v>
      </c>
      <c r="E506" s="74">
        <v>0.18760499999999997</v>
      </c>
      <c r="F506" s="74" t="s">
        <v>481</v>
      </c>
      <c r="G506" s="74" t="s">
        <v>482</v>
      </c>
      <c r="H506" s="74" t="s">
        <v>587</v>
      </c>
      <c r="I506" s="1">
        <f t="shared" si="8"/>
        <v>0.18760499999999994</v>
      </c>
    </row>
    <row r="507" spans="2:9" ht="12.5" x14ac:dyDescent="0.25">
      <c r="C507" s="74" t="s">
        <v>354</v>
      </c>
      <c r="D507" s="74" t="s">
        <v>327</v>
      </c>
      <c r="E507" s="74">
        <v>0.12676500000000002</v>
      </c>
      <c r="F507" s="74" t="s">
        <v>481</v>
      </c>
      <c r="G507" s="74" t="s">
        <v>482</v>
      </c>
      <c r="H507" s="74" t="s">
        <v>587</v>
      </c>
      <c r="I507" s="1">
        <f t="shared" si="8"/>
        <v>0.12676500000000002</v>
      </c>
    </row>
    <row r="508" spans="2:9" ht="12.5" x14ac:dyDescent="0.25">
      <c r="C508" s="74" t="s">
        <v>354</v>
      </c>
      <c r="D508" s="74" t="s">
        <v>317</v>
      </c>
      <c r="E508" s="74">
        <v>0.10870500000000001</v>
      </c>
      <c r="F508" s="74" t="s">
        <v>481</v>
      </c>
      <c r="G508" s="74" t="s">
        <v>482</v>
      </c>
      <c r="H508" s="74" t="s">
        <v>587</v>
      </c>
      <c r="I508" s="1">
        <f t="shared" si="8"/>
        <v>0.10870500000000001</v>
      </c>
    </row>
    <row r="509" spans="2:9" ht="12.5" x14ac:dyDescent="0.25">
      <c r="C509" s="74" t="s">
        <v>387</v>
      </c>
      <c r="D509" s="74" t="s">
        <v>321</v>
      </c>
      <c r="E509" s="74">
        <v>3.7349999999999994E-2</v>
      </c>
      <c r="F509" s="74" t="s">
        <v>481</v>
      </c>
      <c r="G509" s="74" t="s">
        <v>482</v>
      </c>
      <c r="H509" s="74" t="s">
        <v>587</v>
      </c>
      <c r="I509" s="1">
        <f t="shared" si="8"/>
        <v>3.7349999999999994E-2</v>
      </c>
    </row>
    <row r="510" spans="2:9" ht="12.5" x14ac:dyDescent="0.25">
      <c r="C510" s="74" t="s">
        <v>387</v>
      </c>
      <c r="D510" s="74" t="s">
        <v>323</v>
      </c>
      <c r="E510" s="74">
        <v>3.5797500000000003E-2</v>
      </c>
      <c r="F510" s="74" t="s">
        <v>481</v>
      </c>
      <c r="G510" s="74" t="s">
        <v>482</v>
      </c>
      <c r="H510" s="74" t="s">
        <v>587</v>
      </c>
      <c r="I510" s="1">
        <f t="shared" si="8"/>
        <v>3.5797500000000003E-2</v>
      </c>
    </row>
    <row r="511" spans="2:9" ht="12.5" x14ac:dyDescent="0.25">
      <c r="C511" s="74" t="s">
        <v>387</v>
      </c>
      <c r="D511" s="74" t="s">
        <v>319</v>
      </c>
      <c r="E511" s="74">
        <v>2.0790000000000003E-2</v>
      </c>
      <c r="F511" s="74" t="s">
        <v>481</v>
      </c>
      <c r="G511" s="74" t="s">
        <v>482</v>
      </c>
      <c r="H511" s="74" t="s">
        <v>587</v>
      </c>
      <c r="I511" s="1">
        <f t="shared" si="8"/>
        <v>2.0790000000000003E-2</v>
      </c>
    </row>
    <row r="512" spans="2:9" ht="12.5" x14ac:dyDescent="0.25">
      <c r="C512" s="74" t="s">
        <v>356</v>
      </c>
      <c r="D512" s="74" t="s">
        <v>333</v>
      </c>
      <c r="E512" s="74">
        <v>1.6949999999999999E-3</v>
      </c>
      <c r="F512" s="74" t="s">
        <v>481</v>
      </c>
      <c r="G512" s="74" t="s">
        <v>482</v>
      </c>
      <c r="H512" s="74" t="s">
        <v>587</v>
      </c>
      <c r="I512" s="1">
        <f t="shared" si="8"/>
        <v>1.6949999999999997E-3</v>
      </c>
    </row>
    <row r="513" spans="1:9" ht="12.5" x14ac:dyDescent="0.25">
      <c r="C513" s="74" t="s">
        <v>356</v>
      </c>
      <c r="D513" s="74" t="s">
        <v>335</v>
      </c>
      <c r="E513" s="74">
        <v>4.4999999999999999E-4</v>
      </c>
      <c r="F513" s="74" t="s">
        <v>481</v>
      </c>
      <c r="G513" s="74" t="s">
        <v>482</v>
      </c>
      <c r="H513" s="74" t="s">
        <v>587</v>
      </c>
      <c r="I513" s="1">
        <f t="shared" si="8"/>
        <v>4.5000000000000004E-4</v>
      </c>
    </row>
    <row r="514" spans="1:9" ht="12.5" x14ac:dyDescent="0.25">
      <c r="C514" s="74" t="s">
        <v>356</v>
      </c>
      <c r="D514" s="74" t="s">
        <v>331</v>
      </c>
      <c r="E514" s="74">
        <v>4.0499999999999998E-4</v>
      </c>
      <c r="F514" s="74" t="s">
        <v>481</v>
      </c>
      <c r="G514" s="74" t="s">
        <v>482</v>
      </c>
      <c r="H514" s="74" t="s">
        <v>587</v>
      </c>
      <c r="I514" s="1">
        <f t="shared" si="8"/>
        <v>4.0499999999999998E-4</v>
      </c>
    </row>
    <row r="515" spans="1:9" ht="12.5" x14ac:dyDescent="0.25">
      <c r="C515" s="74" t="s">
        <v>356</v>
      </c>
      <c r="D515" s="74" t="s">
        <v>325</v>
      </c>
      <c r="E515" s="74">
        <v>1.35E-4</v>
      </c>
      <c r="F515" s="74" t="s">
        <v>481</v>
      </c>
      <c r="G515" s="74" t="s">
        <v>482</v>
      </c>
      <c r="H515" s="74" t="s">
        <v>587</v>
      </c>
      <c r="I515" s="1">
        <f t="shared" si="8"/>
        <v>1.35E-4</v>
      </c>
    </row>
    <row r="516" spans="1:9" ht="12.5" x14ac:dyDescent="0.25">
      <c r="B516" s="74" t="s">
        <v>751</v>
      </c>
      <c r="D516" s="74" t="s">
        <v>337</v>
      </c>
      <c r="E516" s="74">
        <v>89.442002210849537</v>
      </c>
      <c r="F516" s="74" t="s">
        <v>481</v>
      </c>
      <c r="G516" s="74" t="s">
        <v>482</v>
      </c>
      <c r="I516" s="1">
        <f t="shared" si="8"/>
        <v>55.391701610509315</v>
      </c>
    </row>
    <row r="517" spans="1:9" ht="12.5" x14ac:dyDescent="0.25">
      <c r="A517" s="74" t="s">
        <v>289</v>
      </c>
      <c r="D517" s="74" t="s">
        <v>290</v>
      </c>
      <c r="E517" s="74" t="s">
        <v>291</v>
      </c>
      <c r="F517" s="74" t="s">
        <v>3</v>
      </c>
      <c r="I517" s="1" t="str">
        <f t="shared" si="8"/>
        <v>Amount</v>
      </c>
    </row>
    <row r="518" spans="1:9" ht="12.5" x14ac:dyDescent="0.25">
      <c r="A518" s="74" t="s">
        <v>292</v>
      </c>
      <c r="D518" s="74" t="s">
        <v>563</v>
      </c>
      <c r="E518" s="74">
        <v>55.779380000000003</v>
      </c>
      <c r="F518" s="74" t="s">
        <v>493</v>
      </c>
      <c r="G518" s="74" t="s">
        <v>494</v>
      </c>
      <c r="I518" s="1">
        <f t="shared" si="8"/>
        <v>55.779380000000003</v>
      </c>
    </row>
    <row r="519" spans="1:9" ht="12.5" x14ac:dyDescent="0.25">
      <c r="B519" s="74" t="s">
        <v>752</v>
      </c>
      <c r="D519" s="74" t="s">
        <v>565</v>
      </c>
      <c r="E519" s="74">
        <v>27.740449999999999</v>
      </c>
      <c r="F519" s="74" t="s">
        <v>493</v>
      </c>
      <c r="G519" s="74" t="s">
        <v>494</v>
      </c>
      <c r="I519" s="1">
        <f t="shared" si="8"/>
        <v>27.740449999999999</v>
      </c>
    </row>
    <row r="520" spans="1:9" ht="12.5" x14ac:dyDescent="0.25">
      <c r="C520" s="74" t="s">
        <v>753</v>
      </c>
      <c r="D520" s="74" t="s">
        <v>313</v>
      </c>
      <c r="E520" s="74">
        <v>13.73128</v>
      </c>
      <c r="F520" s="74" t="s">
        <v>493</v>
      </c>
      <c r="G520" s="74" t="s">
        <v>494</v>
      </c>
      <c r="H520" s="74" t="s">
        <v>567</v>
      </c>
      <c r="I520" s="1">
        <f t="shared" si="8"/>
        <v>13.73128</v>
      </c>
    </row>
    <row r="521" spans="1:9" ht="12.5" x14ac:dyDescent="0.25">
      <c r="C521" s="74" t="s">
        <v>754</v>
      </c>
      <c r="D521" s="74" t="s">
        <v>569</v>
      </c>
      <c r="E521" s="74">
        <v>5.6944100000000004</v>
      </c>
      <c r="F521" s="74" t="s">
        <v>493</v>
      </c>
      <c r="G521" s="74" t="s">
        <v>494</v>
      </c>
      <c r="H521" s="74" t="s">
        <v>567</v>
      </c>
      <c r="I521" s="1">
        <f t="shared" si="8"/>
        <v>5.6944100000000004</v>
      </c>
    </row>
    <row r="522" spans="1:9" ht="12.5" x14ac:dyDescent="0.25">
      <c r="C522" s="74" t="s">
        <v>755</v>
      </c>
      <c r="D522" s="74" t="s">
        <v>571</v>
      </c>
      <c r="E522" s="74">
        <v>3.37094</v>
      </c>
      <c r="F522" s="74" t="s">
        <v>493</v>
      </c>
      <c r="G522" s="74" t="s">
        <v>494</v>
      </c>
      <c r="H522" s="74" t="s">
        <v>567</v>
      </c>
      <c r="I522" s="1">
        <f t="shared" si="8"/>
        <v>3.37094</v>
      </c>
    </row>
    <row r="523" spans="1:9" ht="12.5" x14ac:dyDescent="0.25">
      <c r="C523" s="74" t="s">
        <v>756</v>
      </c>
      <c r="D523" s="74" t="s">
        <v>573</v>
      </c>
      <c r="E523" s="74">
        <v>2.5785399999999998</v>
      </c>
      <c r="F523" s="74" t="s">
        <v>493</v>
      </c>
      <c r="G523" s="74" t="s">
        <v>494</v>
      </c>
      <c r="H523" s="74" t="s">
        <v>567</v>
      </c>
      <c r="I523" s="1">
        <f t="shared" si="8"/>
        <v>2.5785399999999998</v>
      </c>
    </row>
    <row r="524" spans="1:9" ht="12.5" x14ac:dyDescent="0.25">
      <c r="C524" s="74" t="s">
        <v>757</v>
      </c>
      <c r="D524" s="74" t="s">
        <v>575</v>
      </c>
      <c r="E524" s="74">
        <v>0.66269999999999996</v>
      </c>
      <c r="F524" s="74" t="s">
        <v>493</v>
      </c>
      <c r="G524" s="74" t="s">
        <v>494</v>
      </c>
      <c r="H524" s="74" t="s">
        <v>567</v>
      </c>
      <c r="I524" s="1">
        <f t="shared" si="8"/>
        <v>0.66269999999999996</v>
      </c>
    </row>
    <row r="525" spans="1:9" ht="12.5" x14ac:dyDescent="0.25">
      <c r="C525" s="74" t="s">
        <v>758</v>
      </c>
      <c r="D525" s="74" t="s">
        <v>580</v>
      </c>
      <c r="E525" s="74">
        <v>0.41171999999999997</v>
      </c>
      <c r="F525" s="74" t="s">
        <v>493</v>
      </c>
      <c r="G525" s="74" t="s">
        <v>494</v>
      </c>
      <c r="H525" s="74" t="s">
        <v>567</v>
      </c>
      <c r="I525" s="1">
        <f t="shared" si="8"/>
        <v>0.41171999999999997</v>
      </c>
    </row>
    <row r="526" spans="1:9" ht="12.5" x14ac:dyDescent="0.25">
      <c r="C526" s="74" t="s">
        <v>759</v>
      </c>
      <c r="D526" s="74" t="s">
        <v>577</v>
      </c>
      <c r="E526" s="74">
        <v>0.33794999999999997</v>
      </c>
      <c r="F526" s="74" t="s">
        <v>493</v>
      </c>
      <c r="G526" s="74" t="s">
        <v>494</v>
      </c>
      <c r="H526" s="74" t="s">
        <v>567</v>
      </c>
      <c r="I526" s="1">
        <f t="shared" si="8"/>
        <v>0.33794999999999997</v>
      </c>
    </row>
    <row r="527" spans="1:9" ht="12.5" x14ac:dyDescent="0.25">
      <c r="C527" s="74" t="s">
        <v>371</v>
      </c>
      <c r="D527" s="74" t="s">
        <v>578</v>
      </c>
      <c r="E527" s="74">
        <v>0.32654</v>
      </c>
      <c r="F527" s="74" t="s">
        <v>493</v>
      </c>
      <c r="G527" s="74" t="s">
        <v>494</v>
      </c>
      <c r="H527" s="74" t="s">
        <v>567</v>
      </c>
      <c r="I527" s="1">
        <f t="shared" si="8"/>
        <v>0.32654</v>
      </c>
    </row>
    <row r="528" spans="1:9" ht="12.5" x14ac:dyDescent="0.25">
      <c r="C528" s="74" t="s">
        <v>653</v>
      </c>
      <c r="D528" s="74" t="s">
        <v>581</v>
      </c>
      <c r="E528" s="74">
        <v>0.21012</v>
      </c>
      <c r="F528" s="74" t="s">
        <v>493</v>
      </c>
      <c r="G528" s="74" t="s">
        <v>494</v>
      </c>
      <c r="H528" s="74" t="s">
        <v>567</v>
      </c>
      <c r="I528" s="1">
        <f t="shared" si="8"/>
        <v>0.21012</v>
      </c>
    </row>
    <row r="529" spans="2:9" ht="12.5" x14ac:dyDescent="0.25">
      <c r="C529" s="74" t="s">
        <v>521</v>
      </c>
      <c r="D529" s="74" t="s">
        <v>582</v>
      </c>
      <c r="E529" s="74">
        <v>0.10499</v>
      </c>
      <c r="F529" s="74" t="s">
        <v>493</v>
      </c>
      <c r="G529" s="74" t="s">
        <v>494</v>
      </c>
      <c r="H529" s="74" t="s">
        <v>567</v>
      </c>
      <c r="I529" s="1">
        <f t="shared" si="8"/>
        <v>0.10499</v>
      </c>
    </row>
    <row r="530" spans="2:9" ht="12.5" x14ac:dyDescent="0.25">
      <c r="C530" s="74" t="s">
        <v>439</v>
      </c>
      <c r="D530" s="74" t="s">
        <v>321</v>
      </c>
      <c r="E530" s="74">
        <v>8.9899999999999994E-2</v>
      </c>
      <c r="F530" s="74" t="s">
        <v>493</v>
      </c>
      <c r="G530" s="74" t="s">
        <v>494</v>
      </c>
      <c r="H530" s="74" t="s">
        <v>567</v>
      </c>
      <c r="I530" s="1">
        <f t="shared" si="8"/>
        <v>8.9899999999999994E-2</v>
      </c>
    </row>
    <row r="531" spans="2:9" ht="12.5" x14ac:dyDescent="0.25">
      <c r="C531" s="74" t="s">
        <v>415</v>
      </c>
      <c r="D531" s="74" t="s">
        <v>583</v>
      </c>
      <c r="E531" s="74">
        <v>7.6920000000000002E-2</v>
      </c>
      <c r="F531" s="74" t="s">
        <v>493</v>
      </c>
      <c r="G531" s="74" t="s">
        <v>494</v>
      </c>
      <c r="H531" s="74" t="s">
        <v>567</v>
      </c>
      <c r="I531" s="1">
        <f t="shared" si="8"/>
        <v>7.6920000000000002E-2</v>
      </c>
    </row>
    <row r="532" spans="2:9" ht="12.5" x14ac:dyDescent="0.25">
      <c r="C532" s="74" t="s">
        <v>400</v>
      </c>
      <c r="D532" s="74" t="s">
        <v>317</v>
      </c>
      <c r="E532" s="74">
        <v>4.3099999999999999E-2</v>
      </c>
      <c r="F532" s="74" t="s">
        <v>493</v>
      </c>
      <c r="G532" s="74" t="s">
        <v>494</v>
      </c>
      <c r="H532" s="74" t="s">
        <v>567</v>
      </c>
      <c r="I532" s="1">
        <f t="shared" si="8"/>
        <v>4.3099999999999999E-2</v>
      </c>
    </row>
    <row r="533" spans="2:9" ht="12.5" x14ac:dyDescent="0.25">
      <c r="C533" s="74" t="s">
        <v>427</v>
      </c>
      <c r="D533" s="74" t="s">
        <v>319</v>
      </c>
      <c r="E533" s="74">
        <v>2.9069999999999999E-2</v>
      </c>
      <c r="F533" s="74" t="s">
        <v>493</v>
      </c>
      <c r="G533" s="74" t="s">
        <v>494</v>
      </c>
      <c r="H533" s="74" t="s">
        <v>567</v>
      </c>
      <c r="I533" s="1">
        <f t="shared" si="8"/>
        <v>2.9069999999999999E-2</v>
      </c>
    </row>
    <row r="534" spans="2:9" ht="12.5" x14ac:dyDescent="0.25">
      <c r="C534" s="74" t="s">
        <v>334</v>
      </c>
      <c r="D534" s="74" t="s">
        <v>323</v>
      </c>
      <c r="E534" s="74">
        <v>2.3109999999999999E-2</v>
      </c>
      <c r="F534" s="74" t="s">
        <v>493</v>
      </c>
      <c r="G534" s="74" t="s">
        <v>494</v>
      </c>
      <c r="H534" s="74" t="s">
        <v>567</v>
      </c>
      <c r="I534" s="1">
        <f t="shared" si="8"/>
        <v>2.3109999999999999E-2</v>
      </c>
    </row>
    <row r="535" spans="2:9" ht="12.5" x14ac:dyDescent="0.25">
      <c r="C535" s="74" t="s">
        <v>354</v>
      </c>
      <c r="D535" s="74" t="s">
        <v>315</v>
      </c>
      <c r="E535" s="74">
        <v>1.8849999999999999E-2</v>
      </c>
      <c r="F535" s="74" t="s">
        <v>493</v>
      </c>
      <c r="G535" s="74" t="s">
        <v>494</v>
      </c>
      <c r="H535" s="74" t="s">
        <v>567</v>
      </c>
      <c r="I535" s="1">
        <f t="shared" si="8"/>
        <v>1.8849999999999999E-2</v>
      </c>
    </row>
    <row r="536" spans="2:9" ht="12.5" x14ac:dyDescent="0.25">
      <c r="C536" s="74" t="s">
        <v>355</v>
      </c>
      <c r="D536" s="74" t="s">
        <v>584</v>
      </c>
      <c r="E536" s="74">
        <v>1.172E-2</v>
      </c>
      <c r="F536" s="74" t="s">
        <v>493</v>
      </c>
      <c r="G536" s="74" t="s">
        <v>494</v>
      </c>
      <c r="H536" s="74" t="s">
        <v>567</v>
      </c>
      <c r="I536" s="1">
        <f t="shared" si="8"/>
        <v>1.172E-2</v>
      </c>
    </row>
    <row r="537" spans="2:9" ht="12.5" x14ac:dyDescent="0.25">
      <c r="C537" s="74" t="s">
        <v>355</v>
      </c>
      <c r="D537" s="74" t="s">
        <v>327</v>
      </c>
      <c r="E537" s="74">
        <v>9.8899999999999995E-3</v>
      </c>
      <c r="F537" s="74" t="s">
        <v>493</v>
      </c>
      <c r="G537" s="74" t="s">
        <v>494</v>
      </c>
      <c r="H537" s="74" t="s">
        <v>567</v>
      </c>
      <c r="I537" s="1">
        <f t="shared" si="8"/>
        <v>9.8899999999999995E-3</v>
      </c>
    </row>
    <row r="538" spans="2:9" ht="12.5" x14ac:dyDescent="0.25">
      <c r="C538" s="74" t="s">
        <v>387</v>
      </c>
      <c r="D538" s="74" t="s">
        <v>329</v>
      </c>
      <c r="E538" s="74">
        <v>4.5500000000000002E-3</v>
      </c>
      <c r="F538" s="74" t="s">
        <v>493</v>
      </c>
      <c r="G538" s="74" t="s">
        <v>494</v>
      </c>
      <c r="H538" s="74" t="s">
        <v>567</v>
      </c>
      <c r="I538" s="1">
        <f t="shared" si="8"/>
        <v>4.5500000000000002E-3</v>
      </c>
    </row>
    <row r="539" spans="2:9" ht="12.5" x14ac:dyDescent="0.25">
      <c r="C539" s="74" t="s">
        <v>387</v>
      </c>
      <c r="D539" s="74" t="s">
        <v>325</v>
      </c>
      <c r="E539" s="74">
        <v>4.15E-3</v>
      </c>
      <c r="F539" s="74" t="s">
        <v>493</v>
      </c>
      <c r="G539" s="74" t="s">
        <v>494</v>
      </c>
      <c r="H539" s="74" t="s">
        <v>567</v>
      </c>
      <c r="I539" s="1">
        <f t="shared" si="8"/>
        <v>4.15E-3</v>
      </c>
    </row>
    <row r="540" spans="2:9" ht="12.5" x14ac:dyDescent="0.25">
      <c r="B540" s="74" t="s">
        <v>760</v>
      </c>
      <c r="D540" s="74" t="s">
        <v>586</v>
      </c>
      <c r="E540" s="74">
        <v>15.651165000000001</v>
      </c>
      <c r="F540" s="74" t="s">
        <v>493</v>
      </c>
      <c r="G540" s="74" t="s">
        <v>494</v>
      </c>
      <c r="H540" s="74" t="s">
        <v>587</v>
      </c>
      <c r="I540" s="1">
        <f t="shared" si="8"/>
        <v>15.651165000000001</v>
      </c>
    </row>
    <row r="541" spans="2:9" ht="12.5" x14ac:dyDescent="0.25">
      <c r="C541" s="74" t="s">
        <v>761</v>
      </c>
      <c r="D541" s="74" t="s">
        <v>299</v>
      </c>
      <c r="E541" s="74">
        <v>5.0598375000000004</v>
      </c>
      <c r="F541" s="74" t="s">
        <v>493</v>
      </c>
      <c r="G541" s="74" t="s">
        <v>494</v>
      </c>
      <c r="H541" s="74" t="s">
        <v>587</v>
      </c>
      <c r="I541" s="1">
        <f t="shared" si="8"/>
        <v>5.0598375000000004</v>
      </c>
    </row>
    <row r="542" spans="2:9" ht="12.5" x14ac:dyDescent="0.25">
      <c r="C542" s="74" t="s">
        <v>762</v>
      </c>
      <c r="D542" s="74" t="s">
        <v>313</v>
      </c>
      <c r="E542" s="74">
        <v>4.3512900000000005</v>
      </c>
      <c r="F542" s="74" t="s">
        <v>493</v>
      </c>
      <c r="G542" s="74" t="s">
        <v>494</v>
      </c>
      <c r="H542" s="74" t="s">
        <v>587</v>
      </c>
      <c r="I542" s="1">
        <f t="shared" si="8"/>
        <v>4.3512900000000005</v>
      </c>
    </row>
    <row r="543" spans="2:9" ht="12.5" x14ac:dyDescent="0.25">
      <c r="C543" s="74" t="s">
        <v>763</v>
      </c>
      <c r="D543" s="74" t="s">
        <v>301</v>
      </c>
      <c r="E543" s="74">
        <v>1.6019399999999999</v>
      </c>
      <c r="F543" s="74" t="s">
        <v>493</v>
      </c>
      <c r="G543" s="74" t="s">
        <v>494</v>
      </c>
      <c r="H543" s="74" t="s">
        <v>587</v>
      </c>
      <c r="I543" s="1">
        <f t="shared" si="8"/>
        <v>1.6019399999999999</v>
      </c>
    </row>
    <row r="544" spans="2:9" ht="12.5" x14ac:dyDescent="0.25">
      <c r="C544" s="74" t="s">
        <v>627</v>
      </c>
      <c r="D544" s="74" t="s">
        <v>303</v>
      </c>
      <c r="E544" s="74">
        <v>1.1014275</v>
      </c>
      <c r="F544" s="74" t="s">
        <v>493</v>
      </c>
      <c r="G544" s="74" t="s">
        <v>494</v>
      </c>
      <c r="H544" s="74" t="s">
        <v>587</v>
      </c>
      <c r="I544" s="1">
        <f t="shared" si="8"/>
        <v>1.1014275</v>
      </c>
    </row>
    <row r="545" spans="1:9" ht="12.5" x14ac:dyDescent="0.25">
      <c r="C545" s="74" t="s">
        <v>764</v>
      </c>
      <c r="D545" s="74" t="s">
        <v>592</v>
      </c>
      <c r="E545" s="74">
        <v>0.91174500000000003</v>
      </c>
      <c r="F545" s="74" t="s">
        <v>493</v>
      </c>
      <c r="G545" s="74" t="s">
        <v>494</v>
      </c>
      <c r="H545" s="74" t="s">
        <v>587</v>
      </c>
      <c r="I545" s="1">
        <f t="shared" si="8"/>
        <v>0.91174500000000014</v>
      </c>
    </row>
    <row r="546" spans="1:9" ht="12.5" x14ac:dyDescent="0.25">
      <c r="C546" s="74" t="s">
        <v>629</v>
      </c>
      <c r="D546" s="74" t="s">
        <v>309</v>
      </c>
      <c r="E546" s="74">
        <v>0.85169250000000007</v>
      </c>
      <c r="F546" s="74" t="s">
        <v>493</v>
      </c>
      <c r="G546" s="74" t="s">
        <v>494</v>
      </c>
      <c r="H546" s="74" t="s">
        <v>587</v>
      </c>
      <c r="I546" s="1">
        <f t="shared" si="8"/>
        <v>0.85169250000000007</v>
      </c>
    </row>
    <row r="547" spans="1:9" ht="12.5" x14ac:dyDescent="0.25">
      <c r="C547" s="74" t="s">
        <v>765</v>
      </c>
      <c r="D547" s="74" t="s">
        <v>311</v>
      </c>
      <c r="E547" s="74">
        <v>0.78875999999999991</v>
      </c>
      <c r="F547" s="74" t="s">
        <v>493</v>
      </c>
      <c r="G547" s="74" t="s">
        <v>494</v>
      </c>
      <c r="H547" s="74" t="s">
        <v>587</v>
      </c>
      <c r="I547" s="1">
        <f t="shared" si="8"/>
        <v>0.78875999999999991</v>
      </c>
    </row>
    <row r="548" spans="1:9" ht="12.5" x14ac:dyDescent="0.25">
      <c r="C548" s="74" t="s">
        <v>690</v>
      </c>
      <c r="D548" s="74" t="s">
        <v>321</v>
      </c>
      <c r="E548" s="74">
        <v>0.39661499999999994</v>
      </c>
      <c r="F548" s="74" t="s">
        <v>493</v>
      </c>
      <c r="G548" s="74" t="s">
        <v>494</v>
      </c>
      <c r="H548" s="74" t="s">
        <v>587</v>
      </c>
      <c r="I548" s="1">
        <f t="shared" si="8"/>
        <v>0.39661499999999994</v>
      </c>
    </row>
    <row r="549" spans="1:9" ht="12.5" x14ac:dyDescent="0.25">
      <c r="C549" s="74" t="s">
        <v>372</v>
      </c>
      <c r="D549" s="74" t="s">
        <v>317</v>
      </c>
      <c r="E549" s="74">
        <v>0.19013250000000001</v>
      </c>
      <c r="F549" s="74" t="s">
        <v>493</v>
      </c>
      <c r="G549" s="74" t="s">
        <v>494</v>
      </c>
      <c r="H549" s="74" t="s">
        <v>587</v>
      </c>
      <c r="I549" s="1">
        <f t="shared" si="8"/>
        <v>0.19013250000000001</v>
      </c>
    </row>
    <row r="550" spans="1:9" ht="12.5" x14ac:dyDescent="0.25">
      <c r="C550" s="74" t="s">
        <v>351</v>
      </c>
      <c r="D550" s="74" t="s">
        <v>319</v>
      </c>
      <c r="E550" s="74">
        <v>0.17552999999999999</v>
      </c>
      <c r="F550" s="74" t="s">
        <v>493</v>
      </c>
      <c r="G550" s="74" t="s">
        <v>494</v>
      </c>
      <c r="H550" s="74" t="s">
        <v>587</v>
      </c>
      <c r="I550" s="1">
        <f t="shared" si="8"/>
        <v>0.17552999999999999</v>
      </c>
    </row>
    <row r="551" spans="1:9" ht="12.5" x14ac:dyDescent="0.25">
      <c r="C551" s="74" t="s">
        <v>353</v>
      </c>
      <c r="D551" s="74" t="s">
        <v>315</v>
      </c>
      <c r="E551" s="74">
        <v>0.1085325</v>
      </c>
      <c r="F551" s="74" t="s">
        <v>493</v>
      </c>
      <c r="G551" s="74" t="s">
        <v>494</v>
      </c>
      <c r="H551" s="74" t="s">
        <v>587</v>
      </c>
      <c r="I551" s="1">
        <f t="shared" si="8"/>
        <v>0.10853249999999999</v>
      </c>
    </row>
    <row r="552" spans="1:9" ht="12.5" x14ac:dyDescent="0.25">
      <c r="C552" s="74" t="s">
        <v>669</v>
      </c>
      <c r="D552" s="74" t="s">
        <v>327</v>
      </c>
      <c r="E552" s="74">
        <v>5.151E-2</v>
      </c>
      <c r="F552" s="74" t="s">
        <v>493</v>
      </c>
      <c r="G552" s="74" t="s">
        <v>494</v>
      </c>
      <c r="H552" s="74" t="s">
        <v>587</v>
      </c>
      <c r="I552" s="1">
        <f t="shared" si="8"/>
        <v>5.151E-2</v>
      </c>
    </row>
    <row r="553" spans="1:9" ht="12.5" x14ac:dyDescent="0.25">
      <c r="C553" s="74" t="s">
        <v>401</v>
      </c>
      <c r="D553" s="74" t="s">
        <v>323</v>
      </c>
      <c r="E553" s="74">
        <v>2.5425E-2</v>
      </c>
      <c r="F553" s="74" t="s">
        <v>493</v>
      </c>
      <c r="G553" s="74" t="s">
        <v>494</v>
      </c>
      <c r="H553" s="74" t="s">
        <v>587</v>
      </c>
      <c r="I553" s="1">
        <f t="shared" si="8"/>
        <v>2.5425E-2</v>
      </c>
    </row>
    <row r="554" spans="1:9" ht="12.5" x14ac:dyDescent="0.25">
      <c r="C554" s="74" t="s">
        <v>401</v>
      </c>
      <c r="D554" s="74" t="s">
        <v>598</v>
      </c>
      <c r="E554" s="74">
        <v>2.3722500000000001E-2</v>
      </c>
      <c r="F554" s="74" t="s">
        <v>493</v>
      </c>
      <c r="G554" s="74" t="s">
        <v>494</v>
      </c>
      <c r="H554" s="74" t="s">
        <v>587</v>
      </c>
      <c r="I554" s="1">
        <f t="shared" si="8"/>
        <v>2.3722499999999997E-2</v>
      </c>
    </row>
    <row r="555" spans="1:9" ht="12.5" x14ac:dyDescent="0.25">
      <c r="C555" s="74" t="s">
        <v>387</v>
      </c>
      <c r="D555" s="74" t="s">
        <v>333</v>
      </c>
      <c r="E555" s="74">
        <v>4.4549999999999998E-3</v>
      </c>
      <c r="F555" s="74" t="s">
        <v>493</v>
      </c>
      <c r="G555" s="74" t="s">
        <v>494</v>
      </c>
      <c r="H555" s="74" t="s">
        <v>587</v>
      </c>
      <c r="I555" s="1">
        <f t="shared" si="8"/>
        <v>4.4549999999999998E-3</v>
      </c>
    </row>
    <row r="556" spans="1:9" ht="12.5" x14ac:dyDescent="0.25">
      <c r="C556" s="74" t="s">
        <v>387</v>
      </c>
      <c r="D556" s="74" t="s">
        <v>331</v>
      </c>
      <c r="E556" s="74">
        <v>4.3049999999999998E-3</v>
      </c>
      <c r="F556" s="74" t="s">
        <v>493</v>
      </c>
      <c r="G556" s="74" t="s">
        <v>494</v>
      </c>
      <c r="H556" s="74" t="s">
        <v>587</v>
      </c>
      <c r="I556" s="1">
        <f t="shared" si="8"/>
        <v>4.3049999999999998E-3</v>
      </c>
    </row>
    <row r="557" spans="1:9" ht="12.5" x14ac:dyDescent="0.25">
      <c r="C557" s="74" t="s">
        <v>387</v>
      </c>
      <c r="D557" s="74" t="s">
        <v>335</v>
      </c>
      <c r="E557" s="74">
        <v>3.9225000000000006E-3</v>
      </c>
      <c r="F557" s="74" t="s">
        <v>493</v>
      </c>
      <c r="G557" s="74" t="s">
        <v>494</v>
      </c>
      <c r="H557" s="74" t="s">
        <v>587</v>
      </c>
      <c r="I557" s="1">
        <f t="shared" si="8"/>
        <v>3.9225000000000006E-3</v>
      </c>
    </row>
    <row r="558" spans="1:9" ht="12.5" x14ac:dyDescent="0.25">
      <c r="C558" s="74" t="s">
        <v>356</v>
      </c>
      <c r="D558" s="74" t="s">
        <v>325</v>
      </c>
      <c r="E558" s="74">
        <v>3.3E-4</v>
      </c>
      <c r="F558" s="74" t="s">
        <v>493</v>
      </c>
      <c r="G558" s="74" t="s">
        <v>494</v>
      </c>
      <c r="H558" s="74" t="s">
        <v>587</v>
      </c>
      <c r="I558" s="1">
        <f t="shared" ref="I558:I621" si="9">IF(H558="Server",E558*$L$8/$M$8,IF(D558="market for electricity, low voltage | electricity, low voltage | APOS, U - FR",E558*$L$5/$M$5,E558))</f>
        <v>3.3E-4</v>
      </c>
    </row>
    <row r="559" spans="1:9" ht="12.5" x14ac:dyDescent="0.25">
      <c r="B559" s="74" t="s">
        <v>766</v>
      </c>
      <c r="D559" s="74" t="s">
        <v>337</v>
      </c>
      <c r="E559" s="74">
        <v>11.978078198567042</v>
      </c>
      <c r="F559" s="74" t="s">
        <v>493</v>
      </c>
      <c r="G559" s="74" t="s">
        <v>494</v>
      </c>
      <c r="I559" s="1">
        <f t="shared" si="9"/>
        <v>7.4180599387553743</v>
      </c>
    </row>
    <row r="560" spans="1:9" ht="12.5" x14ac:dyDescent="0.25">
      <c r="A560" s="74" t="s">
        <v>289</v>
      </c>
      <c r="D560" s="74" t="s">
        <v>290</v>
      </c>
      <c r="E560" s="74" t="s">
        <v>291</v>
      </c>
      <c r="F560" s="74" t="s">
        <v>3</v>
      </c>
      <c r="I560" s="1" t="str">
        <f t="shared" si="9"/>
        <v>Amount</v>
      </c>
    </row>
    <row r="561" spans="1:9" ht="12.5" x14ac:dyDescent="0.25">
      <c r="A561" s="74" t="s">
        <v>292</v>
      </c>
      <c r="D561" s="74" t="s">
        <v>563</v>
      </c>
      <c r="E561" s="74">
        <v>1.4670000000000001E-2</v>
      </c>
      <c r="F561" s="74" t="s">
        <v>508</v>
      </c>
      <c r="G561" s="74" t="s">
        <v>509</v>
      </c>
      <c r="I561" s="1">
        <f t="shared" si="9"/>
        <v>1.4670000000000001E-2</v>
      </c>
    </row>
    <row r="562" spans="1:9" ht="12.5" x14ac:dyDescent="0.25">
      <c r="B562" s="74" t="s">
        <v>767</v>
      </c>
      <c r="D562" s="74" t="s">
        <v>337</v>
      </c>
      <c r="E562" s="74">
        <v>9.3376458546571145E-3</v>
      </c>
      <c r="F562" s="74" t="s">
        <v>508</v>
      </c>
      <c r="G562" s="74" t="s">
        <v>509</v>
      </c>
      <c r="I562" s="1">
        <f t="shared" si="9"/>
        <v>5.7828322280450368E-3</v>
      </c>
    </row>
    <row r="563" spans="1:9" ht="12.5" x14ac:dyDescent="0.25">
      <c r="B563" s="74" t="s">
        <v>768</v>
      </c>
      <c r="D563" s="74" t="s">
        <v>565</v>
      </c>
      <c r="E563" s="74">
        <v>5.2900000000000004E-3</v>
      </c>
      <c r="F563" s="74" t="s">
        <v>508</v>
      </c>
      <c r="G563" s="74" t="s">
        <v>509</v>
      </c>
      <c r="I563" s="1">
        <f t="shared" si="9"/>
        <v>5.2900000000000004E-3</v>
      </c>
    </row>
    <row r="564" spans="1:9" ht="12.5" x14ac:dyDescent="0.25">
      <c r="C564" s="74" t="s">
        <v>769</v>
      </c>
      <c r="D564" s="74" t="s">
        <v>313</v>
      </c>
      <c r="E564" s="74">
        <v>2.5400000000000002E-3</v>
      </c>
      <c r="F564" s="74" t="s">
        <v>508</v>
      </c>
      <c r="G564" s="74" t="s">
        <v>509</v>
      </c>
      <c r="H564" s="74" t="s">
        <v>567</v>
      </c>
      <c r="I564" s="1">
        <f t="shared" si="9"/>
        <v>2.5400000000000002E-3</v>
      </c>
    </row>
    <row r="565" spans="1:9" ht="12.5" x14ac:dyDescent="0.25">
      <c r="C565" s="74" t="s">
        <v>770</v>
      </c>
      <c r="D565" s="74" t="s">
        <v>569</v>
      </c>
      <c r="E565" s="74">
        <v>1.1299999999999999E-3</v>
      </c>
      <c r="F565" s="74" t="s">
        <v>508</v>
      </c>
      <c r="G565" s="74" t="s">
        <v>509</v>
      </c>
      <c r="H565" s="74" t="s">
        <v>567</v>
      </c>
      <c r="I565" s="1">
        <f t="shared" si="9"/>
        <v>1.1299999999999999E-3</v>
      </c>
    </row>
    <row r="566" spans="1:9" ht="12.5" x14ac:dyDescent="0.25">
      <c r="C566" s="74" t="s">
        <v>771</v>
      </c>
      <c r="D566" s="74" t="s">
        <v>571</v>
      </c>
      <c r="E566" s="74">
        <v>7.1000000000000002E-4</v>
      </c>
      <c r="F566" s="74" t="s">
        <v>508</v>
      </c>
      <c r="G566" s="74" t="s">
        <v>509</v>
      </c>
      <c r="H566" s="74" t="s">
        <v>567</v>
      </c>
      <c r="I566" s="1">
        <f t="shared" si="9"/>
        <v>7.1000000000000002E-4</v>
      </c>
    </row>
    <row r="567" spans="1:9" ht="12.5" x14ac:dyDescent="0.25">
      <c r="C567" s="74" t="s">
        <v>772</v>
      </c>
      <c r="D567" s="74" t="s">
        <v>573</v>
      </c>
      <c r="E567" s="74">
        <v>4.4999999999999999E-4</v>
      </c>
      <c r="F567" s="74" t="s">
        <v>508</v>
      </c>
      <c r="G567" s="74" t="s">
        <v>509</v>
      </c>
      <c r="H567" s="74" t="s">
        <v>567</v>
      </c>
      <c r="I567" s="1">
        <f t="shared" si="9"/>
        <v>4.4999999999999999E-4</v>
      </c>
    </row>
    <row r="568" spans="1:9" ht="12.5" x14ac:dyDescent="0.25">
      <c r="C568" s="74" t="s">
        <v>773</v>
      </c>
      <c r="D568" s="74" t="s">
        <v>575</v>
      </c>
      <c r="E568" s="74">
        <v>1.2E-4</v>
      </c>
      <c r="F568" s="74" t="s">
        <v>508</v>
      </c>
      <c r="G568" s="74" t="s">
        <v>509</v>
      </c>
      <c r="H568" s="74" t="s">
        <v>567</v>
      </c>
      <c r="I568" s="1">
        <f t="shared" si="9"/>
        <v>1.2E-4</v>
      </c>
    </row>
    <row r="569" spans="1:9" ht="12.5" x14ac:dyDescent="0.25">
      <c r="C569" s="74" t="s">
        <v>774</v>
      </c>
      <c r="D569" s="74" t="s">
        <v>580</v>
      </c>
      <c r="E569" s="75">
        <v>8.0068500000000001E-5</v>
      </c>
      <c r="F569" s="74" t="s">
        <v>508</v>
      </c>
      <c r="G569" s="74" t="s">
        <v>509</v>
      </c>
      <c r="H569" s="74" t="s">
        <v>567</v>
      </c>
      <c r="I569" s="1">
        <f t="shared" si="9"/>
        <v>8.0068500000000001E-5</v>
      </c>
    </row>
    <row r="570" spans="1:9" ht="12.5" x14ac:dyDescent="0.25">
      <c r="C570" s="74" t="s">
        <v>775</v>
      </c>
      <c r="D570" s="74" t="s">
        <v>577</v>
      </c>
      <c r="E570" s="75">
        <v>6.3973099999999999E-5</v>
      </c>
      <c r="F570" s="74" t="s">
        <v>508</v>
      </c>
      <c r="G570" s="74" t="s">
        <v>509</v>
      </c>
      <c r="H570" s="74" t="s">
        <v>567</v>
      </c>
      <c r="I570" s="1">
        <f t="shared" si="9"/>
        <v>6.3973099999999999E-5</v>
      </c>
    </row>
    <row r="571" spans="1:9" ht="12.5" x14ac:dyDescent="0.25">
      <c r="C571" s="74" t="s">
        <v>351</v>
      </c>
      <c r="D571" s="74" t="s">
        <v>578</v>
      </c>
      <c r="E571" s="75">
        <v>6.1468299999999996E-5</v>
      </c>
      <c r="F571" s="74" t="s">
        <v>508</v>
      </c>
      <c r="G571" s="74" t="s">
        <v>509</v>
      </c>
      <c r="H571" s="74" t="s">
        <v>567</v>
      </c>
      <c r="I571" s="1">
        <f t="shared" si="9"/>
        <v>6.1468299999999996E-5</v>
      </c>
    </row>
    <row r="572" spans="1:9" ht="12.5" x14ac:dyDescent="0.25">
      <c r="C572" s="74" t="s">
        <v>436</v>
      </c>
      <c r="D572" s="74" t="s">
        <v>581</v>
      </c>
      <c r="E572" s="75">
        <v>3.6037800000000002E-5</v>
      </c>
      <c r="F572" s="74" t="s">
        <v>508</v>
      </c>
      <c r="G572" s="74" t="s">
        <v>509</v>
      </c>
      <c r="H572" s="74" t="s">
        <v>567</v>
      </c>
      <c r="I572" s="1">
        <f t="shared" si="9"/>
        <v>3.6037800000000002E-5</v>
      </c>
    </row>
    <row r="573" spans="1:9" ht="12.5" x14ac:dyDescent="0.25">
      <c r="C573" s="74" t="s">
        <v>669</v>
      </c>
      <c r="D573" s="74" t="s">
        <v>582</v>
      </c>
      <c r="E573" s="75">
        <v>1.81128E-5</v>
      </c>
      <c r="F573" s="74" t="s">
        <v>508</v>
      </c>
      <c r="G573" s="74" t="s">
        <v>509</v>
      </c>
      <c r="H573" s="74" t="s">
        <v>567</v>
      </c>
      <c r="I573" s="1">
        <f t="shared" si="9"/>
        <v>1.81128E-5</v>
      </c>
    </row>
    <row r="574" spans="1:9" ht="12.5" x14ac:dyDescent="0.25">
      <c r="C574" s="74" t="s">
        <v>374</v>
      </c>
      <c r="D574" s="74" t="s">
        <v>583</v>
      </c>
      <c r="E574" s="75">
        <v>1.5605799999999999E-5</v>
      </c>
      <c r="F574" s="74" t="s">
        <v>508</v>
      </c>
      <c r="G574" s="74" t="s">
        <v>509</v>
      </c>
      <c r="H574" s="74" t="s">
        <v>567</v>
      </c>
      <c r="I574" s="1">
        <f t="shared" si="9"/>
        <v>1.5605799999999999E-5</v>
      </c>
    </row>
    <row r="575" spans="1:9" ht="12.5" x14ac:dyDescent="0.25">
      <c r="C575" s="74" t="s">
        <v>332</v>
      </c>
      <c r="D575" s="74" t="s">
        <v>317</v>
      </c>
      <c r="E575" s="75">
        <v>9.9070599999999993E-6</v>
      </c>
      <c r="F575" s="74" t="s">
        <v>508</v>
      </c>
      <c r="G575" s="74" t="s">
        <v>509</v>
      </c>
      <c r="H575" s="74" t="s">
        <v>567</v>
      </c>
      <c r="I575" s="1">
        <f t="shared" si="9"/>
        <v>9.9070599999999993E-6</v>
      </c>
    </row>
    <row r="576" spans="1:9" ht="12.5" x14ac:dyDescent="0.25">
      <c r="C576" s="74" t="s">
        <v>401</v>
      </c>
      <c r="D576" s="74" t="s">
        <v>323</v>
      </c>
      <c r="E576" s="75">
        <v>9.4387699999999998E-6</v>
      </c>
      <c r="F576" s="74" t="s">
        <v>508</v>
      </c>
      <c r="G576" s="74" t="s">
        <v>509</v>
      </c>
      <c r="H576" s="74" t="s">
        <v>567</v>
      </c>
      <c r="I576" s="1">
        <f t="shared" si="9"/>
        <v>9.4387699999999998E-6</v>
      </c>
    </row>
    <row r="577" spans="2:9" ht="12.5" x14ac:dyDescent="0.25">
      <c r="C577" s="74" t="s">
        <v>401</v>
      </c>
      <c r="D577" s="74" t="s">
        <v>315</v>
      </c>
      <c r="E577" s="75">
        <v>9.22378E-6</v>
      </c>
      <c r="F577" s="74" t="s">
        <v>508</v>
      </c>
      <c r="G577" s="74" t="s">
        <v>509</v>
      </c>
      <c r="H577" s="74" t="s">
        <v>567</v>
      </c>
      <c r="I577" s="1">
        <f t="shared" si="9"/>
        <v>9.22378E-6</v>
      </c>
    </row>
    <row r="578" spans="2:9" ht="12.5" x14ac:dyDescent="0.25">
      <c r="C578" s="74" t="s">
        <v>334</v>
      </c>
      <c r="D578" s="74" t="s">
        <v>325</v>
      </c>
      <c r="E578" s="75">
        <v>5.5352400000000002E-6</v>
      </c>
      <c r="F578" s="74" t="s">
        <v>508</v>
      </c>
      <c r="G578" s="74" t="s">
        <v>509</v>
      </c>
      <c r="H578" s="74" t="s">
        <v>567</v>
      </c>
      <c r="I578" s="1">
        <f t="shared" si="9"/>
        <v>5.5352400000000002E-6</v>
      </c>
    </row>
    <row r="579" spans="2:9" ht="12.5" x14ac:dyDescent="0.25">
      <c r="C579" s="74" t="s">
        <v>355</v>
      </c>
      <c r="D579" s="74" t="s">
        <v>321</v>
      </c>
      <c r="E579" s="75">
        <v>3.2736599999999998E-6</v>
      </c>
      <c r="F579" s="74" t="s">
        <v>508</v>
      </c>
      <c r="G579" s="74" t="s">
        <v>509</v>
      </c>
      <c r="H579" s="74" t="s">
        <v>567</v>
      </c>
      <c r="I579" s="1">
        <f t="shared" si="9"/>
        <v>3.2736599999999998E-6</v>
      </c>
    </row>
    <row r="580" spans="2:9" ht="12.5" x14ac:dyDescent="0.25">
      <c r="C580" s="74" t="s">
        <v>355</v>
      </c>
      <c r="D580" s="74" t="s">
        <v>327</v>
      </c>
      <c r="E580" s="75">
        <v>2.8536999999999999E-6</v>
      </c>
      <c r="F580" s="74" t="s">
        <v>508</v>
      </c>
      <c r="G580" s="74" t="s">
        <v>509</v>
      </c>
      <c r="H580" s="74" t="s">
        <v>567</v>
      </c>
      <c r="I580" s="1">
        <f t="shared" si="9"/>
        <v>2.8536999999999999E-6</v>
      </c>
    </row>
    <row r="581" spans="2:9" ht="12.5" x14ac:dyDescent="0.25">
      <c r="C581" s="74" t="s">
        <v>355</v>
      </c>
      <c r="D581" s="74" t="s">
        <v>319</v>
      </c>
      <c r="E581" s="75">
        <v>2.2362100000000001E-6</v>
      </c>
      <c r="F581" s="74" t="s">
        <v>508</v>
      </c>
      <c r="G581" s="74" t="s">
        <v>509</v>
      </c>
      <c r="H581" s="74" t="s">
        <v>567</v>
      </c>
      <c r="I581" s="1">
        <f t="shared" si="9"/>
        <v>2.2362100000000001E-6</v>
      </c>
    </row>
    <row r="582" spans="2:9" ht="12.5" x14ac:dyDescent="0.25">
      <c r="C582" s="74" t="s">
        <v>387</v>
      </c>
      <c r="D582" s="74" t="s">
        <v>584</v>
      </c>
      <c r="E582" s="75">
        <v>2.0615000000000001E-6</v>
      </c>
      <c r="F582" s="74" t="s">
        <v>508</v>
      </c>
      <c r="G582" s="74" t="s">
        <v>509</v>
      </c>
      <c r="H582" s="74" t="s">
        <v>567</v>
      </c>
      <c r="I582" s="1">
        <f t="shared" si="9"/>
        <v>2.0615000000000001E-6</v>
      </c>
    </row>
    <row r="583" spans="2:9" ht="12.5" x14ac:dyDescent="0.25">
      <c r="C583" s="74" t="s">
        <v>356</v>
      </c>
      <c r="D583" s="74" t="s">
        <v>329</v>
      </c>
      <c r="E583" s="75">
        <v>5.0020699999999997E-7</v>
      </c>
      <c r="F583" s="74" t="s">
        <v>508</v>
      </c>
      <c r="G583" s="74" t="s">
        <v>509</v>
      </c>
      <c r="H583" s="74" t="s">
        <v>567</v>
      </c>
      <c r="I583" s="1">
        <f t="shared" si="9"/>
        <v>5.0020699999999997E-7</v>
      </c>
    </row>
    <row r="584" spans="2:9" ht="12.5" x14ac:dyDescent="0.25">
      <c r="B584" s="74" t="s">
        <v>776</v>
      </c>
      <c r="D584" s="74" t="s">
        <v>586</v>
      </c>
      <c r="E584" s="74">
        <v>2.8425E-3</v>
      </c>
      <c r="F584" s="74" t="s">
        <v>508</v>
      </c>
      <c r="G584" s="74" t="s">
        <v>509</v>
      </c>
      <c r="H584" s="74" t="s">
        <v>587</v>
      </c>
      <c r="I584" s="1">
        <f t="shared" si="9"/>
        <v>2.8425E-3</v>
      </c>
    </row>
    <row r="585" spans="2:9" ht="12.5" x14ac:dyDescent="0.25">
      <c r="C585" s="74" t="s">
        <v>777</v>
      </c>
      <c r="D585" s="74" t="s">
        <v>299</v>
      </c>
      <c r="E585" s="74">
        <v>9.525E-4</v>
      </c>
      <c r="F585" s="74" t="s">
        <v>508</v>
      </c>
      <c r="G585" s="74" t="s">
        <v>509</v>
      </c>
      <c r="H585" s="74" t="s">
        <v>587</v>
      </c>
      <c r="I585" s="1">
        <f t="shared" si="9"/>
        <v>9.524999999999999E-4</v>
      </c>
    </row>
    <row r="586" spans="2:9" ht="12.5" x14ac:dyDescent="0.25">
      <c r="C586" s="74" t="s">
        <v>778</v>
      </c>
      <c r="D586" s="74" t="s">
        <v>313</v>
      </c>
      <c r="E586" s="74">
        <v>8.0250000000000004E-4</v>
      </c>
      <c r="F586" s="74" t="s">
        <v>508</v>
      </c>
      <c r="G586" s="74" t="s">
        <v>509</v>
      </c>
      <c r="H586" s="74" t="s">
        <v>587</v>
      </c>
      <c r="I586" s="1">
        <f t="shared" si="9"/>
        <v>8.0249999999999994E-4</v>
      </c>
    </row>
    <row r="587" spans="2:9" ht="12.5" x14ac:dyDescent="0.25">
      <c r="C587" s="74" t="s">
        <v>687</v>
      </c>
      <c r="D587" s="74" t="s">
        <v>301</v>
      </c>
      <c r="E587" s="74">
        <v>2.9250000000000001E-4</v>
      </c>
      <c r="F587" s="74" t="s">
        <v>508</v>
      </c>
      <c r="G587" s="74" t="s">
        <v>509</v>
      </c>
      <c r="H587" s="74" t="s">
        <v>587</v>
      </c>
      <c r="I587" s="1">
        <f t="shared" si="9"/>
        <v>2.9250000000000001E-4</v>
      </c>
    </row>
    <row r="588" spans="2:9" ht="12.5" x14ac:dyDescent="0.25">
      <c r="C588" s="74" t="s">
        <v>556</v>
      </c>
      <c r="D588" s="74" t="s">
        <v>303</v>
      </c>
      <c r="E588" s="74">
        <v>2.0999999999999998E-4</v>
      </c>
      <c r="F588" s="74" t="s">
        <v>508</v>
      </c>
      <c r="G588" s="74" t="s">
        <v>509</v>
      </c>
      <c r="H588" s="74" t="s">
        <v>587</v>
      </c>
      <c r="I588" s="1">
        <f t="shared" si="9"/>
        <v>2.0999999999999998E-4</v>
      </c>
    </row>
    <row r="589" spans="2:9" ht="12.5" x14ac:dyDescent="0.25">
      <c r="C589" s="74" t="s">
        <v>779</v>
      </c>
      <c r="D589" s="74" t="s">
        <v>309</v>
      </c>
      <c r="E589" s="74">
        <v>1.5000000000000001E-4</v>
      </c>
      <c r="F589" s="74" t="s">
        <v>508</v>
      </c>
      <c r="G589" s="74" t="s">
        <v>509</v>
      </c>
      <c r="H589" s="74" t="s">
        <v>587</v>
      </c>
      <c r="I589" s="1">
        <f t="shared" si="9"/>
        <v>1.5000000000000001E-4</v>
      </c>
    </row>
    <row r="590" spans="2:9" ht="12.5" x14ac:dyDescent="0.25">
      <c r="C590" s="74" t="s">
        <v>369</v>
      </c>
      <c r="D590" s="74" t="s">
        <v>311</v>
      </c>
      <c r="E590" s="74">
        <v>1.5000000000000001E-4</v>
      </c>
      <c r="F590" s="74" t="s">
        <v>508</v>
      </c>
      <c r="G590" s="74" t="s">
        <v>509</v>
      </c>
      <c r="H590" s="74" t="s">
        <v>587</v>
      </c>
      <c r="I590" s="1">
        <f t="shared" si="9"/>
        <v>1.5000000000000001E-4</v>
      </c>
    </row>
    <row r="591" spans="2:9" ht="12.5" x14ac:dyDescent="0.25">
      <c r="C591" s="74" t="s">
        <v>557</v>
      </c>
      <c r="D591" s="74" t="s">
        <v>592</v>
      </c>
      <c r="E591" s="74">
        <v>1.35E-4</v>
      </c>
      <c r="F591" s="74" t="s">
        <v>508</v>
      </c>
      <c r="G591" s="74" t="s">
        <v>509</v>
      </c>
      <c r="H591" s="74" t="s">
        <v>587</v>
      </c>
      <c r="I591" s="1">
        <f t="shared" si="9"/>
        <v>1.35E-4</v>
      </c>
    </row>
    <row r="592" spans="2:9" ht="12.5" x14ac:dyDescent="0.25">
      <c r="C592" s="74" t="s">
        <v>546</v>
      </c>
      <c r="D592" s="74" t="s">
        <v>315</v>
      </c>
      <c r="E592" s="75">
        <v>5.3113575000000004E-5</v>
      </c>
      <c r="F592" s="74" t="s">
        <v>508</v>
      </c>
      <c r="G592" s="74" t="s">
        <v>509</v>
      </c>
      <c r="H592" s="74" t="s">
        <v>587</v>
      </c>
      <c r="I592" s="1">
        <f t="shared" si="9"/>
        <v>5.3113575000000004E-5</v>
      </c>
    </row>
    <row r="593" spans="1:9" ht="12.5" x14ac:dyDescent="0.25">
      <c r="C593" s="74" t="s">
        <v>696</v>
      </c>
      <c r="D593" s="74" t="s">
        <v>317</v>
      </c>
      <c r="E593" s="75">
        <v>4.3707599999999995E-5</v>
      </c>
      <c r="F593" s="74" t="s">
        <v>508</v>
      </c>
      <c r="G593" s="74" t="s">
        <v>509</v>
      </c>
      <c r="H593" s="74" t="s">
        <v>587</v>
      </c>
      <c r="I593" s="1">
        <f t="shared" si="9"/>
        <v>4.3707599999999995E-5</v>
      </c>
    </row>
    <row r="594" spans="1:9" ht="12.5" x14ac:dyDescent="0.25">
      <c r="C594" s="74" t="s">
        <v>415</v>
      </c>
      <c r="D594" s="74" t="s">
        <v>327</v>
      </c>
      <c r="E594" s="75">
        <v>1.4862975000000001E-5</v>
      </c>
      <c r="F594" s="74" t="s">
        <v>508</v>
      </c>
      <c r="G594" s="74" t="s">
        <v>509</v>
      </c>
      <c r="H594" s="74" t="s">
        <v>587</v>
      </c>
      <c r="I594" s="1">
        <f t="shared" si="9"/>
        <v>1.4862975000000001E-5</v>
      </c>
    </row>
    <row r="595" spans="1:9" ht="12.5" x14ac:dyDescent="0.25">
      <c r="C595" s="74" t="s">
        <v>328</v>
      </c>
      <c r="D595" s="74" t="s">
        <v>321</v>
      </c>
      <c r="E595" s="75">
        <v>1.44426E-5</v>
      </c>
      <c r="F595" s="74" t="s">
        <v>508</v>
      </c>
      <c r="G595" s="74" t="s">
        <v>509</v>
      </c>
      <c r="H595" s="74" t="s">
        <v>587</v>
      </c>
      <c r="I595" s="1">
        <f t="shared" si="9"/>
        <v>1.4442600000000001E-5</v>
      </c>
    </row>
    <row r="596" spans="1:9" ht="12.5" x14ac:dyDescent="0.25">
      <c r="C596" s="74" t="s">
        <v>669</v>
      </c>
      <c r="D596" s="74" t="s">
        <v>319</v>
      </c>
      <c r="E596" s="75">
        <v>1.3503675000000001E-5</v>
      </c>
      <c r="F596" s="74" t="s">
        <v>508</v>
      </c>
      <c r="G596" s="74" t="s">
        <v>509</v>
      </c>
      <c r="H596" s="74" t="s">
        <v>587</v>
      </c>
      <c r="I596" s="1">
        <f t="shared" si="9"/>
        <v>1.3503675000000001E-5</v>
      </c>
    </row>
    <row r="597" spans="1:9" ht="12.5" x14ac:dyDescent="0.25">
      <c r="C597" s="74" t="s">
        <v>330</v>
      </c>
      <c r="D597" s="74" t="s">
        <v>323</v>
      </c>
      <c r="E597" s="75">
        <v>1.0382625E-5</v>
      </c>
      <c r="F597" s="74" t="s">
        <v>508</v>
      </c>
      <c r="G597" s="74" t="s">
        <v>509</v>
      </c>
      <c r="H597" s="74" t="s">
        <v>587</v>
      </c>
      <c r="I597" s="1">
        <f t="shared" si="9"/>
        <v>1.0382625E-5</v>
      </c>
    </row>
    <row r="598" spans="1:9" ht="12.5" x14ac:dyDescent="0.25">
      <c r="C598" s="74" t="s">
        <v>355</v>
      </c>
      <c r="D598" s="74" t="s">
        <v>598</v>
      </c>
      <c r="E598" s="75">
        <v>2.6052449999999998E-6</v>
      </c>
      <c r="F598" s="74" t="s">
        <v>508</v>
      </c>
      <c r="G598" s="74" t="s">
        <v>509</v>
      </c>
      <c r="H598" s="74" t="s">
        <v>587</v>
      </c>
      <c r="I598" s="1">
        <f t="shared" si="9"/>
        <v>2.6052449999999998E-6</v>
      </c>
    </row>
    <row r="599" spans="1:9" ht="12.5" x14ac:dyDescent="0.25">
      <c r="C599" s="74" t="s">
        <v>355</v>
      </c>
      <c r="D599" s="74" t="s">
        <v>333</v>
      </c>
      <c r="E599" s="75">
        <v>1.6824899999999999E-6</v>
      </c>
      <c r="F599" s="74" t="s">
        <v>508</v>
      </c>
      <c r="G599" s="74" t="s">
        <v>509</v>
      </c>
      <c r="H599" s="74" t="s">
        <v>587</v>
      </c>
      <c r="I599" s="1">
        <f t="shared" si="9"/>
        <v>1.6824899999999999E-6</v>
      </c>
    </row>
    <row r="600" spans="1:9" ht="12.5" x14ac:dyDescent="0.25">
      <c r="C600" s="74" t="s">
        <v>356</v>
      </c>
      <c r="D600" s="74" t="s">
        <v>325</v>
      </c>
      <c r="E600" s="75">
        <v>4.4281949999999998E-7</v>
      </c>
      <c r="F600" s="74" t="s">
        <v>508</v>
      </c>
      <c r="G600" s="74" t="s">
        <v>509</v>
      </c>
      <c r="H600" s="74" t="s">
        <v>587</v>
      </c>
      <c r="I600" s="1">
        <f t="shared" si="9"/>
        <v>4.4281949999999998E-7</v>
      </c>
    </row>
    <row r="601" spans="1:9" ht="12.5" x14ac:dyDescent="0.25">
      <c r="C601" s="74" t="s">
        <v>356</v>
      </c>
      <c r="D601" s="74" t="s">
        <v>335</v>
      </c>
      <c r="E601" s="75">
        <v>2.8574775000000002E-7</v>
      </c>
      <c r="F601" s="74" t="s">
        <v>508</v>
      </c>
      <c r="G601" s="74" t="s">
        <v>509</v>
      </c>
      <c r="H601" s="74" t="s">
        <v>587</v>
      </c>
      <c r="I601" s="1">
        <f t="shared" si="9"/>
        <v>2.8574775000000002E-7</v>
      </c>
    </row>
    <row r="602" spans="1:9" ht="12.5" x14ac:dyDescent="0.25">
      <c r="C602" s="74" t="s">
        <v>356</v>
      </c>
      <c r="D602" s="74" t="s">
        <v>331</v>
      </c>
      <c r="E602" s="75">
        <v>3.8002424999999998E-8</v>
      </c>
      <c r="F602" s="74" t="s">
        <v>508</v>
      </c>
      <c r="G602" s="74" t="s">
        <v>509</v>
      </c>
      <c r="H602" s="74" t="s">
        <v>587</v>
      </c>
      <c r="I602" s="1">
        <f t="shared" si="9"/>
        <v>3.8002424999999998E-8</v>
      </c>
    </row>
    <row r="603" spans="1:9" ht="12.5" x14ac:dyDescent="0.25">
      <c r="A603" s="74" t="s">
        <v>289</v>
      </c>
      <c r="D603" s="74" t="s">
        <v>290</v>
      </c>
      <c r="E603" s="74" t="s">
        <v>291</v>
      </c>
      <c r="F603" s="74" t="s">
        <v>3</v>
      </c>
      <c r="I603" s="1" t="str">
        <f t="shared" si="9"/>
        <v>Amount</v>
      </c>
    </row>
    <row r="604" spans="1:9" ht="12.5" x14ac:dyDescent="0.25">
      <c r="A604" s="74" t="s">
        <v>292</v>
      </c>
      <c r="D604" s="74" t="s">
        <v>563</v>
      </c>
      <c r="E604" s="74">
        <v>101.64247</v>
      </c>
      <c r="F604" s="74" t="s">
        <v>523</v>
      </c>
      <c r="G604" s="74" t="s">
        <v>524</v>
      </c>
      <c r="I604" s="1">
        <f t="shared" si="9"/>
        <v>101.64247</v>
      </c>
    </row>
    <row r="605" spans="1:9" ht="12.5" x14ac:dyDescent="0.25">
      <c r="B605" s="74" t="s">
        <v>780</v>
      </c>
      <c r="D605" s="74" t="s">
        <v>565</v>
      </c>
      <c r="E605" s="74">
        <v>53.815280000000001</v>
      </c>
      <c r="F605" s="74" t="s">
        <v>523</v>
      </c>
      <c r="G605" s="74" t="s">
        <v>524</v>
      </c>
      <c r="I605" s="1">
        <f t="shared" si="9"/>
        <v>53.815280000000001</v>
      </c>
    </row>
    <row r="606" spans="1:9" ht="12.5" x14ac:dyDescent="0.25">
      <c r="C606" s="74" t="s">
        <v>781</v>
      </c>
      <c r="D606" s="74" t="s">
        <v>569</v>
      </c>
      <c r="E606" s="74">
        <v>18.607890000000001</v>
      </c>
      <c r="F606" s="74" t="s">
        <v>523</v>
      </c>
      <c r="G606" s="74" t="s">
        <v>524</v>
      </c>
      <c r="H606" s="74" t="s">
        <v>567</v>
      </c>
      <c r="I606" s="1">
        <f t="shared" si="9"/>
        <v>18.607890000000001</v>
      </c>
    </row>
    <row r="607" spans="1:9" ht="12.5" x14ac:dyDescent="0.25">
      <c r="C607" s="74" t="s">
        <v>782</v>
      </c>
      <c r="D607" s="74" t="s">
        <v>313</v>
      </c>
      <c r="E607" s="74">
        <v>16.402149999999999</v>
      </c>
      <c r="F607" s="74" t="s">
        <v>523</v>
      </c>
      <c r="G607" s="74" t="s">
        <v>524</v>
      </c>
      <c r="H607" s="74" t="s">
        <v>567</v>
      </c>
      <c r="I607" s="1">
        <f t="shared" si="9"/>
        <v>16.402149999999999</v>
      </c>
    </row>
    <row r="608" spans="1:9" ht="12.5" x14ac:dyDescent="0.25">
      <c r="C608" s="74" t="s">
        <v>783</v>
      </c>
      <c r="D608" s="74" t="s">
        <v>571</v>
      </c>
      <c r="E608" s="74">
        <v>6.5445099999999998</v>
      </c>
      <c r="F608" s="74" t="s">
        <v>523</v>
      </c>
      <c r="G608" s="74" t="s">
        <v>524</v>
      </c>
      <c r="H608" s="74" t="s">
        <v>567</v>
      </c>
      <c r="I608" s="1">
        <f t="shared" si="9"/>
        <v>6.5445099999999998</v>
      </c>
    </row>
    <row r="609" spans="3:9" ht="12.5" x14ac:dyDescent="0.25">
      <c r="C609" s="74" t="s">
        <v>784</v>
      </c>
      <c r="D609" s="74" t="s">
        <v>573</v>
      </c>
      <c r="E609" s="74">
        <v>4.2560900000000004</v>
      </c>
      <c r="F609" s="74" t="s">
        <v>523</v>
      </c>
      <c r="G609" s="74" t="s">
        <v>524</v>
      </c>
      <c r="H609" s="74" t="s">
        <v>567</v>
      </c>
      <c r="I609" s="1">
        <f t="shared" si="9"/>
        <v>4.2560900000000004</v>
      </c>
    </row>
    <row r="610" spans="3:9" ht="12.5" x14ac:dyDescent="0.25">
      <c r="C610" s="74" t="s">
        <v>450</v>
      </c>
      <c r="D610" s="74" t="s">
        <v>580</v>
      </c>
      <c r="E610" s="74">
        <v>3.68486</v>
      </c>
      <c r="F610" s="74" t="s">
        <v>523</v>
      </c>
      <c r="G610" s="74" t="s">
        <v>524</v>
      </c>
      <c r="H610" s="74" t="s">
        <v>567</v>
      </c>
      <c r="I610" s="1">
        <f t="shared" si="9"/>
        <v>3.68486</v>
      </c>
    </row>
    <row r="611" spans="3:9" ht="12.5" x14ac:dyDescent="0.25">
      <c r="C611" s="74" t="s">
        <v>785</v>
      </c>
      <c r="D611" s="74" t="s">
        <v>575</v>
      </c>
      <c r="E611" s="74">
        <v>1.7010400000000001</v>
      </c>
      <c r="F611" s="74" t="s">
        <v>523</v>
      </c>
      <c r="G611" s="74" t="s">
        <v>524</v>
      </c>
      <c r="H611" s="74" t="s">
        <v>567</v>
      </c>
      <c r="I611" s="1">
        <f t="shared" si="9"/>
        <v>1.7010400000000001</v>
      </c>
    </row>
    <row r="612" spans="3:9" ht="12.5" x14ac:dyDescent="0.25">
      <c r="C612" s="74" t="s">
        <v>517</v>
      </c>
      <c r="D612" s="74" t="s">
        <v>578</v>
      </c>
      <c r="E612" s="74">
        <v>0.84838000000000002</v>
      </c>
      <c r="F612" s="74" t="s">
        <v>523</v>
      </c>
      <c r="G612" s="74" t="s">
        <v>524</v>
      </c>
      <c r="H612" s="74" t="s">
        <v>567</v>
      </c>
      <c r="I612" s="1">
        <f t="shared" si="9"/>
        <v>0.84838000000000002</v>
      </c>
    </row>
    <row r="613" spans="3:9" ht="12.5" x14ac:dyDescent="0.25">
      <c r="C613" s="74" t="s">
        <v>608</v>
      </c>
      <c r="D613" s="74" t="s">
        <v>581</v>
      </c>
      <c r="E613" s="74">
        <v>0.64273000000000002</v>
      </c>
      <c r="F613" s="74" t="s">
        <v>523</v>
      </c>
      <c r="G613" s="74" t="s">
        <v>524</v>
      </c>
      <c r="H613" s="74" t="s">
        <v>567</v>
      </c>
      <c r="I613" s="1">
        <f t="shared" si="9"/>
        <v>0.64273000000000002</v>
      </c>
    </row>
    <row r="614" spans="3:9" ht="12.5" x14ac:dyDescent="0.25">
      <c r="C614" s="74" t="s">
        <v>683</v>
      </c>
      <c r="D614" s="74" t="s">
        <v>577</v>
      </c>
      <c r="E614" s="74">
        <v>0.53915000000000002</v>
      </c>
      <c r="F614" s="74" t="s">
        <v>523</v>
      </c>
      <c r="G614" s="74" t="s">
        <v>524</v>
      </c>
      <c r="H614" s="74" t="s">
        <v>567</v>
      </c>
      <c r="I614" s="1">
        <f t="shared" si="9"/>
        <v>0.53915000000000002</v>
      </c>
    </row>
    <row r="615" spans="3:9" ht="12.5" x14ac:dyDescent="0.25">
      <c r="C615" s="74" t="s">
        <v>479</v>
      </c>
      <c r="D615" s="74" t="s">
        <v>582</v>
      </c>
      <c r="E615" s="74">
        <v>0.20548</v>
      </c>
      <c r="F615" s="74" t="s">
        <v>523</v>
      </c>
      <c r="G615" s="74" t="s">
        <v>524</v>
      </c>
      <c r="H615" s="74" t="s">
        <v>567</v>
      </c>
      <c r="I615" s="1">
        <f t="shared" si="9"/>
        <v>0.20548</v>
      </c>
    </row>
    <row r="616" spans="3:9" ht="12.5" x14ac:dyDescent="0.25">
      <c r="C616" s="74" t="s">
        <v>374</v>
      </c>
      <c r="D616" s="74" t="s">
        <v>321</v>
      </c>
      <c r="E616" s="74">
        <v>0.11606</v>
      </c>
      <c r="F616" s="74" t="s">
        <v>523</v>
      </c>
      <c r="G616" s="74" t="s">
        <v>524</v>
      </c>
      <c r="H616" s="74" t="s">
        <v>567</v>
      </c>
      <c r="I616" s="1">
        <f t="shared" si="9"/>
        <v>0.11606</v>
      </c>
    </row>
    <row r="617" spans="3:9" ht="12.5" x14ac:dyDescent="0.25">
      <c r="C617" s="74" t="s">
        <v>374</v>
      </c>
      <c r="D617" s="74" t="s">
        <v>583</v>
      </c>
      <c r="E617" s="74">
        <v>0.11024</v>
      </c>
      <c r="F617" s="74" t="s">
        <v>523</v>
      </c>
      <c r="G617" s="74" t="s">
        <v>524</v>
      </c>
      <c r="H617" s="74" t="s">
        <v>567</v>
      </c>
      <c r="I617" s="1">
        <f t="shared" si="9"/>
        <v>0.11024</v>
      </c>
    </row>
    <row r="618" spans="3:9" ht="12.5" x14ac:dyDescent="0.25">
      <c r="C618" s="74" t="s">
        <v>334</v>
      </c>
      <c r="D618" s="74" t="s">
        <v>319</v>
      </c>
      <c r="E618" s="74">
        <v>3.5799999999999998E-2</v>
      </c>
      <c r="F618" s="74" t="s">
        <v>523</v>
      </c>
      <c r="G618" s="74" t="s">
        <v>524</v>
      </c>
      <c r="H618" s="74" t="s">
        <v>567</v>
      </c>
      <c r="I618" s="1">
        <f t="shared" si="9"/>
        <v>3.5799999999999998E-2</v>
      </c>
    </row>
    <row r="619" spans="3:9" ht="12.5" x14ac:dyDescent="0.25">
      <c r="C619" s="74" t="s">
        <v>354</v>
      </c>
      <c r="D619" s="74" t="s">
        <v>317</v>
      </c>
      <c r="E619" s="74">
        <v>3.4029999999999998E-2</v>
      </c>
      <c r="F619" s="74" t="s">
        <v>523</v>
      </c>
      <c r="G619" s="74" t="s">
        <v>524</v>
      </c>
      <c r="H619" s="74" t="s">
        <v>567</v>
      </c>
      <c r="I619" s="1">
        <f t="shared" si="9"/>
        <v>3.4029999999999998E-2</v>
      </c>
    </row>
    <row r="620" spans="3:9" ht="12.5" x14ac:dyDescent="0.25">
      <c r="C620" s="74" t="s">
        <v>354</v>
      </c>
      <c r="D620" s="74" t="s">
        <v>323</v>
      </c>
      <c r="E620" s="74">
        <v>2.8289999999999999E-2</v>
      </c>
      <c r="F620" s="74" t="s">
        <v>523</v>
      </c>
      <c r="G620" s="74" t="s">
        <v>524</v>
      </c>
      <c r="H620" s="74" t="s">
        <v>567</v>
      </c>
      <c r="I620" s="1">
        <f t="shared" si="9"/>
        <v>2.8289999999999999E-2</v>
      </c>
    </row>
    <row r="621" spans="3:9" ht="12.5" x14ac:dyDescent="0.25">
      <c r="C621" s="74" t="s">
        <v>355</v>
      </c>
      <c r="D621" s="74" t="s">
        <v>315</v>
      </c>
      <c r="E621" s="74">
        <v>2.4119999999999999E-2</v>
      </c>
      <c r="F621" s="74" t="s">
        <v>523</v>
      </c>
      <c r="G621" s="74" t="s">
        <v>524</v>
      </c>
      <c r="H621" s="74" t="s">
        <v>567</v>
      </c>
      <c r="I621" s="1">
        <f t="shared" si="9"/>
        <v>2.4119999999999999E-2</v>
      </c>
    </row>
    <row r="622" spans="3:9" ht="12.5" x14ac:dyDescent="0.25">
      <c r="C622" s="74" t="s">
        <v>387</v>
      </c>
      <c r="D622" s="74" t="s">
        <v>327</v>
      </c>
      <c r="E622" s="74">
        <v>1.4489999999999999E-2</v>
      </c>
      <c r="F622" s="74" t="s">
        <v>523</v>
      </c>
      <c r="G622" s="74" t="s">
        <v>524</v>
      </c>
      <c r="H622" s="74" t="s">
        <v>567</v>
      </c>
      <c r="I622" s="1">
        <f t="shared" ref="I622:I685" si="10">IF(H622="Server",E622*$L$8/$M$8,IF(D622="market for electricity, low voltage | electricity, low voltage | APOS, U - FR",E622*$L$5/$M$5,E622))</f>
        <v>1.4489999999999999E-2</v>
      </c>
    </row>
    <row r="623" spans="3:9" ht="12.5" x14ac:dyDescent="0.25">
      <c r="C623" s="74" t="s">
        <v>387</v>
      </c>
      <c r="D623" s="74" t="s">
        <v>584</v>
      </c>
      <c r="E623" s="74">
        <v>1.239E-2</v>
      </c>
      <c r="F623" s="74" t="s">
        <v>523</v>
      </c>
      <c r="G623" s="74" t="s">
        <v>524</v>
      </c>
      <c r="H623" s="74" t="s">
        <v>567</v>
      </c>
      <c r="I623" s="1">
        <f t="shared" si="10"/>
        <v>1.239E-2</v>
      </c>
    </row>
    <row r="624" spans="3:9" ht="12.5" x14ac:dyDescent="0.25">
      <c r="C624" s="74" t="s">
        <v>356</v>
      </c>
      <c r="D624" s="74" t="s">
        <v>329</v>
      </c>
      <c r="E624" s="74">
        <v>5.0299999999999997E-3</v>
      </c>
      <c r="F624" s="74" t="s">
        <v>523</v>
      </c>
      <c r="G624" s="74" t="s">
        <v>524</v>
      </c>
      <c r="H624" s="74" t="s">
        <v>567</v>
      </c>
      <c r="I624" s="1">
        <f t="shared" si="10"/>
        <v>5.0299999999999997E-3</v>
      </c>
    </row>
    <row r="625" spans="2:9" ht="12.5" x14ac:dyDescent="0.25">
      <c r="C625" s="74" t="s">
        <v>356</v>
      </c>
      <c r="D625" s="74" t="s">
        <v>325</v>
      </c>
      <c r="E625" s="74">
        <v>2.5400000000000002E-3</v>
      </c>
      <c r="F625" s="74" t="s">
        <v>523</v>
      </c>
      <c r="G625" s="74" t="s">
        <v>524</v>
      </c>
      <c r="H625" s="74" t="s">
        <v>567</v>
      </c>
      <c r="I625" s="1">
        <f t="shared" si="10"/>
        <v>2.5400000000000002E-3</v>
      </c>
    </row>
    <row r="626" spans="2:9" ht="12.5" x14ac:dyDescent="0.25">
      <c r="B626" s="74" t="s">
        <v>786</v>
      </c>
      <c r="D626" s="74" t="s">
        <v>586</v>
      </c>
      <c r="E626" s="74">
        <v>25.290179999999999</v>
      </c>
      <c r="F626" s="74" t="s">
        <v>523</v>
      </c>
      <c r="G626" s="74" t="s">
        <v>524</v>
      </c>
      <c r="H626" s="74" t="s">
        <v>587</v>
      </c>
      <c r="I626" s="1">
        <f t="shared" si="10"/>
        <v>25.290180000000003</v>
      </c>
    </row>
    <row r="627" spans="2:9" ht="12.5" x14ac:dyDescent="0.25">
      <c r="C627" s="74" t="s">
        <v>787</v>
      </c>
      <c r="D627" s="74" t="s">
        <v>299</v>
      </c>
      <c r="E627" s="74">
        <v>9.4629224999999995</v>
      </c>
      <c r="F627" s="74" t="s">
        <v>523</v>
      </c>
      <c r="G627" s="74" t="s">
        <v>524</v>
      </c>
      <c r="H627" s="74" t="s">
        <v>587</v>
      </c>
      <c r="I627" s="1">
        <f t="shared" si="10"/>
        <v>9.4629224999999995</v>
      </c>
    </row>
    <row r="628" spans="2:9" ht="12.5" x14ac:dyDescent="0.25">
      <c r="C628" s="74" t="s">
        <v>447</v>
      </c>
      <c r="D628" s="74" t="s">
        <v>313</v>
      </c>
      <c r="E628" s="74">
        <v>5.1976575</v>
      </c>
      <c r="F628" s="74" t="s">
        <v>523</v>
      </c>
      <c r="G628" s="74" t="s">
        <v>524</v>
      </c>
      <c r="H628" s="74" t="s">
        <v>587</v>
      </c>
      <c r="I628" s="1">
        <f t="shared" si="10"/>
        <v>5.1976575</v>
      </c>
    </row>
    <row r="629" spans="2:9" ht="12.5" x14ac:dyDescent="0.25">
      <c r="C629" s="74" t="s">
        <v>788</v>
      </c>
      <c r="D629" s="74" t="s">
        <v>301</v>
      </c>
      <c r="E629" s="74">
        <v>2.8431899999999999</v>
      </c>
      <c r="F629" s="74" t="s">
        <v>523</v>
      </c>
      <c r="G629" s="74" t="s">
        <v>524</v>
      </c>
      <c r="H629" s="74" t="s">
        <v>587</v>
      </c>
      <c r="I629" s="1">
        <f t="shared" si="10"/>
        <v>2.8431899999999999</v>
      </c>
    </row>
    <row r="630" spans="2:9" ht="12.5" x14ac:dyDescent="0.25">
      <c r="C630" s="74" t="s">
        <v>789</v>
      </c>
      <c r="D630" s="74" t="s">
        <v>303</v>
      </c>
      <c r="E630" s="74">
        <v>2.1534675000000001</v>
      </c>
      <c r="F630" s="74" t="s">
        <v>523</v>
      </c>
      <c r="G630" s="74" t="s">
        <v>524</v>
      </c>
      <c r="H630" s="74" t="s">
        <v>587</v>
      </c>
      <c r="I630" s="1">
        <f t="shared" si="10"/>
        <v>2.1534675000000001</v>
      </c>
    </row>
    <row r="631" spans="2:9" ht="12.5" x14ac:dyDescent="0.25">
      <c r="C631" s="74" t="s">
        <v>715</v>
      </c>
      <c r="D631" s="74" t="s">
        <v>592</v>
      </c>
      <c r="E631" s="74">
        <v>1.7225099999999998</v>
      </c>
      <c r="F631" s="74" t="s">
        <v>523</v>
      </c>
      <c r="G631" s="74" t="s">
        <v>524</v>
      </c>
      <c r="H631" s="74" t="s">
        <v>587</v>
      </c>
      <c r="I631" s="1">
        <f t="shared" si="10"/>
        <v>1.7225099999999998</v>
      </c>
    </row>
    <row r="632" spans="2:9" ht="12.5" x14ac:dyDescent="0.25">
      <c r="C632" s="74" t="s">
        <v>658</v>
      </c>
      <c r="D632" s="74" t="s">
        <v>309</v>
      </c>
      <c r="E632" s="74">
        <v>1.38354</v>
      </c>
      <c r="F632" s="74" t="s">
        <v>523</v>
      </c>
      <c r="G632" s="74" t="s">
        <v>524</v>
      </c>
      <c r="H632" s="74" t="s">
        <v>587</v>
      </c>
      <c r="I632" s="1">
        <f t="shared" si="10"/>
        <v>1.38354</v>
      </c>
    </row>
    <row r="633" spans="2:9" ht="12.5" x14ac:dyDescent="0.25">
      <c r="C633" s="74" t="s">
        <v>790</v>
      </c>
      <c r="D633" s="74" t="s">
        <v>311</v>
      </c>
      <c r="E633" s="74">
        <v>1.3657575</v>
      </c>
      <c r="F633" s="74" t="s">
        <v>523</v>
      </c>
      <c r="G633" s="74" t="s">
        <v>524</v>
      </c>
      <c r="H633" s="74" t="s">
        <v>587</v>
      </c>
      <c r="I633" s="1">
        <f t="shared" si="10"/>
        <v>1.3657575</v>
      </c>
    </row>
    <row r="634" spans="2:9" ht="12.5" x14ac:dyDescent="0.25">
      <c r="C634" s="74" t="s">
        <v>596</v>
      </c>
      <c r="D634" s="74" t="s">
        <v>321</v>
      </c>
      <c r="E634" s="74">
        <v>0.51204749999999999</v>
      </c>
      <c r="F634" s="74" t="s">
        <v>523</v>
      </c>
      <c r="G634" s="74" t="s">
        <v>524</v>
      </c>
      <c r="H634" s="74" t="s">
        <v>587</v>
      </c>
      <c r="I634" s="1">
        <f t="shared" si="10"/>
        <v>0.51204749999999999</v>
      </c>
    </row>
    <row r="635" spans="2:9" ht="12.5" x14ac:dyDescent="0.25">
      <c r="C635" s="74" t="s">
        <v>559</v>
      </c>
      <c r="D635" s="74" t="s">
        <v>319</v>
      </c>
      <c r="E635" s="74">
        <v>0.21619500000000003</v>
      </c>
      <c r="F635" s="74" t="s">
        <v>523</v>
      </c>
      <c r="G635" s="74" t="s">
        <v>524</v>
      </c>
      <c r="H635" s="74" t="s">
        <v>587</v>
      </c>
      <c r="I635" s="1">
        <f t="shared" si="10"/>
        <v>0.21619500000000003</v>
      </c>
    </row>
    <row r="636" spans="2:9" ht="12.5" x14ac:dyDescent="0.25">
      <c r="C636" s="74" t="s">
        <v>479</v>
      </c>
      <c r="D636" s="74" t="s">
        <v>317</v>
      </c>
      <c r="E636" s="74">
        <v>0.15015000000000001</v>
      </c>
      <c r="F636" s="74" t="s">
        <v>523</v>
      </c>
      <c r="G636" s="74" t="s">
        <v>524</v>
      </c>
      <c r="H636" s="74" t="s">
        <v>587</v>
      </c>
      <c r="I636" s="1">
        <f t="shared" si="10"/>
        <v>0.15015000000000001</v>
      </c>
    </row>
    <row r="637" spans="2:9" ht="12.5" x14ac:dyDescent="0.25">
      <c r="C637" s="74" t="s">
        <v>438</v>
      </c>
      <c r="D637" s="74" t="s">
        <v>315</v>
      </c>
      <c r="E637" s="74">
        <v>0.13891500000000001</v>
      </c>
      <c r="F637" s="74" t="s">
        <v>523</v>
      </c>
      <c r="G637" s="74" t="s">
        <v>524</v>
      </c>
      <c r="H637" s="74" t="s">
        <v>587</v>
      </c>
      <c r="I637" s="1">
        <f t="shared" si="10"/>
        <v>0.13891500000000001</v>
      </c>
    </row>
    <row r="638" spans="2:9" ht="12.5" x14ac:dyDescent="0.25">
      <c r="C638" s="74" t="s">
        <v>440</v>
      </c>
      <c r="D638" s="74" t="s">
        <v>327</v>
      </c>
      <c r="E638" s="74">
        <v>7.5487499999999999E-2</v>
      </c>
      <c r="F638" s="74" t="s">
        <v>523</v>
      </c>
      <c r="G638" s="74" t="s">
        <v>524</v>
      </c>
      <c r="H638" s="74" t="s">
        <v>587</v>
      </c>
      <c r="I638" s="1">
        <f t="shared" si="10"/>
        <v>7.5487499999999999E-2</v>
      </c>
    </row>
    <row r="639" spans="2:9" ht="12.5" x14ac:dyDescent="0.25">
      <c r="C639" s="74" t="s">
        <v>334</v>
      </c>
      <c r="D639" s="74" t="s">
        <v>323</v>
      </c>
      <c r="E639" s="74">
        <v>3.1125E-2</v>
      </c>
      <c r="F639" s="74" t="s">
        <v>523</v>
      </c>
      <c r="G639" s="74" t="s">
        <v>524</v>
      </c>
      <c r="H639" s="74" t="s">
        <v>587</v>
      </c>
      <c r="I639" s="1">
        <f t="shared" si="10"/>
        <v>3.1125E-2</v>
      </c>
    </row>
    <row r="640" spans="2:9" ht="12.5" x14ac:dyDescent="0.25">
      <c r="C640" s="74" t="s">
        <v>354</v>
      </c>
      <c r="D640" s="74" t="s">
        <v>598</v>
      </c>
      <c r="E640" s="74">
        <v>2.6175E-2</v>
      </c>
      <c r="F640" s="74" t="s">
        <v>523</v>
      </c>
      <c r="G640" s="74" t="s">
        <v>524</v>
      </c>
      <c r="H640" s="74" t="s">
        <v>587</v>
      </c>
      <c r="I640" s="1">
        <f t="shared" si="10"/>
        <v>2.6175E-2</v>
      </c>
    </row>
    <row r="641" spans="1:9" ht="12.5" x14ac:dyDescent="0.25">
      <c r="C641" s="74" t="s">
        <v>387</v>
      </c>
      <c r="D641" s="74" t="s">
        <v>331</v>
      </c>
      <c r="E641" s="74">
        <v>5.1450000000000003E-3</v>
      </c>
      <c r="F641" s="74" t="s">
        <v>523</v>
      </c>
      <c r="G641" s="74" t="s">
        <v>524</v>
      </c>
      <c r="H641" s="74" t="s">
        <v>587</v>
      </c>
      <c r="I641" s="1">
        <f t="shared" si="10"/>
        <v>5.1450000000000003E-3</v>
      </c>
    </row>
    <row r="642" spans="1:9" ht="12.5" x14ac:dyDescent="0.25">
      <c r="C642" s="74" t="s">
        <v>356</v>
      </c>
      <c r="D642" s="74" t="s">
        <v>335</v>
      </c>
      <c r="E642" s="74">
        <v>3.5100000000000001E-3</v>
      </c>
      <c r="F642" s="74" t="s">
        <v>523</v>
      </c>
      <c r="G642" s="74" t="s">
        <v>524</v>
      </c>
      <c r="H642" s="74" t="s">
        <v>587</v>
      </c>
      <c r="I642" s="1">
        <f t="shared" si="10"/>
        <v>3.5100000000000005E-3</v>
      </c>
    </row>
    <row r="643" spans="1:9" ht="12.5" x14ac:dyDescent="0.25">
      <c r="C643" s="74" t="s">
        <v>356</v>
      </c>
      <c r="D643" s="74" t="s">
        <v>333</v>
      </c>
      <c r="E643" s="74">
        <v>2.1825E-3</v>
      </c>
      <c r="F643" s="74" t="s">
        <v>523</v>
      </c>
      <c r="G643" s="74" t="s">
        <v>524</v>
      </c>
      <c r="H643" s="74" t="s">
        <v>587</v>
      </c>
      <c r="I643" s="1">
        <f t="shared" si="10"/>
        <v>2.1825E-3</v>
      </c>
    </row>
    <row r="644" spans="1:9" ht="12.5" x14ac:dyDescent="0.25">
      <c r="C644" s="74" t="s">
        <v>356</v>
      </c>
      <c r="D644" s="74" t="s">
        <v>325</v>
      </c>
      <c r="E644" s="74">
        <v>2.0249999999999999E-4</v>
      </c>
      <c r="F644" s="74" t="s">
        <v>523</v>
      </c>
      <c r="G644" s="74" t="s">
        <v>524</v>
      </c>
      <c r="H644" s="74" t="s">
        <v>587</v>
      </c>
      <c r="I644" s="1">
        <f t="shared" si="10"/>
        <v>2.0249999999999999E-4</v>
      </c>
    </row>
    <row r="645" spans="1:9" ht="12.5" x14ac:dyDescent="0.25">
      <c r="B645" s="74" t="s">
        <v>791</v>
      </c>
      <c r="D645" s="74" t="s">
        <v>337</v>
      </c>
      <c r="E645" s="74">
        <v>23.564526509723642</v>
      </c>
      <c r="F645" s="74" t="s">
        <v>523</v>
      </c>
      <c r="G645" s="74" t="s">
        <v>524</v>
      </c>
      <c r="I645" s="1">
        <f t="shared" si="10"/>
        <v>14.593582307588536</v>
      </c>
    </row>
    <row r="646" spans="1:9" ht="12.5" x14ac:dyDescent="0.25">
      <c r="A646" s="74" t="s">
        <v>289</v>
      </c>
      <c r="D646" s="74" t="s">
        <v>290</v>
      </c>
      <c r="E646" s="74" t="s">
        <v>291</v>
      </c>
      <c r="F646" s="74" t="s">
        <v>3</v>
      </c>
      <c r="I646" s="1" t="str">
        <f t="shared" si="10"/>
        <v>Amount</v>
      </c>
    </row>
    <row r="647" spans="1:9" ht="12.5" x14ac:dyDescent="0.25">
      <c r="A647" s="74" t="s">
        <v>292</v>
      </c>
      <c r="D647" s="74" t="s">
        <v>563</v>
      </c>
      <c r="E647" s="75">
        <v>263718</v>
      </c>
      <c r="F647" s="74" t="s">
        <v>376</v>
      </c>
      <c r="G647" s="74" t="s">
        <v>536</v>
      </c>
      <c r="I647" s="1">
        <f t="shared" si="10"/>
        <v>263718</v>
      </c>
    </row>
    <row r="648" spans="1:9" ht="12.5" x14ac:dyDescent="0.25">
      <c r="B648" s="74" t="s">
        <v>792</v>
      </c>
      <c r="D648" s="74" t="s">
        <v>565</v>
      </c>
      <c r="E648" s="75">
        <v>173055</v>
      </c>
      <c r="F648" s="74" t="s">
        <v>376</v>
      </c>
      <c r="G648" s="74" t="s">
        <v>536</v>
      </c>
      <c r="I648" s="1">
        <f t="shared" si="10"/>
        <v>173055</v>
      </c>
    </row>
    <row r="649" spans="1:9" ht="12.5" x14ac:dyDescent="0.25">
      <c r="C649" s="74" t="s">
        <v>793</v>
      </c>
      <c r="D649" s="74" t="s">
        <v>569</v>
      </c>
      <c r="E649" s="75">
        <v>112628</v>
      </c>
      <c r="F649" s="74" t="s">
        <v>376</v>
      </c>
      <c r="G649" s="74" t="s">
        <v>536</v>
      </c>
      <c r="H649" s="74" t="s">
        <v>567</v>
      </c>
      <c r="I649" s="1">
        <f t="shared" si="10"/>
        <v>112628</v>
      </c>
    </row>
    <row r="650" spans="1:9" ht="12.5" x14ac:dyDescent="0.25">
      <c r="C650" s="74" t="s">
        <v>794</v>
      </c>
      <c r="D650" s="74" t="s">
        <v>571</v>
      </c>
      <c r="E650" s="75">
        <v>37818</v>
      </c>
      <c r="F650" s="74" t="s">
        <v>376</v>
      </c>
      <c r="G650" s="74" t="s">
        <v>536</v>
      </c>
      <c r="H650" s="74" t="s">
        <v>567</v>
      </c>
      <c r="I650" s="1">
        <f t="shared" si="10"/>
        <v>37818</v>
      </c>
    </row>
    <row r="651" spans="1:9" ht="12.5" x14ac:dyDescent="0.25">
      <c r="C651" s="74" t="s">
        <v>795</v>
      </c>
      <c r="D651" s="74" t="s">
        <v>313</v>
      </c>
      <c r="E651" s="74">
        <v>9522.09087</v>
      </c>
      <c r="F651" s="74" t="s">
        <v>376</v>
      </c>
      <c r="G651" s="74" t="s">
        <v>536</v>
      </c>
      <c r="H651" s="74" t="s">
        <v>567</v>
      </c>
      <c r="I651" s="1">
        <f t="shared" si="10"/>
        <v>9522.09087</v>
      </c>
    </row>
    <row r="652" spans="1:9" ht="12.5" x14ac:dyDescent="0.25">
      <c r="C652" s="74" t="s">
        <v>615</v>
      </c>
      <c r="D652" s="74" t="s">
        <v>575</v>
      </c>
      <c r="E652" s="74">
        <v>5085.2912999999999</v>
      </c>
      <c r="F652" s="74" t="s">
        <v>376</v>
      </c>
      <c r="G652" s="74" t="s">
        <v>536</v>
      </c>
      <c r="H652" s="74" t="s">
        <v>567</v>
      </c>
      <c r="I652" s="1">
        <f t="shared" si="10"/>
        <v>5085.2912999999999</v>
      </c>
    </row>
    <row r="653" spans="1:9" ht="12.5" x14ac:dyDescent="0.25">
      <c r="C653" s="74" t="s">
        <v>314</v>
      </c>
      <c r="D653" s="74" t="s">
        <v>578</v>
      </c>
      <c r="E653" s="74">
        <v>3297.9713900000002</v>
      </c>
      <c r="F653" s="74" t="s">
        <v>376</v>
      </c>
      <c r="G653" s="74" t="s">
        <v>536</v>
      </c>
      <c r="H653" s="74" t="s">
        <v>567</v>
      </c>
      <c r="I653" s="1">
        <f t="shared" si="10"/>
        <v>3297.9713900000002</v>
      </c>
    </row>
    <row r="654" spans="1:9" ht="12.5" x14ac:dyDescent="0.25">
      <c r="C654" s="74" t="s">
        <v>316</v>
      </c>
      <c r="D654" s="74" t="s">
        <v>573</v>
      </c>
      <c r="E654" s="74">
        <v>2573.6266300000002</v>
      </c>
      <c r="F654" s="74" t="s">
        <v>376</v>
      </c>
      <c r="G654" s="74" t="s">
        <v>536</v>
      </c>
      <c r="H654" s="74" t="s">
        <v>567</v>
      </c>
      <c r="I654" s="1">
        <f t="shared" si="10"/>
        <v>2573.6266300000002</v>
      </c>
    </row>
    <row r="655" spans="1:9" ht="12.5" x14ac:dyDescent="0.25">
      <c r="C655" s="74" t="s">
        <v>559</v>
      </c>
      <c r="D655" s="74" t="s">
        <v>580</v>
      </c>
      <c r="E655" s="74">
        <v>750.59803999999997</v>
      </c>
      <c r="F655" s="74" t="s">
        <v>376</v>
      </c>
      <c r="G655" s="74" t="s">
        <v>536</v>
      </c>
      <c r="H655" s="74" t="s">
        <v>567</v>
      </c>
      <c r="I655" s="1">
        <f t="shared" si="10"/>
        <v>750.59803999999997</v>
      </c>
    </row>
    <row r="656" spans="1:9" ht="12.5" x14ac:dyDescent="0.25">
      <c r="C656" s="74" t="s">
        <v>426</v>
      </c>
      <c r="D656" s="74" t="s">
        <v>577</v>
      </c>
      <c r="E656" s="74">
        <v>460.54563000000002</v>
      </c>
      <c r="F656" s="74" t="s">
        <v>376</v>
      </c>
      <c r="G656" s="74" t="s">
        <v>536</v>
      </c>
      <c r="H656" s="74" t="s">
        <v>567</v>
      </c>
      <c r="I656" s="1">
        <f t="shared" si="10"/>
        <v>460.54563000000002</v>
      </c>
    </row>
    <row r="657" spans="2:9" ht="12.5" x14ac:dyDescent="0.25">
      <c r="C657" s="74" t="s">
        <v>440</v>
      </c>
      <c r="D657" s="74" t="s">
        <v>582</v>
      </c>
      <c r="E657" s="74">
        <v>271.37959999999998</v>
      </c>
      <c r="F657" s="74" t="s">
        <v>376</v>
      </c>
      <c r="G657" s="74" t="s">
        <v>536</v>
      </c>
      <c r="H657" s="74" t="s">
        <v>567</v>
      </c>
      <c r="I657" s="1">
        <f t="shared" si="10"/>
        <v>271.37959999999998</v>
      </c>
    </row>
    <row r="658" spans="2:9" ht="12.5" x14ac:dyDescent="0.25">
      <c r="C658" s="74" t="s">
        <v>332</v>
      </c>
      <c r="D658" s="74" t="s">
        <v>581</v>
      </c>
      <c r="E658" s="74">
        <v>190.68117000000001</v>
      </c>
      <c r="F658" s="74" t="s">
        <v>376</v>
      </c>
      <c r="G658" s="74" t="s">
        <v>536</v>
      </c>
      <c r="H658" s="74" t="s">
        <v>567</v>
      </c>
      <c r="I658" s="1">
        <f t="shared" si="10"/>
        <v>190.68117000000001</v>
      </c>
    </row>
    <row r="659" spans="2:9" ht="12.5" x14ac:dyDescent="0.25">
      <c r="C659" s="74" t="s">
        <v>332</v>
      </c>
      <c r="D659" s="74" t="s">
        <v>317</v>
      </c>
      <c r="E659" s="74">
        <v>177.47608</v>
      </c>
      <c r="F659" s="74" t="s">
        <v>376</v>
      </c>
      <c r="G659" s="74" t="s">
        <v>536</v>
      </c>
      <c r="H659" s="74" t="s">
        <v>567</v>
      </c>
      <c r="I659" s="1">
        <f t="shared" si="10"/>
        <v>177.47608</v>
      </c>
    </row>
    <row r="660" spans="2:9" ht="12.5" x14ac:dyDescent="0.25">
      <c r="C660" s="74" t="s">
        <v>334</v>
      </c>
      <c r="D660" s="74" t="s">
        <v>583</v>
      </c>
      <c r="E660" s="74">
        <v>100.46992</v>
      </c>
      <c r="F660" s="74" t="s">
        <v>376</v>
      </c>
      <c r="G660" s="74" t="s">
        <v>536</v>
      </c>
      <c r="H660" s="74" t="s">
        <v>567</v>
      </c>
      <c r="I660" s="1">
        <f t="shared" si="10"/>
        <v>100.46992</v>
      </c>
    </row>
    <row r="661" spans="2:9" ht="12.5" x14ac:dyDescent="0.25">
      <c r="C661" s="74" t="s">
        <v>334</v>
      </c>
      <c r="D661" s="74" t="s">
        <v>315</v>
      </c>
      <c r="E661" s="74">
        <v>97.288319999999999</v>
      </c>
      <c r="F661" s="74" t="s">
        <v>376</v>
      </c>
      <c r="G661" s="74" t="s">
        <v>536</v>
      </c>
      <c r="H661" s="74" t="s">
        <v>567</v>
      </c>
      <c r="I661" s="1">
        <f t="shared" si="10"/>
        <v>97.288319999999999</v>
      </c>
    </row>
    <row r="662" spans="2:9" ht="12.5" x14ac:dyDescent="0.25">
      <c r="C662" s="74" t="s">
        <v>387</v>
      </c>
      <c r="D662" s="74" t="s">
        <v>323</v>
      </c>
      <c r="E662" s="74">
        <v>34.200299999999999</v>
      </c>
      <c r="F662" s="74" t="s">
        <v>376</v>
      </c>
      <c r="G662" s="74" t="s">
        <v>536</v>
      </c>
      <c r="H662" s="74" t="s">
        <v>567</v>
      </c>
      <c r="I662" s="1">
        <f t="shared" si="10"/>
        <v>34.200299999999999</v>
      </c>
    </row>
    <row r="663" spans="2:9" ht="12.5" x14ac:dyDescent="0.25">
      <c r="C663" s="74" t="s">
        <v>356</v>
      </c>
      <c r="D663" s="74" t="s">
        <v>321</v>
      </c>
      <c r="E663" s="74">
        <v>13.09013</v>
      </c>
      <c r="F663" s="74" t="s">
        <v>376</v>
      </c>
      <c r="G663" s="74" t="s">
        <v>536</v>
      </c>
      <c r="H663" s="74" t="s">
        <v>567</v>
      </c>
      <c r="I663" s="1">
        <f t="shared" si="10"/>
        <v>13.09013</v>
      </c>
    </row>
    <row r="664" spans="2:9" ht="12.5" x14ac:dyDescent="0.25">
      <c r="C664" s="74" t="s">
        <v>356</v>
      </c>
      <c r="D664" s="74" t="s">
        <v>584</v>
      </c>
      <c r="E664" s="74">
        <v>9.24742</v>
      </c>
      <c r="F664" s="74" t="s">
        <v>376</v>
      </c>
      <c r="G664" s="74" t="s">
        <v>536</v>
      </c>
      <c r="H664" s="74" t="s">
        <v>567</v>
      </c>
      <c r="I664" s="1">
        <f t="shared" si="10"/>
        <v>9.24742</v>
      </c>
    </row>
    <row r="665" spans="2:9" ht="12.5" x14ac:dyDescent="0.25">
      <c r="C665" s="74" t="s">
        <v>356</v>
      </c>
      <c r="D665" s="74" t="s">
        <v>329</v>
      </c>
      <c r="E665" s="74">
        <v>9.1625099999999993</v>
      </c>
      <c r="F665" s="74" t="s">
        <v>376</v>
      </c>
      <c r="G665" s="74" t="s">
        <v>536</v>
      </c>
      <c r="H665" s="74" t="s">
        <v>567</v>
      </c>
      <c r="I665" s="1">
        <f t="shared" si="10"/>
        <v>9.1625099999999993</v>
      </c>
    </row>
    <row r="666" spans="2:9" ht="12.5" x14ac:dyDescent="0.25">
      <c r="C666" s="74" t="s">
        <v>356</v>
      </c>
      <c r="D666" s="74" t="s">
        <v>327</v>
      </c>
      <c r="E666" s="74">
        <v>7.1344599999999998</v>
      </c>
      <c r="F666" s="74" t="s">
        <v>376</v>
      </c>
      <c r="G666" s="74" t="s">
        <v>536</v>
      </c>
      <c r="H666" s="74" t="s">
        <v>567</v>
      </c>
      <c r="I666" s="1">
        <f t="shared" si="10"/>
        <v>7.1344599999999998</v>
      </c>
    </row>
    <row r="667" spans="2:9" ht="12.5" x14ac:dyDescent="0.25">
      <c r="C667" s="74" t="s">
        <v>356</v>
      </c>
      <c r="D667" s="74" t="s">
        <v>319</v>
      </c>
      <c r="E667" s="74">
        <v>5.9693800000000001</v>
      </c>
      <c r="F667" s="74" t="s">
        <v>376</v>
      </c>
      <c r="G667" s="74" t="s">
        <v>536</v>
      </c>
      <c r="H667" s="74" t="s">
        <v>567</v>
      </c>
      <c r="I667" s="1">
        <f t="shared" si="10"/>
        <v>5.9693800000000001</v>
      </c>
    </row>
    <row r="668" spans="2:9" ht="12.5" x14ac:dyDescent="0.25">
      <c r="C668" s="74" t="s">
        <v>356</v>
      </c>
      <c r="D668" s="74" t="s">
        <v>325</v>
      </c>
      <c r="E668" s="74">
        <v>2.5173700000000001</v>
      </c>
      <c r="F668" s="74" t="s">
        <v>376</v>
      </c>
      <c r="G668" s="74" t="s">
        <v>536</v>
      </c>
      <c r="H668" s="74" t="s">
        <v>567</v>
      </c>
      <c r="I668" s="1">
        <f t="shared" si="10"/>
        <v>2.5173700000000001</v>
      </c>
    </row>
    <row r="669" spans="2:9" ht="12.5" x14ac:dyDescent="0.25">
      <c r="B669" s="74" t="s">
        <v>796</v>
      </c>
      <c r="D669" s="74" t="s">
        <v>586</v>
      </c>
      <c r="E669" s="75">
        <v>42349.05</v>
      </c>
      <c r="F669" s="74" t="s">
        <v>376</v>
      </c>
      <c r="G669" s="74" t="s">
        <v>536</v>
      </c>
      <c r="H669" s="74" t="s">
        <v>587</v>
      </c>
      <c r="I669" s="1">
        <f t="shared" si="10"/>
        <v>42349.05</v>
      </c>
    </row>
    <row r="670" spans="2:9" ht="12.5" x14ac:dyDescent="0.25">
      <c r="C670" s="74" t="s">
        <v>797</v>
      </c>
      <c r="D670" s="74" t="s">
        <v>299</v>
      </c>
      <c r="E670" s="75">
        <v>14997.224999999999</v>
      </c>
      <c r="F670" s="74" t="s">
        <v>376</v>
      </c>
      <c r="G670" s="74" t="s">
        <v>536</v>
      </c>
      <c r="H670" s="74" t="s">
        <v>587</v>
      </c>
      <c r="I670" s="1">
        <f t="shared" si="10"/>
        <v>14997.224999999999</v>
      </c>
    </row>
    <row r="671" spans="2:9" ht="12.5" x14ac:dyDescent="0.25">
      <c r="C671" s="74" t="s">
        <v>396</v>
      </c>
      <c r="D671" s="74" t="s">
        <v>301</v>
      </c>
      <c r="E671" s="75">
        <v>9624.8250000000007</v>
      </c>
      <c r="F671" s="74" t="s">
        <v>376</v>
      </c>
      <c r="G671" s="74" t="s">
        <v>536</v>
      </c>
      <c r="H671" s="74" t="s">
        <v>587</v>
      </c>
      <c r="I671" s="1">
        <f t="shared" si="10"/>
        <v>9624.8250000000007</v>
      </c>
    </row>
    <row r="672" spans="2:9" ht="12.5" x14ac:dyDescent="0.25">
      <c r="C672" s="74" t="s">
        <v>798</v>
      </c>
      <c r="D672" s="74" t="s">
        <v>592</v>
      </c>
      <c r="E672" s="74">
        <v>5189.9506275000003</v>
      </c>
      <c r="F672" s="74" t="s">
        <v>376</v>
      </c>
      <c r="G672" s="74" t="s">
        <v>536</v>
      </c>
      <c r="H672" s="74" t="s">
        <v>587</v>
      </c>
      <c r="I672" s="1">
        <f t="shared" si="10"/>
        <v>5189.9506275000003</v>
      </c>
    </row>
    <row r="673" spans="2:9" ht="12.5" x14ac:dyDescent="0.25">
      <c r="C673" s="74" t="s">
        <v>744</v>
      </c>
      <c r="D673" s="74" t="s">
        <v>311</v>
      </c>
      <c r="E673" s="74">
        <v>3100.5514425000001</v>
      </c>
      <c r="F673" s="74" t="s">
        <v>376</v>
      </c>
      <c r="G673" s="74" t="s">
        <v>536</v>
      </c>
      <c r="H673" s="74" t="s">
        <v>587</v>
      </c>
      <c r="I673" s="1">
        <f t="shared" si="10"/>
        <v>3100.5514425000001</v>
      </c>
    </row>
    <row r="674" spans="2:9" ht="12.5" x14ac:dyDescent="0.25">
      <c r="C674" s="74" t="s">
        <v>799</v>
      </c>
      <c r="D674" s="74" t="s">
        <v>313</v>
      </c>
      <c r="E674" s="74">
        <v>3017.4447975000003</v>
      </c>
      <c r="F674" s="74" t="s">
        <v>376</v>
      </c>
      <c r="G674" s="74" t="s">
        <v>536</v>
      </c>
      <c r="H674" s="74" t="s">
        <v>587</v>
      </c>
      <c r="I674" s="1">
        <f t="shared" si="10"/>
        <v>3017.4447975000003</v>
      </c>
    </row>
    <row r="675" spans="2:9" ht="12.5" x14ac:dyDescent="0.25">
      <c r="C675" s="74" t="s">
        <v>800</v>
      </c>
      <c r="D675" s="74" t="s">
        <v>303</v>
      </c>
      <c r="E675" s="74">
        <v>2528.1941775</v>
      </c>
      <c r="F675" s="74" t="s">
        <v>376</v>
      </c>
      <c r="G675" s="74" t="s">
        <v>536</v>
      </c>
      <c r="H675" s="74" t="s">
        <v>587</v>
      </c>
      <c r="I675" s="1">
        <f t="shared" si="10"/>
        <v>2528.1941775</v>
      </c>
    </row>
    <row r="676" spans="2:9" ht="12.5" x14ac:dyDescent="0.25">
      <c r="C676" s="74" t="s">
        <v>490</v>
      </c>
      <c r="D676" s="74" t="s">
        <v>309</v>
      </c>
      <c r="E676" s="74">
        <v>2265.4103700000001</v>
      </c>
      <c r="F676" s="74" t="s">
        <v>376</v>
      </c>
      <c r="G676" s="74" t="s">
        <v>536</v>
      </c>
      <c r="H676" s="74" t="s">
        <v>587</v>
      </c>
      <c r="I676" s="1">
        <f t="shared" si="10"/>
        <v>2265.4103700000001</v>
      </c>
    </row>
    <row r="677" spans="2:9" ht="12.5" x14ac:dyDescent="0.25">
      <c r="C677" s="74" t="s">
        <v>696</v>
      </c>
      <c r="D677" s="74" t="s">
        <v>317</v>
      </c>
      <c r="E677" s="74">
        <v>782.98268250000001</v>
      </c>
      <c r="F677" s="74" t="s">
        <v>376</v>
      </c>
      <c r="G677" s="74" t="s">
        <v>536</v>
      </c>
      <c r="H677" s="74" t="s">
        <v>587</v>
      </c>
      <c r="I677" s="1">
        <f t="shared" si="10"/>
        <v>782.98268250000001</v>
      </c>
    </row>
    <row r="678" spans="2:9" ht="12.5" x14ac:dyDescent="0.25">
      <c r="C678" s="74" t="s">
        <v>559</v>
      </c>
      <c r="D678" s="74" t="s">
        <v>315</v>
      </c>
      <c r="E678" s="74">
        <v>560.21856749999995</v>
      </c>
      <c r="F678" s="74" t="s">
        <v>376</v>
      </c>
      <c r="G678" s="74" t="s">
        <v>536</v>
      </c>
      <c r="H678" s="74" t="s">
        <v>587</v>
      </c>
      <c r="I678" s="1">
        <f t="shared" si="10"/>
        <v>560.21856749999995</v>
      </c>
    </row>
    <row r="679" spans="2:9" ht="12.5" x14ac:dyDescent="0.25">
      <c r="C679" s="74" t="s">
        <v>354</v>
      </c>
      <c r="D679" s="74" t="s">
        <v>333</v>
      </c>
      <c r="E679" s="74">
        <v>64.108792500000007</v>
      </c>
      <c r="F679" s="74" t="s">
        <v>376</v>
      </c>
      <c r="G679" s="74" t="s">
        <v>536</v>
      </c>
      <c r="H679" s="74" t="s">
        <v>587</v>
      </c>
      <c r="I679" s="1">
        <f t="shared" si="10"/>
        <v>64.108792500000007</v>
      </c>
    </row>
    <row r="680" spans="2:9" ht="12.5" x14ac:dyDescent="0.25">
      <c r="C680" s="74" t="s">
        <v>354</v>
      </c>
      <c r="D680" s="74" t="s">
        <v>321</v>
      </c>
      <c r="E680" s="74">
        <v>57.750554999999991</v>
      </c>
      <c r="F680" s="74" t="s">
        <v>376</v>
      </c>
      <c r="G680" s="74" t="s">
        <v>536</v>
      </c>
      <c r="H680" s="74" t="s">
        <v>587</v>
      </c>
      <c r="I680" s="1">
        <f t="shared" si="10"/>
        <v>57.750554999999991</v>
      </c>
    </row>
    <row r="681" spans="2:9" ht="12.5" x14ac:dyDescent="0.25">
      <c r="C681" s="74" t="s">
        <v>355</v>
      </c>
      <c r="D681" s="74" t="s">
        <v>598</v>
      </c>
      <c r="E681" s="74">
        <v>47.721420000000002</v>
      </c>
      <c r="F681" s="74" t="s">
        <v>376</v>
      </c>
      <c r="G681" s="74" t="s">
        <v>536</v>
      </c>
      <c r="H681" s="74" t="s">
        <v>587</v>
      </c>
      <c r="I681" s="1">
        <f t="shared" si="10"/>
        <v>47.721420000000002</v>
      </c>
    </row>
    <row r="682" spans="2:9" ht="12.5" x14ac:dyDescent="0.25">
      <c r="C682" s="74" t="s">
        <v>355</v>
      </c>
      <c r="D682" s="74" t="s">
        <v>323</v>
      </c>
      <c r="E682" s="74">
        <v>37.620330000000003</v>
      </c>
      <c r="F682" s="74" t="s">
        <v>376</v>
      </c>
      <c r="G682" s="74" t="s">
        <v>536</v>
      </c>
      <c r="H682" s="74" t="s">
        <v>587</v>
      </c>
      <c r="I682" s="1">
        <f t="shared" si="10"/>
        <v>37.620330000000003</v>
      </c>
    </row>
    <row r="683" spans="2:9" ht="12.5" x14ac:dyDescent="0.25">
      <c r="C683" s="74" t="s">
        <v>355</v>
      </c>
      <c r="D683" s="74" t="s">
        <v>327</v>
      </c>
      <c r="E683" s="74">
        <v>37.158630000000002</v>
      </c>
      <c r="F683" s="74" t="s">
        <v>376</v>
      </c>
      <c r="G683" s="74" t="s">
        <v>536</v>
      </c>
      <c r="H683" s="74" t="s">
        <v>587</v>
      </c>
      <c r="I683" s="1">
        <f t="shared" si="10"/>
        <v>37.158630000000002</v>
      </c>
    </row>
    <row r="684" spans="2:9" ht="12.5" x14ac:dyDescent="0.25">
      <c r="C684" s="74" t="s">
        <v>355</v>
      </c>
      <c r="D684" s="74" t="s">
        <v>319</v>
      </c>
      <c r="E684" s="74">
        <v>36.046980000000005</v>
      </c>
      <c r="F684" s="74" t="s">
        <v>376</v>
      </c>
      <c r="G684" s="74" t="s">
        <v>536</v>
      </c>
      <c r="H684" s="74" t="s">
        <v>587</v>
      </c>
      <c r="I684" s="1">
        <f t="shared" si="10"/>
        <v>36.046980000000005</v>
      </c>
    </row>
    <row r="685" spans="2:9" ht="12.5" x14ac:dyDescent="0.25">
      <c r="C685" s="74" t="s">
        <v>356</v>
      </c>
      <c r="D685" s="74" t="s">
        <v>331</v>
      </c>
      <c r="E685" s="74">
        <v>0.90006750000000002</v>
      </c>
      <c r="F685" s="74" t="s">
        <v>376</v>
      </c>
      <c r="G685" s="74" t="s">
        <v>536</v>
      </c>
      <c r="H685" s="74" t="s">
        <v>587</v>
      </c>
      <c r="I685" s="1">
        <f t="shared" si="10"/>
        <v>0.90006750000000002</v>
      </c>
    </row>
    <row r="686" spans="2:9" ht="12.5" x14ac:dyDescent="0.25">
      <c r="C686" s="74" t="s">
        <v>356</v>
      </c>
      <c r="D686" s="74" t="s">
        <v>335</v>
      </c>
      <c r="E686" s="74">
        <v>0.76283250000000002</v>
      </c>
      <c r="F686" s="74" t="s">
        <v>376</v>
      </c>
      <c r="G686" s="74" t="s">
        <v>536</v>
      </c>
      <c r="H686" s="74" t="s">
        <v>587</v>
      </c>
      <c r="I686" s="1">
        <f t="shared" ref="I686:I731" si="11">IF(H686="Server",E686*$L$8/$M$8,IF(D686="market for electricity, low voltage | electricity, low voltage | APOS, U - FR",E686*$L$5/$M$5,E686))</f>
        <v>0.76283250000000002</v>
      </c>
    </row>
    <row r="687" spans="2:9" ht="12.5" x14ac:dyDescent="0.25">
      <c r="C687" s="74" t="s">
        <v>356</v>
      </c>
      <c r="D687" s="74" t="s">
        <v>325</v>
      </c>
      <c r="E687" s="74">
        <v>0.20138999999999999</v>
      </c>
      <c r="F687" s="74" t="s">
        <v>376</v>
      </c>
      <c r="G687" s="74" t="s">
        <v>536</v>
      </c>
      <c r="H687" s="74" t="s">
        <v>587</v>
      </c>
      <c r="I687" s="1">
        <f t="shared" si="11"/>
        <v>0.20138999999999999</v>
      </c>
    </row>
    <row r="688" spans="2:9" ht="12.5" x14ac:dyDescent="0.25">
      <c r="B688" s="74" t="s">
        <v>445</v>
      </c>
      <c r="D688" s="74" t="s">
        <v>337</v>
      </c>
      <c r="E688" s="75">
        <v>57124.343091095187</v>
      </c>
      <c r="F688" s="74" t="s">
        <v>376</v>
      </c>
      <c r="G688" s="74" t="s">
        <v>536</v>
      </c>
      <c r="I688" s="1">
        <f t="shared" si="11"/>
        <v>35377.277889408397</v>
      </c>
    </row>
    <row r="689" spans="1:9" ht="12.5" x14ac:dyDescent="0.25">
      <c r="A689" s="74" t="s">
        <v>289</v>
      </c>
      <c r="D689" s="74" t="s">
        <v>290</v>
      </c>
      <c r="E689" s="74" t="s">
        <v>291</v>
      </c>
      <c r="F689" s="74" t="s">
        <v>3</v>
      </c>
      <c r="I689" s="1" t="str">
        <f t="shared" si="11"/>
        <v>Amount</v>
      </c>
    </row>
    <row r="690" spans="1:9" ht="12.5" x14ac:dyDescent="0.25">
      <c r="A690" s="74" t="s">
        <v>292</v>
      </c>
      <c r="D690" s="74" t="s">
        <v>563</v>
      </c>
      <c r="E690" s="74">
        <v>316.31338</v>
      </c>
      <c r="F690" s="74" t="s">
        <v>96</v>
      </c>
      <c r="G690" s="74" t="s">
        <v>548</v>
      </c>
      <c r="I690" s="1">
        <f t="shared" si="11"/>
        <v>316.31338</v>
      </c>
    </row>
    <row r="691" spans="1:9" ht="12.5" x14ac:dyDescent="0.25">
      <c r="B691" s="74" t="s">
        <v>801</v>
      </c>
      <c r="D691" s="74" t="s">
        <v>337</v>
      </c>
      <c r="E691" s="74">
        <v>294.02140397134087</v>
      </c>
      <c r="F691" s="74" t="s">
        <v>96</v>
      </c>
      <c r="G691" s="74" t="s">
        <v>548</v>
      </c>
      <c r="I691" s="1">
        <f t="shared" si="11"/>
        <v>182.08834186750752</v>
      </c>
    </row>
    <row r="692" spans="1:9" ht="12.5" x14ac:dyDescent="0.25">
      <c r="B692" s="74" t="s">
        <v>802</v>
      </c>
      <c r="D692" s="74" t="s">
        <v>565</v>
      </c>
      <c r="E692" s="74">
        <v>80.714320000000001</v>
      </c>
      <c r="F692" s="74" t="s">
        <v>96</v>
      </c>
      <c r="G692" s="74" t="s">
        <v>548</v>
      </c>
      <c r="I692" s="1">
        <f t="shared" si="11"/>
        <v>80.714320000000001</v>
      </c>
    </row>
    <row r="693" spans="1:9" ht="12.5" x14ac:dyDescent="0.25">
      <c r="C693" s="74" t="s">
        <v>803</v>
      </c>
      <c r="D693" s="74" t="s">
        <v>313</v>
      </c>
      <c r="E693" s="74">
        <v>34.313249999999996</v>
      </c>
      <c r="F693" s="74" t="s">
        <v>96</v>
      </c>
      <c r="G693" s="74" t="s">
        <v>548</v>
      </c>
      <c r="H693" s="74" t="s">
        <v>567</v>
      </c>
      <c r="I693" s="1">
        <f t="shared" si="11"/>
        <v>34.313249999999996</v>
      </c>
    </row>
    <row r="694" spans="1:9" ht="12.5" x14ac:dyDescent="0.25">
      <c r="C694" s="74" t="s">
        <v>804</v>
      </c>
      <c r="D694" s="74" t="s">
        <v>569</v>
      </c>
      <c r="E694" s="74">
        <v>21.26942</v>
      </c>
      <c r="F694" s="74" t="s">
        <v>96</v>
      </c>
      <c r="G694" s="74" t="s">
        <v>548</v>
      </c>
      <c r="H694" s="74" t="s">
        <v>567</v>
      </c>
      <c r="I694" s="1">
        <f t="shared" si="11"/>
        <v>21.26942</v>
      </c>
    </row>
    <row r="695" spans="1:9" ht="12.5" x14ac:dyDescent="0.25">
      <c r="C695" s="74" t="s">
        <v>310</v>
      </c>
      <c r="D695" s="74" t="s">
        <v>571</v>
      </c>
      <c r="E695" s="74">
        <v>10.8941</v>
      </c>
      <c r="F695" s="74" t="s">
        <v>96</v>
      </c>
      <c r="G695" s="74" t="s">
        <v>548</v>
      </c>
      <c r="H695" s="74" t="s">
        <v>567</v>
      </c>
      <c r="I695" s="1">
        <f t="shared" si="11"/>
        <v>10.8941</v>
      </c>
    </row>
    <row r="696" spans="1:9" ht="12.5" x14ac:dyDescent="0.25">
      <c r="C696" s="74" t="s">
        <v>805</v>
      </c>
      <c r="D696" s="74" t="s">
        <v>573</v>
      </c>
      <c r="E696" s="74">
        <v>6.9148500000000004</v>
      </c>
      <c r="F696" s="74" t="s">
        <v>96</v>
      </c>
      <c r="G696" s="74" t="s">
        <v>548</v>
      </c>
      <c r="H696" s="74" t="s">
        <v>567</v>
      </c>
      <c r="I696" s="1">
        <f t="shared" si="11"/>
        <v>6.9148500000000004</v>
      </c>
    </row>
    <row r="697" spans="1:9" ht="12.5" x14ac:dyDescent="0.25">
      <c r="C697" s="74" t="s">
        <v>697</v>
      </c>
      <c r="D697" s="74" t="s">
        <v>327</v>
      </c>
      <c r="E697" s="74">
        <v>5.7723000000000004</v>
      </c>
      <c r="F697" s="74" t="s">
        <v>96</v>
      </c>
      <c r="G697" s="74" t="s">
        <v>548</v>
      </c>
      <c r="H697" s="74" t="s">
        <v>567</v>
      </c>
      <c r="I697" s="1">
        <f t="shared" si="11"/>
        <v>5.7723000000000004</v>
      </c>
    </row>
    <row r="698" spans="1:9" ht="12.5" x14ac:dyDescent="0.25">
      <c r="C698" s="74" t="s">
        <v>518</v>
      </c>
      <c r="D698" s="74" t="s">
        <v>575</v>
      </c>
      <c r="E698" s="74">
        <v>2.51613</v>
      </c>
      <c r="F698" s="74" t="s">
        <v>96</v>
      </c>
      <c r="G698" s="74" t="s">
        <v>548</v>
      </c>
      <c r="H698" s="74" t="s">
        <v>567</v>
      </c>
      <c r="I698" s="1">
        <f t="shared" si="11"/>
        <v>2.51613</v>
      </c>
    </row>
    <row r="699" spans="1:9" ht="12.5" x14ac:dyDescent="0.25">
      <c r="C699" s="74" t="s">
        <v>653</v>
      </c>
      <c r="D699" s="74" t="s">
        <v>577</v>
      </c>
      <c r="E699" s="74">
        <v>1.2094499999999999</v>
      </c>
      <c r="F699" s="74" t="s">
        <v>96</v>
      </c>
      <c r="G699" s="74" t="s">
        <v>548</v>
      </c>
      <c r="H699" s="74" t="s">
        <v>567</v>
      </c>
      <c r="I699" s="1">
        <f t="shared" si="11"/>
        <v>1.2094499999999999</v>
      </c>
    </row>
    <row r="700" spans="1:9" ht="12.5" x14ac:dyDescent="0.25">
      <c r="C700" s="74" t="s">
        <v>435</v>
      </c>
      <c r="D700" s="74" t="s">
        <v>578</v>
      </c>
      <c r="E700" s="74">
        <v>1.0270300000000001</v>
      </c>
      <c r="F700" s="74" t="s">
        <v>96</v>
      </c>
      <c r="G700" s="74" t="s">
        <v>548</v>
      </c>
      <c r="H700" s="74" t="s">
        <v>567</v>
      </c>
      <c r="I700" s="1">
        <f t="shared" si="11"/>
        <v>1.0270300000000001</v>
      </c>
    </row>
    <row r="701" spans="1:9" ht="12.5" x14ac:dyDescent="0.25">
      <c r="C701" s="74" t="s">
        <v>435</v>
      </c>
      <c r="D701" s="74" t="s">
        <v>580</v>
      </c>
      <c r="E701" s="74">
        <v>1.0081899999999999</v>
      </c>
      <c r="F701" s="74" t="s">
        <v>96</v>
      </c>
      <c r="G701" s="74" t="s">
        <v>548</v>
      </c>
      <c r="H701" s="74" t="s">
        <v>567</v>
      </c>
      <c r="I701" s="1">
        <f t="shared" si="11"/>
        <v>1.0081899999999999</v>
      </c>
    </row>
    <row r="702" spans="1:9" ht="12.5" x14ac:dyDescent="0.25">
      <c r="C702" s="74" t="s">
        <v>400</v>
      </c>
      <c r="D702" s="74" t="s">
        <v>583</v>
      </c>
      <c r="E702" s="74">
        <v>0.24673</v>
      </c>
      <c r="F702" s="74" t="s">
        <v>96</v>
      </c>
      <c r="G702" s="74" t="s">
        <v>548</v>
      </c>
      <c r="H702" s="74" t="s">
        <v>567</v>
      </c>
      <c r="I702" s="1">
        <f t="shared" si="11"/>
        <v>0.24673</v>
      </c>
    </row>
    <row r="703" spans="1:9" ht="12.5" x14ac:dyDescent="0.25">
      <c r="C703" s="74" t="s">
        <v>400</v>
      </c>
      <c r="D703" s="74" t="s">
        <v>581</v>
      </c>
      <c r="E703" s="74">
        <v>0.24524000000000001</v>
      </c>
      <c r="F703" s="74" t="s">
        <v>96</v>
      </c>
      <c r="G703" s="74" t="s">
        <v>548</v>
      </c>
      <c r="H703" s="74" t="s">
        <v>567</v>
      </c>
      <c r="I703" s="1">
        <f t="shared" si="11"/>
        <v>0.24524000000000001</v>
      </c>
    </row>
    <row r="704" spans="1:9" ht="12.5" x14ac:dyDescent="0.25">
      <c r="C704" s="74" t="s">
        <v>332</v>
      </c>
      <c r="D704" s="74" t="s">
        <v>582</v>
      </c>
      <c r="E704" s="74">
        <v>0.22222</v>
      </c>
      <c r="F704" s="74" t="s">
        <v>96</v>
      </c>
      <c r="G704" s="74" t="s">
        <v>548</v>
      </c>
      <c r="H704" s="74" t="s">
        <v>567</v>
      </c>
      <c r="I704" s="1">
        <f t="shared" si="11"/>
        <v>0.22222</v>
      </c>
    </row>
    <row r="705" spans="2:9" ht="12.5" x14ac:dyDescent="0.25">
      <c r="C705" s="74" t="s">
        <v>355</v>
      </c>
      <c r="D705" s="74" t="s">
        <v>315</v>
      </c>
      <c r="E705" s="74">
        <v>7.2760000000000005E-2</v>
      </c>
      <c r="F705" s="74" t="s">
        <v>96</v>
      </c>
      <c r="G705" s="74" t="s">
        <v>548</v>
      </c>
      <c r="H705" s="74" t="s">
        <v>567</v>
      </c>
      <c r="I705" s="1">
        <f t="shared" si="11"/>
        <v>7.2760000000000005E-2</v>
      </c>
    </row>
    <row r="706" spans="2:9" ht="12.5" x14ac:dyDescent="0.25">
      <c r="C706" s="74" t="s">
        <v>355</v>
      </c>
      <c r="D706" s="74" t="s">
        <v>323</v>
      </c>
      <c r="E706" s="74">
        <v>6.4399999999999999E-2</v>
      </c>
      <c r="F706" s="74" t="s">
        <v>96</v>
      </c>
      <c r="G706" s="74" t="s">
        <v>548</v>
      </c>
      <c r="H706" s="74" t="s">
        <v>567</v>
      </c>
      <c r="I706" s="1">
        <f t="shared" si="11"/>
        <v>6.4399999999999999E-2</v>
      </c>
    </row>
    <row r="707" spans="2:9" ht="12.5" x14ac:dyDescent="0.25">
      <c r="C707" s="74" t="s">
        <v>387</v>
      </c>
      <c r="D707" s="74" t="s">
        <v>317</v>
      </c>
      <c r="E707" s="74">
        <v>3.7719999999999997E-2</v>
      </c>
      <c r="F707" s="74" t="s">
        <v>96</v>
      </c>
      <c r="G707" s="74" t="s">
        <v>548</v>
      </c>
      <c r="H707" s="74" t="s">
        <v>567</v>
      </c>
      <c r="I707" s="1">
        <f t="shared" si="11"/>
        <v>3.7719999999999997E-2</v>
      </c>
    </row>
    <row r="708" spans="2:9" ht="12.5" x14ac:dyDescent="0.25">
      <c r="C708" s="74" t="s">
        <v>387</v>
      </c>
      <c r="D708" s="74" t="s">
        <v>319</v>
      </c>
      <c r="E708" s="74">
        <v>2.564E-2</v>
      </c>
      <c r="F708" s="74" t="s">
        <v>96</v>
      </c>
      <c r="G708" s="74" t="s">
        <v>548</v>
      </c>
      <c r="H708" s="74" t="s">
        <v>567</v>
      </c>
      <c r="I708" s="1">
        <f t="shared" si="11"/>
        <v>2.564E-2</v>
      </c>
    </row>
    <row r="709" spans="2:9" ht="12.5" x14ac:dyDescent="0.25">
      <c r="C709" s="74" t="s">
        <v>387</v>
      </c>
      <c r="D709" s="74" t="s">
        <v>321</v>
      </c>
      <c r="E709" s="74">
        <v>2.061E-2</v>
      </c>
      <c r="F709" s="74" t="s">
        <v>96</v>
      </c>
      <c r="G709" s="74" t="s">
        <v>548</v>
      </c>
      <c r="H709" s="74" t="s">
        <v>567</v>
      </c>
      <c r="I709" s="1">
        <f t="shared" si="11"/>
        <v>2.061E-2</v>
      </c>
    </row>
    <row r="710" spans="2:9" ht="12.5" x14ac:dyDescent="0.25">
      <c r="C710" s="74" t="s">
        <v>356</v>
      </c>
      <c r="D710" s="74" t="s">
        <v>584</v>
      </c>
      <c r="E710" s="74">
        <v>1.383E-2</v>
      </c>
      <c r="F710" s="74" t="s">
        <v>96</v>
      </c>
      <c r="G710" s="74" t="s">
        <v>548</v>
      </c>
      <c r="H710" s="74" t="s">
        <v>567</v>
      </c>
      <c r="I710" s="1">
        <f t="shared" si="11"/>
        <v>1.383E-2</v>
      </c>
    </row>
    <row r="711" spans="2:9" ht="12.5" x14ac:dyDescent="0.25">
      <c r="C711" s="74" t="s">
        <v>356</v>
      </c>
      <c r="D711" s="74" t="s">
        <v>325</v>
      </c>
      <c r="E711" s="74">
        <v>3.9500000000000004E-3</v>
      </c>
      <c r="F711" s="74" t="s">
        <v>96</v>
      </c>
      <c r="G711" s="74" t="s">
        <v>548</v>
      </c>
      <c r="H711" s="74" t="s">
        <v>567</v>
      </c>
      <c r="I711" s="1">
        <f t="shared" si="11"/>
        <v>3.9500000000000004E-3</v>
      </c>
    </row>
    <row r="712" spans="2:9" ht="12.5" x14ac:dyDescent="0.25">
      <c r="C712" s="74" t="s">
        <v>806</v>
      </c>
      <c r="D712" s="74" t="s">
        <v>329</v>
      </c>
      <c r="E712" s="74">
        <v>-5.1635</v>
      </c>
      <c r="F712" s="74" t="s">
        <v>96</v>
      </c>
      <c r="G712" s="74" t="s">
        <v>548</v>
      </c>
      <c r="H712" s="74" t="s">
        <v>567</v>
      </c>
      <c r="I712" s="1">
        <f t="shared" si="11"/>
        <v>-5.1635</v>
      </c>
    </row>
    <row r="713" spans="2:9" ht="12.5" x14ac:dyDescent="0.25">
      <c r="B713" s="74" t="s">
        <v>807</v>
      </c>
      <c r="D713" s="74" t="s">
        <v>586</v>
      </c>
      <c r="E713" s="74">
        <v>44.686927499999996</v>
      </c>
      <c r="F713" s="74" t="s">
        <v>96</v>
      </c>
      <c r="G713" s="74" t="s">
        <v>548</v>
      </c>
      <c r="H713" s="74" t="s">
        <v>587</v>
      </c>
      <c r="I713" s="1">
        <f t="shared" si="11"/>
        <v>44.686927499999996</v>
      </c>
    </row>
    <row r="714" spans="2:9" ht="12.5" x14ac:dyDescent="0.25">
      <c r="C714" s="74" t="s">
        <v>808</v>
      </c>
      <c r="D714" s="74" t="s">
        <v>327</v>
      </c>
      <c r="E714" s="74">
        <v>30.064079999999997</v>
      </c>
      <c r="F714" s="74" t="s">
        <v>96</v>
      </c>
      <c r="G714" s="74" t="s">
        <v>548</v>
      </c>
      <c r="H714" s="74" t="s">
        <v>587</v>
      </c>
      <c r="I714" s="1">
        <f t="shared" si="11"/>
        <v>30.064080000000001</v>
      </c>
    </row>
    <row r="715" spans="2:9" ht="12.5" x14ac:dyDescent="0.25">
      <c r="C715" s="74" t="s">
        <v>809</v>
      </c>
      <c r="D715" s="74" t="s">
        <v>299</v>
      </c>
      <c r="E715" s="74">
        <v>12.649485</v>
      </c>
      <c r="F715" s="74" t="s">
        <v>96</v>
      </c>
      <c r="G715" s="74" t="s">
        <v>548</v>
      </c>
      <c r="H715" s="74" t="s">
        <v>587</v>
      </c>
      <c r="I715" s="1">
        <f t="shared" si="11"/>
        <v>12.649485</v>
      </c>
    </row>
    <row r="716" spans="2:9" ht="12.5" x14ac:dyDescent="0.25">
      <c r="C716" s="74" t="s">
        <v>810</v>
      </c>
      <c r="D716" s="74" t="s">
        <v>313</v>
      </c>
      <c r="E716" s="74">
        <v>10.873485000000001</v>
      </c>
      <c r="F716" s="74" t="s">
        <v>96</v>
      </c>
      <c r="G716" s="74" t="s">
        <v>548</v>
      </c>
      <c r="H716" s="74" t="s">
        <v>587</v>
      </c>
      <c r="I716" s="1">
        <f t="shared" si="11"/>
        <v>10.873485000000001</v>
      </c>
    </row>
    <row r="717" spans="2:9" ht="12.5" x14ac:dyDescent="0.25">
      <c r="C717" s="74" t="s">
        <v>805</v>
      </c>
      <c r="D717" s="74" t="s">
        <v>301</v>
      </c>
      <c r="E717" s="74">
        <v>5.1880725000000005</v>
      </c>
      <c r="F717" s="74" t="s">
        <v>96</v>
      </c>
      <c r="G717" s="74" t="s">
        <v>548</v>
      </c>
      <c r="H717" s="74" t="s">
        <v>587</v>
      </c>
      <c r="I717" s="1">
        <f t="shared" si="11"/>
        <v>5.1880725000000005</v>
      </c>
    </row>
    <row r="718" spans="2:9" ht="12.5" x14ac:dyDescent="0.25">
      <c r="C718" s="74" t="s">
        <v>516</v>
      </c>
      <c r="D718" s="74" t="s">
        <v>592</v>
      </c>
      <c r="E718" s="74">
        <v>4.1097299999999999</v>
      </c>
      <c r="F718" s="74" t="s">
        <v>96</v>
      </c>
      <c r="G718" s="74" t="s">
        <v>548</v>
      </c>
      <c r="H718" s="74" t="s">
        <v>587</v>
      </c>
      <c r="I718" s="1">
        <f t="shared" si="11"/>
        <v>4.1097299999999999</v>
      </c>
    </row>
    <row r="719" spans="2:9" ht="12.5" x14ac:dyDescent="0.25">
      <c r="C719" s="74" t="s">
        <v>811</v>
      </c>
      <c r="D719" s="74" t="s">
        <v>303</v>
      </c>
      <c r="E719" s="74">
        <v>2.9093024999999999</v>
      </c>
      <c r="F719" s="74" t="s">
        <v>96</v>
      </c>
      <c r="G719" s="74" t="s">
        <v>548</v>
      </c>
      <c r="H719" s="74" t="s">
        <v>587</v>
      </c>
      <c r="I719" s="1">
        <f t="shared" si="11"/>
        <v>2.9093025000000003</v>
      </c>
    </row>
    <row r="720" spans="2:9" ht="12.5" x14ac:dyDescent="0.25">
      <c r="C720" s="74" t="s">
        <v>812</v>
      </c>
      <c r="D720" s="74" t="s">
        <v>309</v>
      </c>
      <c r="E720" s="74">
        <v>2.6334600000000004</v>
      </c>
      <c r="F720" s="74" t="s">
        <v>96</v>
      </c>
      <c r="G720" s="74" t="s">
        <v>548</v>
      </c>
      <c r="H720" s="74" t="s">
        <v>587</v>
      </c>
      <c r="I720" s="1">
        <f t="shared" si="11"/>
        <v>2.6334600000000004</v>
      </c>
    </row>
    <row r="721" spans="3:9" ht="12.5" x14ac:dyDescent="0.25">
      <c r="C721" s="74" t="s">
        <v>660</v>
      </c>
      <c r="D721" s="74" t="s">
        <v>311</v>
      </c>
      <c r="E721" s="74">
        <v>2.2268775000000001</v>
      </c>
      <c r="F721" s="74" t="s">
        <v>96</v>
      </c>
      <c r="G721" s="74" t="s">
        <v>548</v>
      </c>
      <c r="H721" s="74" t="s">
        <v>587</v>
      </c>
      <c r="I721" s="1">
        <f t="shared" si="11"/>
        <v>2.2268775000000001</v>
      </c>
    </row>
    <row r="722" spans="3:9" ht="12.5" x14ac:dyDescent="0.25">
      <c r="C722" s="74" t="s">
        <v>438</v>
      </c>
      <c r="D722" s="74" t="s">
        <v>315</v>
      </c>
      <c r="E722" s="74">
        <v>0.41897249999999997</v>
      </c>
      <c r="F722" s="74" t="s">
        <v>96</v>
      </c>
      <c r="G722" s="74" t="s">
        <v>548</v>
      </c>
      <c r="H722" s="74" t="s">
        <v>587</v>
      </c>
      <c r="I722" s="1">
        <f t="shared" si="11"/>
        <v>0.41897249999999997</v>
      </c>
    </row>
    <row r="723" spans="3:9" ht="12.5" x14ac:dyDescent="0.25">
      <c r="C723" s="74" t="s">
        <v>332</v>
      </c>
      <c r="D723" s="74" t="s">
        <v>317</v>
      </c>
      <c r="E723" s="74">
        <v>0.16642499999999999</v>
      </c>
      <c r="F723" s="74" t="s">
        <v>96</v>
      </c>
      <c r="G723" s="74" t="s">
        <v>548</v>
      </c>
      <c r="H723" s="74" t="s">
        <v>587</v>
      </c>
      <c r="I723" s="1">
        <f t="shared" si="11"/>
        <v>0.16642499999999999</v>
      </c>
    </row>
    <row r="724" spans="3:9" ht="12.5" x14ac:dyDescent="0.25">
      <c r="C724" s="74" t="s">
        <v>332</v>
      </c>
      <c r="D724" s="74" t="s">
        <v>319</v>
      </c>
      <c r="E724" s="74">
        <v>0.15483749999999999</v>
      </c>
      <c r="F724" s="74" t="s">
        <v>96</v>
      </c>
      <c r="G724" s="74" t="s">
        <v>548</v>
      </c>
      <c r="H724" s="74" t="s">
        <v>587</v>
      </c>
      <c r="I724" s="1">
        <f t="shared" si="11"/>
        <v>0.15483749999999999</v>
      </c>
    </row>
    <row r="725" spans="3:9" ht="12.5" x14ac:dyDescent="0.25">
      <c r="C725" s="74" t="s">
        <v>334</v>
      </c>
      <c r="D725" s="74" t="s">
        <v>321</v>
      </c>
      <c r="E725" s="74">
        <v>9.0914999999999996E-2</v>
      </c>
      <c r="F725" s="74" t="s">
        <v>96</v>
      </c>
      <c r="G725" s="74" t="s">
        <v>548</v>
      </c>
      <c r="H725" s="74" t="s">
        <v>587</v>
      </c>
      <c r="I725" s="1">
        <f t="shared" si="11"/>
        <v>9.091500000000001E-2</v>
      </c>
    </row>
    <row r="726" spans="3:9" ht="12.5" x14ac:dyDescent="0.25">
      <c r="C726" s="74" t="s">
        <v>354</v>
      </c>
      <c r="D726" s="74" t="s">
        <v>323</v>
      </c>
      <c r="E726" s="74">
        <v>7.0845000000000005E-2</v>
      </c>
      <c r="F726" s="74" t="s">
        <v>96</v>
      </c>
      <c r="G726" s="74" t="s">
        <v>548</v>
      </c>
      <c r="H726" s="74" t="s">
        <v>587</v>
      </c>
      <c r="I726" s="1">
        <f t="shared" si="11"/>
        <v>7.0845000000000005E-2</v>
      </c>
    </row>
    <row r="727" spans="3:9" ht="12.5" x14ac:dyDescent="0.25">
      <c r="C727" s="74" t="s">
        <v>387</v>
      </c>
      <c r="D727" s="74" t="s">
        <v>331</v>
      </c>
      <c r="E727" s="74">
        <v>1.51875E-2</v>
      </c>
      <c r="F727" s="74" t="s">
        <v>96</v>
      </c>
      <c r="G727" s="74" t="s">
        <v>548</v>
      </c>
      <c r="H727" s="74" t="s">
        <v>587</v>
      </c>
      <c r="I727" s="1">
        <f t="shared" si="11"/>
        <v>1.51875E-2</v>
      </c>
    </row>
    <row r="728" spans="3:9" ht="12.5" x14ac:dyDescent="0.25">
      <c r="C728" s="74" t="s">
        <v>356</v>
      </c>
      <c r="D728" s="74" t="s">
        <v>335</v>
      </c>
      <c r="E728" s="74">
        <v>5.0474999999999999E-3</v>
      </c>
      <c r="F728" s="74" t="s">
        <v>96</v>
      </c>
      <c r="G728" s="74" t="s">
        <v>548</v>
      </c>
      <c r="H728" s="74" t="s">
        <v>587</v>
      </c>
      <c r="I728" s="1">
        <f t="shared" si="11"/>
        <v>5.0474999999999999E-3</v>
      </c>
    </row>
    <row r="729" spans="3:9" ht="12.5" x14ac:dyDescent="0.25">
      <c r="C729" s="74" t="s">
        <v>356</v>
      </c>
      <c r="D729" s="74" t="s">
        <v>333</v>
      </c>
      <c r="E729" s="74">
        <v>3.1049999999999997E-3</v>
      </c>
      <c r="F729" s="74" t="s">
        <v>96</v>
      </c>
      <c r="G729" s="74" t="s">
        <v>548</v>
      </c>
      <c r="H729" s="74" t="s">
        <v>587</v>
      </c>
      <c r="I729" s="1">
        <f t="shared" si="11"/>
        <v>3.1049999999999997E-3</v>
      </c>
    </row>
    <row r="730" spans="3:9" ht="12.5" x14ac:dyDescent="0.25">
      <c r="C730" s="74" t="s">
        <v>356</v>
      </c>
      <c r="D730" s="74" t="s">
        <v>325</v>
      </c>
      <c r="E730" s="74">
        <v>3.1500000000000001E-4</v>
      </c>
      <c r="F730" s="74" t="s">
        <v>96</v>
      </c>
      <c r="G730" s="74" t="s">
        <v>548</v>
      </c>
      <c r="H730" s="74" t="s">
        <v>587</v>
      </c>
      <c r="I730" s="1">
        <f t="shared" si="11"/>
        <v>3.1500000000000001E-4</v>
      </c>
    </row>
    <row r="731" spans="3:9" ht="12.5" x14ac:dyDescent="0.25">
      <c r="C731" s="74" t="s">
        <v>813</v>
      </c>
      <c r="D731" s="74" t="s">
        <v>598</v>
      </c>
      <c r="E731" s="74">
        <v>-26.893237499999998</v>
      </c>
      <c r="F731" s="74" t="s">
        <v>96</v>
      </c>
      <c r="G731" s="74" t="s">
        <v>548</v>
      </c>
      <c r="H731" s="74" t="s">
        <v>587</v>
      </c>
      <c r="I731" s="1">
        <f t="shared" si="11"/>
        <v>-26.893237499999998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81"/>
  <sheetViews>
    <sheetView topLeftCell="B4" zoomScale="55" zoomScaleNormal="55" workbookViewId="0">
      <selection activeCell="D4" sqref="D4"/>
    </sheetView>
  </sheetViews>
  <sheetFormatPr baseColWidth="10" defaultColWidth="12.54296875" defaultRowHeight="15.75" customHeight="1" x14ac:dyDescent="0.25"/>
  <cols>
    <col min="1" max="1" width="83.54296875" customWidth="1"/>
    <col min="2" max="2" width="28.81640625" customWidth="1"/>
    <col min="3" max="3" width="21.54296875" customWidth="1"/>
  </cols>
  <sheetData>
    <row r="1" spans="1:20" s="1" customFormat="1" ht="15.75" customHeight="1" x14ac:dyDescent="0.3">
      <c r="A1" s="257" t="s">
        <v>814</v>
      </c>
    </row>
    <row r="2" spans="1:20" ht="13" x14ac:dyDescent="0.3">
      <c r="A2" s="76" t="s">
        <v>290</v>
      </c>
      <c r="B2" s="77" t="s">
        <v>815</v>
      </c>
      <c r="C2" s="77" t="s">
        <v>816</v>
      </c>
      <c r="D2" s="77" t="s">
        <v>295</v>
      </c>
      <c r="E2" s="77" t="s">
        <v>509</v>
      </c>
      <c r="F2" s="77" t="s">
        <v>494</v>
      </c>
      <c r="G2" s="77" t="s">
        <v>339</v>
      </c>
      <c r="H2" s="77" t="s">
        <v>430</v>
      </c>
      <c r="I2" s="77" t="s">
        <v>403</v>
      </c>
      <c r="J2" s="77" t="s">
        <v>417</v>
      </c>
      <c r="K2" s="77" t="s">
        <v>377</v>
      </c>
      <c r="L2" s="77" t="s">
        <v>455</v>
      </c>
      <c r="M2" s="77" t="s">
        <v>536</v>
      </c>
      <c r="N2" s="77" t="s">
        <v>524</v>
      </c>
      <c r="O2" s="77" t="s">
        <v>390</v>
      </c>
      <c r="P2" s="77" t="s">
        <v>468</v>
      </c>
      <c r="Q2" s="77" t="s">
        <v>442</v>
      </c>
      <c r="R2" s="77" t="s">
        <v>359</v>
      </c>
      <c r="S2" s="77" t="s">
        <v>482</v>
      </c>
      <c r="T2" s="78" t="s">
        <v>548</v>
      </c>
    </row>
    <row r="3" spans="1:20" ht="12.5" x14ac:dyDescent="0.25">
      <c r="A3" s="79" t="s">
        <v>293</v>
      </c>
      <c r="B3" s="80"/>
      <c r="C3" s="80"/>
      <c r="D3" s="81">
        <f>SUM(D4,D24)</f>
        <v>194558.94771766177</v>
      </c>
      <c r="E3" s="81">
        <f t="shared" ref="E3:T3" si="0">SUM(E4,E24)</f>
        <v>0.14085345378382352</v>
      </c>
      <c r="F3" s="81">
        <f t="shared" si="0"/>
        <v>620.19634495535593</v>
      </c>
      <c r="G3" s="81">
        <f t="shared" si="0"/>
        <v>518.48357079023674</v>
      </c>
      <c r="H3" s="81">
        <f t="shared" si="0"/>
        <v>211722.23848970587</v>
      </c>
      <c r="I3" s="81">
        <f t="shared" si="0"/>
        <v>31465.988154045583</v>
      </c>
      <c r="J3" s="81">
        <f t="shared" si="0"/>
        <v>2698651.6067900001</v>
      </c>
      <c r="K3" s="81">
        <f t="shared" si="0"/>
        <v>88249.946183213237</v>
      </c>
      <c r="L3" s="81">
        <f t="shared" si="0"/>
        <v>124225.02995835294</v>
      </c>
      <c r="M3" s="81">
        <f t="shared" si="0"/>
        <v>2339846.994150294</v>
      </c>
      <c r="N3" s="81">
        <f t="shared" si="0"/>
        <v>1122.5588435950215</v>
      </c>
      <c r="O3" s="81">
        <f t="shared" si="0"/>
        <v>488.37060760091987</v>
      </c>
      <c r="P3" s="81">
        <f t="shared" si="0"/>
        <v>19.797432934427942</v>
      </c>
      <c r="Q3" s="81">
        <f t="shared" si="0"/>
        <v>3134.8106749271215</v>
      </c>
      <c r="R3" s="81">
        <f t="shared" si="0"/>
        <v>49919.20322427206</v>
      </c>
      <c r="S3" s="81">
        <f t="shared" si="0"/>
        <v>6220.8193103522772</v>
      </c>
      <c r="T3" s="82">
        <f t="shared" si="0"/>
        <v>2771.9987209653709</v>
      </c>
    </row>
    <row r="4" spans="1:20" ht="12.5" x14ac:dyDescent="0.25">
      <c r="A4" s="79" t="s">
        <v>297</v>
      </c>
      <c r="B4" s="80"/>
      <c r="C4" s="80"/>
      <c r="D4" s="81">
        <f>SUMIFS('LCIA raw results SC1'!$E:$E,'LCIA raw results SC1'!$D:$D,$A4,'LCIA raw results SC1'!$G:$G,D$2)</f>
        <v>176683</v>
      </c>
      <c r="E4" s="81">
        <f>SUMIFS('LCIA raw results SC1'!$E:$E,'LCIA raw results SC1'!$D:$D,$A4,'LCIA raw results SC1'!$G:$G,E$2)</f>
        <v>0.10612000000000001</v>
      </c>
      <c r="F4" s="81">
        <f>SUMIFS('LCIA raw results SC1'!$E:$E,'LCIA raw results SC1'!$D:$D,$A4,'LCIA raw results SC1'!$G:$G,F$2)</f>
        <v>575.68101999999999</v>
      </c>
      <c r="G4" s="81">
        <f>SUMIFS('LCIA raw results SC1'!$E:$E,'LCIA raw results SC1'!$D:$D,$A4,'LCIA raw results SC1'!$G:$G,G$2)</f>
        <v>480.39004</v>
      </c>
      <c r="H4" s="81">
        <f>SUMIFS('LCIA raw results SC1'!$E:$E,'LCIA raw results SC1'!$D:$D,$A4,'LCIA raw results SC1'!$G:$G,H$2)</f>
        <v>16440.400000000001</v>
      </c>
      <c r="I4" s="81">
        <f>SUMIFS('LCIA raw results SC1'!$E:$E,'LCIA raw results SC1'!$D:$D,$A4,'LCIA raw results SC1'!$G:$G,I$2)</f>
        <v>29299.4</v>
      </c>
      <c r="J4" s="81">
        <f>SUMIFS('LCIA raw results SC1'!$E:$E,'LCIA raw results SC1'!$D:$D,$A4,'LCIA raw results SC1'!$G:$G,J$2)</f>
        <v>2649170</v>
      </c>
      <c r="K4" s="81">
        <f>SUMIFS('LCIA raw results SC1'!$E:$E,'LCIA raw results SC1'!$D:$D,$A4,'LCIA raw results SC1'!$G:$G,K$2)</f>
        <v>80155</v>
      </c>
      <c r="L4" s="81">
        <f>SUMIFS('LCIA raw results SC1'!$E:$E,'LCIA raw results SC1'!$D:$D,$A4,'LCIA raw results SC1'!$G:$G,L$2)</f>
        <v>114208</v>
      </c>
      <c r="M4" s="81">
        <f>SUMIFS('LCIA raw results SC1'!$E:$E,'LCIA raw results SC1'!$D:$D,$A4,'LCIA raw results SC1'!$G:$G,M$2)</f>
        <v>2127550</v>
      </c>
      <c r="N4" s="81">
        <f>SUMIFS('LCIA raw results SC1'!$E:$E,'LCIA raw results SC1'!$D:$D,$A4,'LCIA raw results SC1'!$G:$G,N$2)</f>
        <v>1034.98368</v>
      </c>
      <c r="O4" s="81">
        <f>SUMIFS('LCIA raw results SC1'!$E:$E,'LCIA raw results SC1'!$D:$D,$A4,'LCIA raw results SC1'!$G:$G,O$2)</f>
        <v>475.74247000000003</v>
      </c>
      <c r="P4" s="81">
        <f>SUMIFS('LCIA raw results SC1'!$E:$E,'LCIA raw results SC1'!$D:$D,$A4,'LCIA raw results SC1'!$G:$G,P$2)</f>
        <v>15.574780000000001</v>
      </c>
      <c r="Q4" s="81">
        <f>SUMIFS('LCIA raw results SC1'!$E:$E,'LCIA raw results SC1'!$D:$D,$A4,'LCIA raw results SC1'!$G:$G,Q$2)</f>
        <v>3010.3285000000001</v>
      </c>
      <c r="R4" s="81">
        <f>SUMIFS('LCIA raw results SC1'!$E:$E,'LCIA raw results SC1'!$D:$D,$A4,'LCIA raw results SC1'!$G:$G,R$2)</f>
        <v>45303.4</v>
      </c>
      <c r="S4" s="81">
        <f>SUMIFS('LCIA raw results SC1'!$E:$E,'LCIA raw results SC1'!$D:$D,$A4,'LCIA raw results SC1'!$G:$G,S$2)</f>
        <v>5888.4172699999999</v>
      </c>
      <c r="T4" s="82">
        <f>SUMIFS('LCIA raw results SC1'!$E:$E,'LCIA raw results SC1'!$D:$D,$A4,'LCIA raw results SC1'!$G:$G,T$2)</f>
        <v>1679.2982199999999</v>
      </c>
    </row>
    <row r="5" spans="1:20" ht="12.5" x14ac:dyDescent="0.25">
      <c r="A5" s="79" t="s">
        <v>299</v>
      </c>
      <c r="B5" s="81" t="s">
        <v>0</v>
      </c>
      <c r="C5" s="81" t="s">
        <v>817</v>
      </c>
      <c r="D5" s="81">
        <f>SUMIFS('LCIA raw results SC1'!$E:$E,'LCIA raw results SC1'!$D:$D,$A5,'LCIA raw results SC1'!$G:$G,D$2)</f>
        <v>71506</v>
      </c>
      <c r="E5" s="81">
        <f>SUMIFS('LCIA raw results SC1'!$E:$E,'LCIA raw results SC1'!$D:$D,$A5,'LCIA raw results SC1'!$G:$G,E$2)</f>
        <v>4.7719999999999999E-2</v>
      </c>
      <c r="F5" s="81">
        <f>SUMIFS('LCIA raw results SC1'!$E:$E,'LCIA raw results SC1'!$D:$D,$A5,'LCIA raw results SC1'!$G:$G,F$2)</f>
        <v>252.99172999999999</v>
      </c>
      <c r="G5" s="81">
        <f>SUMIFS('LCIA raw results SC1'!$E:$E,'LCIA raw results SC1'!$D:$D,$A5,'LCIA raw results SC1'!$G:$G,G$2)</f>
        <v>212.42240000000001</v>
      </c>
      <c r="H5" s="81">
        <f>SUMIFS('LCIA raw results SC1'!$E:$E,'LCIA raw results SC1'!$D:$D,$A5,'LCIA raw results SC1'!$G:$G,H$2)</f>
        <v>7138.0447800000002</v>
      </c>
      <c r="I5" s="81">
        <f>SUMIFS('LCIA raw results SC1'!$E:$E,'LCIA raw results SC1'!$D:$D,$A5,'LCIA raw results SC1'!$G:$G,I$2)</f>
        <v>11601.7</v>
      </c>
      <c r="J5" s="81">
        <f>SUMIFS('LCIA raw results SC1'!$E:$E,'LCIA raw results SC1'!$D:$D,$A5,'LCIA raw results SC1'!$G:$G,J$2)</f>
        <v>1581580</v>
      </c>
      <c r="K5" s="81">
        <f>SUMIFS('LCIA raw results SC1'!$E:$E,'LCIA raw results SC1'!$D:$D,$A5,'LCIA raw results SC1'!$G:$G,K$2)</f>
        <v>45952.3</v>
      </c>
      <c r="L5" s="81">
        <f>SUMIFS('LCIA raw results SC1'!$E:$E,'LCIA raw results SC1'!$D:$D,$A5,'LCIA raw results SC1'!$G:$G,L$2)</f>
        <v>65925.8</v>
      </c>
      <c r="M5" s="81">
        <f>SUMIFS('LCIA raw results SC1'!$E:$E,'LCIA raw results SC1'!$D:$D,$A5,'LCIA raw results SC1'!$G:$G,M$2)</f>
        <v>749861</v>
      </c>
      <c r="N5" s="81">
        <f>SUMIFS('LCIA raw results SC1'!$E:$E,'LCIA raw results SC1'!$D:$D,$A5,'LCIA raw results SC1'!$G:$G,N$2)</f>
        <v>473.14611000000002</v>
      </c>
      <c r="O5" s="81">
        <f>SUMIFS('LCIA raw results SC1'!$E:$E,'LCIA raw results SC1'!$D:$D,$A5,'LCIA raw results SC1'!$G:$G,O$2)</f>
        <v>276.39717999999999</v>
      </c>
      <c r="P5" s="81">
        <f>SUMIFS('LCIA raw results SC1'!$E:$E,'LCIA raw results SC1'!$D:$D,$A5,'LCIA raw results SC1'!$G:$G,P$2)</f>
        <v>7.3767399999999999</v>
      </c>
      <c r="Q5" s="81">
        <f>SUMIFS('LCIA raw results SC1'!$E:$E,'LCIA raw results SC1'!$D:$D,$A5,'LCIA raw results SC1'!$G:$G,Q$2)</f>
        <v>1509.6926900000001</v>
      </c>
      <c r="R5" s="81">
        <f>SUMIFS('LCIA raw results SC1'!$E:$E,'LCIA raw results SC1'!$D:$D,$A5,'LCIA raw results SC1'!$G:$G,R$2)</f>
        <v>18587.900000000001</v>
      </c>
      <c r="S5" s="81">
        <f>SUMIFS('LCIA raw results SC1'!$E:$E,'LCIA raw results SC1'!$D:$D,$A5,'LCIA raw results SC1'!$G:$G,S$2)</f>
        <v>2847.32456</v>
      </c>
      <c r="T5" s="82">
        <f>SUMIFS('LCIA raw results SC1'!$E:$E,'LCIA raw results SC1'!$D:$D,$A5,'LCIA raw results SC1'!$G:$G,T$2)</f>
        <v>632.47428000000002</v>
      </c>
    </row>
    <row r="6" spans="1:20" ht="12.5" x14ac:dyDescent="0.25">
      <c r="A6" s="79" t="s">
        <v>301</v>
      </c>
      <c r="B6" s="81" t="s">
        <v>0</v>
      </c>
      <c r="C6" s="81" t="s">
        <v>818</v>
      </c>
      <c r="D6" s="81">
        <f>SUMIFS('LCIA raw results SC1'!$E:$E,'LCIA raw results SC1'!$D:$D,$A6,'LCIA raw results SC1'!$G:$G,D$2)</f>
        <v>23449.4</v>
      </c>
      <c r="E6" s="81">
        <f>SUMIFS('LCIA raw results SC1'!$E:$E,'LCIA raw results SC1'!$D:$D,$A6,'LCIA raw results SC1'!$G:$G,E$2)</f>
        <v>1.38E-2</v>
      </c>
      <c r="F6" s="81">
        <f>SUMIFS('LCIA raw results SC1'!$E:$E,'LCIA raw results SC1'!$D:$D,$A6,'LCIA raw results SC1'!$G:$G,F$2)</f>
        <v>75.563149999999993</v>
      </c>
      <c r="G6" s="81">
        <f>SUMIFS('LCIA raw results SC1'!$E:$E,'LCIA raw results SC1'!$D:$D,$A6,'LCIA raw results SC1'!$G:$G,G$2)</f>
        <v>64.967529999999996</v>
      </c>
      <c r="H6" s="81">
        <f>SUMIFS('LCIA raw results SC1'!$E:$E,'LCIA raw results SC1'!$D:$D,$A6,'LCIA raw results SC1'!$G:$G,H$2)</f>
        <v>2328.5946399999998</v>
      </c>
      <c r="I6" s="81">
        <f>SUMIFS('LCIA raw results SC1'!$E:$E,'LCIA raw results SC1'!$D:$D,$A6,'LCIA raw results SC1'!$G:$G,I$2)</f>
        <v>3297.2991200000001</v>
      </c>
      <c r="J6" s="81">
        <f>SUMIFS('LCIA raw results SC1'!$E:$E,'LCIA raw results SC1'!$D:$D,$A6,'LCIA raw results SC1'!$G:$G,J$2)</f>
        <v>149704</v>
      </c>
      <c r="K6" s="81">
        <f>SUMIFS('LCIA raw results SC1'!$E:$E,'LCIA raw results SC1'!$D:$D,$A6,'LCIA raw results SC1'!$G:$G,K$2)</f>
        <v>4296.1438200000002</v>
      </c>
      <c r="L6" s="81">
        <f>SUMIFS('LCIA raw results SC1'!$E:$E,'LCIA raw results SC1'!$D:$D,$A6,'LCIA raw results SC1'!$G:$G,L$2)</f>
        <v>6378.6202400000002</v>
      </c>
      <c r="M6" s="81">
        <f>SUMIFS('LCIA raw results SC1'!$E:$E,'LCIA raw results SC1'!$D:$D,$A6,'LCIA raw results SC1'!$G:$G,M$2)</f>
        <v>454002</v>
      </c>
      <c r="N6" s="81">
        <f>SUMIFS('LCIA raw results SC1'!$E:$E,'LCIA raw results SC1'!$D:$D,$A6,'LCIA raw results SC1'!$G:$G,N$2)</f>
        <v>134.11269999999999</v>
      </c>
      <c r="O6" s="81">
        <f>SUMIFS('LCIA raw results SC1'!$E:$E,'LCIA raw results SC1'!$D:$D,$A6,'LCIA raw results SC1'!$G:$G,O$2)</f>
        <v>30.402670000000001</v>
      </c>
      <c r="P6" s="81">
        <f>SUMIFS('LCIA raw results SC1'!$E:$E,'LCIA raw results SC1'!$D:$D,$A6,'LCIA raw results SC1'!$G:$G,P$2)</f>
        <v>1.76311</v>
      </c>
      <c r="Q6" s="81">
        <f>SUMIFS('LCIA raw results SC1'!$E:$E,'LCIA raw results SC1'!$D:$D,$A6,'LCIA raw results SC1'!$G:$G,Q$2)</f>
        <v>434.00957</v>
      </c>
      <c r="R6" s="81">
        <f>SUMIFS('LCIA raw results SC1'!$E:$E,'LCIA raw results SC1'!$D:$D,$A6,'LCIA raw results SC1'!$G:$G,R$2)</f>
        <v>6235.1630800000003</v>
      </c>
      <c r="S6" s="81">
        <f>SUMIFS('LCIA raw results SC1'!$E:$E,'LCIA raw results SC1'!$D:$D,$A6,'LCIA raw results SC1'!$G:$G,S$2)</f>
        <v>1019.30109</v>
      </c>
      <c r="T6" s="82">
        <f>SUMIFS('LCIA raw results SC1'!$E:$E,'LCIA raw results SC1'!$D:$D,$A6,'LCIA raw results SC1'!$G:$G,T$2)</f>
        <v>244.72041999999999</v>
      </c>
    </row>
    <row r="7" spans="1:20" ht="12.5" x14ac:dyDescent="0.25">
      <c r="A7" s="79" t="s">
        <v>303</v>
      </c>
      <c r="B7" s="81" t="s">
        <v>0</v>
      </c>
      <c r="C7" s="81" t="s">
        <v>35</v>
      </c>
      <c r="D7" s="81">
        <f>SUMIFS('LCIA raw results SC1'!$E:$E,'LCIA raw results SC1'!$D:$D,$A7,'LCIA raw results SC1'!$G:$G,D$2)</f>
        <v>17140.3</v>
      </c>
      <c r="E7" s="81">
        <f>SUMIFS('LCIA raw results SC1'!$E:$E,'LCIA raw results SC1'!$D:$D,$A7,'LCIA raw results SC1'!$G:$G,E$2)</f>
        <v>1.0449999999999999E-2</v>
      </c>
      <c r="F7" s="81">
        <f>SUMIFS('LCIA raw results SC1'!$E:$E,'LCIA raw results SC1'!$D:$D,$A7,'LCIA raw results SC1'!$G:$G,F$2)</f>
        <v>55.071550000000002</v>
      </c>
      <c r="G7" s="81">
        <f>SUMIFS('LCIA raw results SC1'!$E:$E,'LCIA raw results SC1'!$D:$D,$A7,'LCIA raw results SC1'!$G:$G,G$2)</f>
        <v>49.59646</v>
      </c>
      <c r="H7" s="81">
        <f>SUMIFS('LCIA raw results SC1'!$E:$E,'LCIA raw results SC1'!$D:$D,$A7,'LCIA raw results SC1'!$G:$G,H$2)</f>
        <v>1751.94748</v>
      </c>
      <c r="I7" s="81">
        <f>SUMIFS('LCIA raw results SC1'!$E:$E,'LCIA raw results SC1'!$D:$D,$A7,'LCIA raw results SC1'!$G:$G,I$2)</f>
        <v>2140.9032299999999</v>
      </c>
      <c r="J7" s="81">
        <f>SUMIFS('LCIA raw results SC1'!$E:$E,'LCIA raw results SC1'!$D:$D,$A7,'LCIA raw results SC1'!$G:$G,J$2)</f>
        <v>266209</v>
      </c>
      <c r="K7" s="81">
        <f>SUMIFS('LCIA raw results SC1'!$E:$E,'LCIA raw results SC1'!$D:$D,$A7,'LCIA raw results SC1'!$G:$G,K$2)</f>
        <v>7771.9188100000001</v>
      </c>
      <c r="L7" s="81">
        <f>SUMIFS('LCIA raw results SC1'!$E:$E,'LCIA raw results SC1'!$D:$D,$A7,'LCIA raw results SC1'!$G:$G,L$2)</f>
        <v>11195.4</v>
      </c>
      <c r="M7" s="81">
        <f>SUMIFS('LCIA raw results SC1'!$E:$E,'LCIA raw results SC1'!$D:$D,$A7,'LCIA raw results SC1'!$G:$G,M$2)</f>
        <v>126410</v>
      </c>
      <c r="N7" s="81">
        <f>SUMIFS('LCIA raw results SC1'!$E:$E,'LCIA raw results SC1'!$D:$D,$A7,'LCIA raw results SC1'!$G:$G,N$2)</f>
        <v>107.67323</v>
      </c>
      <c r="O7" s="81">
        <f>SUMIFS('LCIA raw results SC1'!$E:$E,'LCIA raw results SC1'!$D:$D,$A7,'LCIA raw results SC1'!$G:$G,O$2)</f>
        <v>48.777839999999998</v>
      </c>
      <c r="P7" s="81">
        <f>SUMIFS('LCIA raw results SC1'!$E:$E,'LCIA raw results SC1'!$D:$D,$A7,'LCIA raw results SC1'!$G:$G,P$2)</f>
        <v>1.4503200000000001</v>
      </c>
      <c r="Q7" s="81">
        <f>SUMIFS('LCIA raw results SC1'!$E:$E,'LCIA raw results SC1'!$D:$D,$A7,'LCIA raw results SC1'!$G:$G,Q$2)</f>
        <v>285.67948000000001</v>
      </c>
      <c r="R7" s="81">
        <f>SUMIFS('LCIA raw results SC1'!$E:$E,'LCIA raw results SC1'!$D:$D,$A7,'LCIA raw results SC1'!$G:$G,R$2)</f>
        <v>4414.4202699999996</v>
      </c>
      <c r="S7" s="81">
        <f>SUMIFS('LCIA raw results SC1'!$E:$E,'LCIA raw results SC1'!$D:$D,$A7,'LCIA raw results SC1'!$G:$G,S$2)</f>
        <v>512.07624999999996</v>
      </c>
      <c r="T7" s="82">
        <f>SUMIFS('LCIA raw results SC1'!$E:$E,'LCIA raw results SC1'!$D:$D,$A7,'LCIA raw results SC1'!$G:$G,T$2)</f>
        <v>145.46518</v>
      </c>
    </row>
    <row r="8" spans="1:20" ht="12.5" x14ac:dyDescent="0.25">
      <c r="A8" s="79" t="s">
        <v>305</v>
      </c>
      <c r="B8" s="81" t="s">
        <v>61</v>
      </c>
      <c r="C8" s="80"/>
      <c r="D8" s="81">
        <f>SUMIFS('LCIA raw results SC1'!$E:$E,'LCIA raw results SC1'!$D:$D,$A8,'LCIA raw results SC1'!$G:$G,D$2)</f>
        <v>16845.3</v>
      </c>
      <c r="E8" s="81">
        <f>SUMIFS('LCIA raw results SC1'!$E:$E,'LCIA raw results SC1'!$D:$D,$A8,'LCIA raw results SC1'!$G:$G,E$2)</f>
        <v>7.5199999999999998E-3</v>
      </c>
      <c r="F8" s="81">
        <f>SUMIFS('LCIA raw results SC1'!$E:$E,'LCIA raw results SC1'!$D:$D,$A8,'LCIA raw results SC1'!$G:$G,F$2)</f>
        <v>45.687660000000001</v>
      </c>
      <c r="G8" s="81">
        <f>SUMIFS('LCIA raw results SC1'!$E:$E,'LCIA raw results SC1'!$D:$D,$A8,'LCIA raw results SC1'!$G:$G,G$2)</f>
        <v>46.822240000000001</v>
      </c>
      <c r="H8" s="81">
        <f>SUMIFS('LCIA raw results SC1'!$E:$E,'LCIA raw results SC1'!$D:$D,$A8,'LCIA raw results SC1'!$G:$G,H$2)</f>
        <v>1177.07583</v>
      </c>
      <c r="I8" s="81">
        <f>SUMIFS('LCIA raw results SC1'!$E:$E,'LCIA raw results SC1'!$D:$D,$A8,'LCIA raw results SC1'!$G:$G,I$2)</f>
        <v>6446.1836000000003</v>
      </c>
      <c r="J8" s="81">
        <f>SUMIFS('LCIA raw results SC1'!$E:$E,'LCIA raw results SC1'!$D:$D,$A8,'LCIA raw results SC1'!$G:$G,J$2)</f>
        <v>110763</v>
      </c>
      <c r="K8" s="81">
        <f>SUMIFS('LCIA raw results SC1'!$E:$E,'LCIA raw results SC1'!$D:$D,$A8,'LCIA raw results SC1'!$G:$G,K$2)</f>
        <v>3238.2011900000002</v>
      </c>
      <c r="L8" s="81">
        <f>SUMIFS('LCIA raw results SC1'!$E:$E,'LCIA raw results SC1'!$D:$D,$A8,'LCIA raw results SC1'!$G:$G,L$2)</f>
        <v>4664.7911000000004</v>
      </c>
      <c r="M8" s="81">
        <f>SUMIFS('LCIA raw results SC1'!$E:$E,'LCIA raw results SC1'!$D:$D,$A8,'LCIA raw results SC1'!$G:$G,M$2)</f>
        <v>389528</v>
      </c>
      <c r="N8" s="81">
        <f>SUMIFS('LCIA raw results SC1'!$E:$E,'LCIA raw results SC1'!$D:$D,$A8,'LCIA raw results SC1'!$G:$G,N$2)</f>
        <v>103.60393000000001</v>
      </c>
      <c r="O8" s="81">
        <f>SUMIFS('LCIA raw results SC1'!$E:$E,'LCIA raw results SC1'!$D:$D,$A8,'LCIA raw results SC1'!$G:$G,O$2)</f>
        <v>20.554410000000001</v>
      </c>
      <c r="P8" s="81">
        <f>SUMIFS('LCIA raw results SC1'!$E:$E,'LCIA raw results SC1'!$D:$D,$A8,'LCIA raw results SC1'!$G:$G,P$2)</f>
        <v>1.1837599999999999</v>
      </c>
      <c r="Q8" s="81">
        <f>SUMIFS('LCIA raw results SC1'!$E:$E,'LCIA raw results SC1'!$D:$D,$A8,'LCIA raw results SC1'!$G:$G,Q$2)</f>
        <v>126.83839999999999</v>
      </c>
      <c r="R8" s="81">
        <f>SUMIFS('LCIA raw results SC1'!$E:$E,'LCIA raw results SC1'!$D:$D,$A8,'LCIA raw results SC1'!$G:$G,R$2)</f>
        <v>4300.86121</v>
      </c>
      <c r="S8" s="81">
        <f>SUMIFS('LCIA raw results SC1'!$E:$E,'LCIA raw results SC1'!$D:$D,$A8,'LCIA raw results SC1'!$G:$G,S$2)</f>
        <v>569.38449000000003</v>
      </c>
      <c r="T8" s="82">
        <f>SUMIFS('LCIA raw results SC1'!$E:$E,'LCIA raw results SC1'!$D:$D,$A8,'LCIA raw results SC1'!$G:$G,T$2)</f>
        <v>202.63943</v>
      </c>
    </row>
    <row r="9" spans="1:20" ht="12.5" x14ac:dyDescent="0.25">
      <c r="A9" s="79" t="s">
        <v>307</v>
      </c>
      <c r="B9" s="81" t="s">
        <v>0</v>
      </c>
      <c r="C9" s="81" t="s">
        <v>57</v>
      </c>
      <c r="D9" s="81">
        <f>SUMIFS('LCIA raw results SC1'!$E:$E,'LCIA raw results SC1'!$D:$D,$A9,'LCIA raw results SC1'!$G:$G,D$2)</f>
        <v>13898.1</v>
      </c>
      <c r="E9" s="81">
        <f>SUMIFS('LCIA raw results SC1'!$E:$E,'LCIA raw results SC1'!$D:$D,$A9,'LCIA raw results SC1'!$G:$G,E$2)</f>
        <v>8.1700000000000002E-3</v>
      </c>
      <c r="F9" s="81">
        <f>SUMIFS('LCIA raw results SC1'!$E:$E,'LCIA raw results SC1'!$D:$D,$A9,'LCIA raw results SC1'!$G:$G,F$2)</f>
        <v>43.614310000000003</v>
      </c>
      <c r="G9" s="81">
        <f>SUMIFS('LCIA raw results SC1'!$E:$E,'LCIA raw results SC1'!$D:$D,$A9,'LCIA raw results SC1'!$G:$G,G$2)</f>
        <v>35.581940000000003</v>
      </c>
      <c r="H9" s="81">
        <f>SUMIFS('LCIA raw results SC1'!$E:$E,'LCIA raw results SC1'!$D:$D,$A9,'LCIA raw results SC1'!$G:$G,H$2)</f>
        <v>1361.42066</v>
      </c>
      <c r="I9" s="81">
        <f>SUMIFS('LCIA raw results SC1'!$E:$E,'LCIA raw results SC1'!$D:$D,$A9,'LCIA raw results SC1'!$G:$G,I$2)</f>
        <v>2389.0249899999999</v>
      </c>
      <c r="J9" s="81">
        <f>SUMIFS('LCIA raw results SC1'!$E:$E,'LCIA raw results SC1'!$D:$D,$A9,'LCIA raw results SC1'!$G:$G,J$2)</f>
        <v>232718</v>
      </c>
      <c r="K9" s="81">
        <f>SUMIFS('LCIA raw results SC1'!$E:$E,'LCIA raw results SC1'!$D:$D,$A9,'LCIA raw results SC1'!$G:$G,K$2)</f>
        <v>6768.8585800000001</v>
      </c>
      <c r="L9" s="81">
        <f>SUMIFS('LCIA raw results SC1'!$E:$E,'LCIA raw results SC1'!$D:$D,$A9,'LCIA raw results SC1'!$G:$G,L$2)</f>
        <v>9591.4307599999993</v>
      </c>
      <c r="M9" s="81">
        <f>SUMIFS('LCIA raw results SC1'!$E:$E,'LCIA raw results SC1'!$D:$D,$A9,'LCIA raw results SC1'!$G:$G,M$2)</f>
        <v>185087</v>
      </c>
      <c r="N9" s="81">
        <f>SUMIFS('LCIA raw results SC1'!$E:$E,'LCIA raw results SC1'!$D:$D,$A9,'LCIA raw results SC1'!$G:$G,N$2)</f>
        <v>71.81344</v>
      </c>
      <c r="O9" s="81">
        <f>SUMIFS('LCIA raw results SC1'!$E:$E,'LCIA raw results SC1'!$D:$D,$A9,'LCIA raw results SC1'!$G:$G,O$2)</f>
        <v>41.633659999999999</v>
      </c>
      <c r="P9" s="81">
        <f>SUMIFS('LCIA raw results SC1'!$E:$E,'LCIA raw results SC1'!$D:$D,$A9,'LCIA raw results SC1'!$G:$G,P$2)</f>
        <v>1.2745899999999999</v>
      </c>
      <c r="Q9" s="81">
        <f>SUMIFS('LCIA raw results SC1'!$E:$E,'LCIA raw results SC1'!$D:$D,$A9,'LCIA raw results SC1'!$G:$G,Q$2)</f>
        <v>228.07740000000001</v>
      </c>
      <c r="R9" s="81">
        <f>SUMIFS('LCIA raw results SC1'!$E:$E,'LCIA raw results SC1'!$D:$D,$A9,'LCIA raw results SC1'!$G:$G,R$2)</f>
        <v>3682.4736800000001</v>
      </c>
      <c r="S9" s="81">
        <f>SUMIFS('LCIA raw results SC1'!$E:$E,'LCIA raw results SC1'!$D:$D,$A9,'LCIA raw results SC1'!$G:$G,S$2)</f>
        <v>422.29813999999999</v>
      </c>
      <c r="T9" s="82">
        <f>SUMIFS('LCIA raw results SC1'!$E:$E,'LCIA raw results SC1'!$D:$D,$A9,'LCIA raw results SC1'!$G:$G,T$2)</f>
        <v>126.16601</v>
      </c>
    </row>
    <row r="10" spans="1:20" ht="12.5" x14ac:dyDescent="0.25">
      <c r="A10" s="79" t="s">
        <v>309</v>
      </c>
      <c r="B10" s="81" t="s">
        <v>0</v>
      </c>
      <c r="C10" s="81" t="s">
        <v>55</v>
      </c>
      <c r="D10" s="81">
        <f>SUMIFS('LCIA raw results SC1'!$E:$E,'LCIA raw results SC1'!$D:$D,$A10,'LCIA raw results SC1'!$G:$G,D$2)</f>
        <v>9689.8291399999998</v>
      </c>
      <c r="E10" s="81">
        <f>SUMIFS('LCIA raw results SC1'!$E:$E,'LCIA raw results SC1'!$D:$D,$A10,'LCIA raw results SC1'!$G:$G,E$2)</f>
        <v>4.9399999999999999E-3</v>
      </c>
      <c r="F10" s="81">
        <f>SUMIFS('LCIA raw results SC1'!$E:$E,'LCIA raw results SC1'!$D:$D,$A10,'LCIA raw results SC1'!$G:$G,F$2)</f>
        <v>28.389720000000001</v>
      </c>
      <c r="G10" s="81">
        <f>SUMIFS('LCIA raw results SC1'!$E:$E,'LCIA raw results SC1'!$D:$D,$A10,'LCIA raw results SC1'!$G:$G,G$2)</f>
        <v>22.729009999999999</v>
      </c>
      <c r="H10" s="81">
        <f>SUMIFS('LCIA raw results SC1'!$E:$E,'LCIA raw results SC1'!$D:$D,$A10,'LCIA raw results SC1'!$G:$G,H$2)</f>
        <v>1002.30362</v>
      </c>
      <c r="I10" s="81">
        <f>SUMIFS('LCIA raw results SC1'!$E:$E,'LCIA raw results SC1'!$D:$D,$A10,'LCIA raw results SC1'!$G:$G,I$2)</f>
        <v>1428.4391800000001</v>
      </c>
      <c r="J10" s="81">
        <f>SUMIFS('LCIA raw results SC1'!$E:$E,'LCIA raw results SC1'!$D:$D,$A10,'LCIA raw results SC1'!$G:$G,J$2)</f>
        <v>107980</v>
      </c>
      <c r="K10" s="81">
        <f>SUMIFS('LCIA raw results SC1'!$E:$E,'LCIA raw results SC1'!$D:$D,$A10,'LCIA raw results SC1'!$G:$G,K$2)</f>
        <v>3191.2304600000002</v>
      </c>
      <c r="L10" s="81">
        <f>SUMIFS('LCIA raw results SC1'!$E:$E,'LCIA raw results SC1'!$D:$D,$A10,'LCIA raw results SC1'!$G:$G,L$2)</f>
        <v>4515.2309999999998</v>
      </c>
      <c r="M10" s="81">
        <f>SUMIFS('LCIA raw results SC1'!$E:$E,'LCIA raw results SC1'!$D:$D,$A10,'LCIA raw results SC1'!$G:$G,M$2)</f>
        <v>75513.7</v>
      </c>
      <c r="N10" s="81">
        <f>SUMIFS('LCIA raw results SC1'!$E:$E,'LCIA raw results SC1'!$D:$D,$A10,'LCIA raw results SC1'!$G:$G,N$2)</f>
        <v>46.11806</v>
      </c>
      <c r="O10" s="81">
        <f>SUMIFS('LCIA raw results SC1'!$E:$E,'LCIA raw results SC1'!$D:$D,$A10,'LCIA raw results SC1'!$G:$G,O$2)</f>
        <v>20.401340000000001</v>
      </c>
      <c r="P10" s="81">
        <f>SUMIFS('LCIA raw results SC1'!$E:$E,'LCIA raw results SC1'!$D:$D,$A10,'LCIA raw results SC1'!$G:$G,P$2)</f>
        <v>0.69423000000000001</v>
      </c>
      <c r="Q10" s="81">
        <f>SUMIFS('LCIA raw results SC1'!$E:$E,'LCIA raw results SC1'!$D:$D,$A10,'LCIA raw results SC1'!$G:$G,Q$2)</f>
        <v>126.25628</v>
      </c>
      <c r="R10" s="81">
        <f>SUMIFS('LCIA raw results SC1'!$E:$E,'LCIA raw results SC1'!$D:$D,$A10,'LCIA raw results SC1'!$G:$G,R$2)</f>
        <v>2362.0788899999998</v>
      </c>
      <c r="S10" s="81">
        <f>SUMIFS('LCIA raw results SC1'!$E:$E,'LCIA raw results SC1'!$D:$D,$A10,'LCIA raw results SC1'!$G:$G,S$2)</f>
        <v>217.49276</v>
      </c>
      <c r="T10" s="82">
        <f>SUMIFS('LCIA raw results SC1'!$E:$E,'LCIA raw results SC1'!$D:$D,$A10,'LCIA raw results SC1'!$G:$G,T$2)</f>
        <v>87.78192</v>
      </c>
    </row>
    <row r="11" spans="1:20" ht="12.5" x14ac:dyDescent="0.25">
      <c r="A11" s="79" t="s">
        <v>311</v>
      </c>
      <c r="B11" s="81" t="s">
        <v>0</v>
      </c>
      <c r="C11" s="81" t="s">
        <v>47</v>
      </c>
      <c r="D11" s="81">
        <f>SUMIFS('LCIA raw results SC1'!$E:$E,'LCIA raw results SC1'!$D:$D,$A11,'LCIA raw results SC1'!$G:$G,D$2)</f>
        <v>7722.6734299999998</v>
      </c>
      <c r="E11" s="81">
        <f>SUMIFS('LCIA raw results SC1'!$E:$E,'LCIA raw results SC1'!$D:$D,$A11,'LCIA raw results SC1'!$G:$G,E$2)</f>
        <v>3.6600000000000001E-3</v>
      </c>
      <c r="F11" s="81">
        <f>SUMIFS('LCIA raw results SC1'!$E:$E,'LCIA raw results SC1'!$D:$D,$A11,'LCIA raw results SC1'!$G:$G,F$2)</f>
        <v>19.719059999999999</v>
      </c>
      <c r="G11" s="81">
        <f>SUMIFS('LCIA raw results SC1'!$E:$E,'LCIA raw results SC1'!$D:$D,$A11,'LCIA raw results SC1'!$G:$G,G$2)</f>
        <v>18.7163</v>
      </c>
      <c r="H11" s="81">
        <f>SUMIFS('LCIA raw results SC1'!$E:$E,'LCIA raw results SC1'!$D:$D,$A11,'LCIA raw results SC1'!$G:$G,H$2)</f>
        <v>849.98416999999995</v>
      </c>
      <c r="I11" s="81">
        <f>SUMIFS('LCIA raw results SC1'!$E:$E,'LCIA raw results SC1'!$D:$D,$A11,'LCIA raw results SC1'!$G:$G,I$2)</f>
        <v>556.43934000000002</v>
      </c>
      <c r="J11" s="81">
        <f>SUMIFS('LCIA raw results SC1'!$E:$E,'LCIA raw results SC1'!$D:$D,$A11,'LCIA raw results SC1'!$G:$G,J$2)</f>
        <v>47473.2</v>
      </c>
      <c r="K11" s="81">
        <f>SUMIFS('LCIA raw results SC1'!$E:$E,'LCIA raw results SC1'!$D:$D,$A11,'LCIA raw results SC1'!$G:$G,K$2)</f>
        <v>1402.1104399999999</v>
      </c>
      <c r="L11" s="81">
        <f>SUMIFS('LCIA raw results SC1'!$E:$E,'LCIA raw results SC1'!$D:$D,$A11,'LCIA raw results SC1'!$G:$G,L$2)</f>
        <v>1995.17383</v>
      </c>
      <c r="M11" s="81">
        <f>SUMIFS('LCIA raw results SC1'!$E:$E,'LCIA raw results SC1'!$D:$D,$A11,'LCIA raw results SC1'!$G:$G,M$2)</f>
        <v>77513.8</v>
      </c>
      <c r="N11" s="81">
        <f>SUMIFS('LCIA raw results SC1'!$E:$E,'LCIA raw results SC1'!$D:$D,$A11,'LCIA raw results SC1'!$G:$G,N$2)</f>
        <v>34.144010000000002</v>
      </c>
      <c r="O11" s="81">
        <f>SUMIFS('LCIA raw results SC1'!$E:$E,'LCIA raw results SC1'!$D:$D,$A11,'LCIA raw results SC1'!$G:$G,O$2)</f>
        <v>10.67671</v>
      </c>
      <c r="P11" s="81">
        <f>SUMIFS('LCIA raw results SC1'!$E:$E,'LCIA raw results SC1'!$D:$D,$A11,'LCIA raw results SC1'!$G:$G,P$2)</f>
        <v>0.45295999999999997</v>
      </c>
      <c r="Q11" s="81">
        <f>SUMIFS('LCIA raw results SC1'!$E:$E,'LCIA raw results SC1'!$D:$D,$A11,'LCIA raw results SC1'!$G:$G,Q$2)</f>
        <v>65.343329999999995</v>
      </c>
      <c r="R11" s="81">
        <f>SUMIFS('LCIA raw results SC1'!$E:$E,'LCIA raw results SC1'!$D:$D,$A11,'LCIA raw results SC1'!$G:$G,R$2)</f>
        <v>1920.2880399999999</v>
      </c>
      <c r="S11" s="81">
        <f>SUMIFS('LCIA raw results SC1'!$E:$E,'LCIA raw results SC1'!$D:$D,$A11,'LCIA raw results SC1'!$G:$G,S$2)</f>
        <v>78.079859999999996</v>
      </c>
      <c r="T11" s="82">
        <f>SUMIFS('LCIA raw results SC1'!$E:$E,'LCIA raw results SC1'!$D:$D,$A11,'LCIA raw results SC1'!$G:$G,T$2)</f>
        <v>55.671999999999997</v>
      </c>
    </row>
    <row r="12" spans="1:20" ht="12.5" x14ac:dyDescent="0.25">
      <c r="A12" s="79" t="s">
        <v>313</v>
      </c>
      <c r="B12" s="81" t="s">
        <v>0</v>
      </c>
      <c r="C12" s="81" t="s">
        <v>817</v>
      </c>
      <c r="D12" s="81">
        <f>SUMIFS('LCIA raw results SC1'!$E:$E,'LCIA raw results SC1'!$D:$D,$A12,'LCIA raw results SC1'!$G:$G,D$2)</f>
        <v>5496.3654200000001</v>
      </c>
      <c r="E12" s="81">
        <f>SUMIFS('LCIA raw results SC1'!$E:$E,'LCIA raw results SC1'!$D:$D,$A12,'LCIA raw results SC1'!$G:$G,E$2)</f>
        <v>3.4499999999999999E-3</v>
      </c>
      <c r="F12" s="81">
        <f>SUMIFS('LCIA raw results SC1'!$E:$E,'LCIA raw results SC1'!$D:$D,$A12,'LCIA raw results SC1'!$G:$G,F$2)</f>
        <v>18.619630000000001</v>
      </c>
      <c r="G12" s="81">
        <f>SUMIFS('LCIA raw results SC1'!$E:$E,'LCIA raw results SC1'!$D:$D,$A12,'LCIA raw results SC1'!$G:$G,G$2)</f>
        <v>12.261329999999999</v>
      </c>
      <c r="H12" s="81">
        <f>SUMIFS('LCIA raw results SC1'!$E:$E,'LCIA raw results SC1'!$D:$D,$A12,'LCIA raw results SC1'!$G:$G,H$2)</f>
        <v>554.61201000000005</v>
      </c>
      <c r="I12" s="81">
        <f>SUMIFS('LCIA raw results SC1'!$E:$E,'LCIA raw results SC1'!$D:$D,$A12,'LCIA raw results SC1'!$G:$G,I$2)</f>
        <v>976.21384</v>
      </c>
      <c r="J12" s="81">
        <f>SUMIFS('LCIA raw results SC1'!$E:$E,'LCIA raw results SC1'!$D:$D,$A12,'LCIA raw results SC1'!$G:$G,J$2)</f>
        <v>143147</v>
      </c>
      <c r="K12" s="81">
        <f>SUMIFS('LCIA raw results SC1'!$E:$E,'LCIA raw results SC1'!$D:$D,$A12,'LCIA raw results SC1'!$G:$G,K$2)</f>
        <v>4171.3950599999998</v>
      </c>
      <c r="L12" s="81">
        <f>SUMIFS('LCIA raw results SC1'!$E:$E,'LCIA raw results SC1'!$D:$D,$A12,'LCIA raw results SC1'!$G:$G,L$2)</f>
        <v>5862.9715900000001</v>
      </c>
      <c r="M12" s="81">
        <f>SUMIFS('LCIA raw results SC1'!$E:$E,'LCIA raw results SC1'!$D:$D,$A12,'LCIA raw results SC1'!$G:$G,M$2)</f>
        <v>12912</v>
      </c>
      <c r="N12" s="81">
        <f>SUMIFS('LCIA raw results SC1'!$E:$E,'LCIA raw results SC1'!$D:$D,$A12,'LCIA raw results SC1'!$G:$G,N$2)</f>
        <v>22.241320000000002</v>
      </c>
      <c r="O12" s="81">
        <f>SUMIFS('LCIA raw results SC1'!$E:$E,'LCIA raw results SC1'!$D:$D,$A12,'LCIA raw results SC1'!$G:$G,O$2)</f>
        <v>24.823360000000001</v>
      </c>
      <c r="P12" s="81">
        <f>SUMIFS('LCIA raw results SC1'!$E:$E,'LCIA raw results SC1'!$D:$D,$A12,'LCIA raw results SC1'!$G:$G,P$2)</f>
        <v>0.5726</v>
      </c>
      <c r="Q12" s="81">
        <f>SUMIFS('LCIA raw results SC1'!$E:$E,'LCIA raw results SC1'!$D:$D,$A12,'LCIA raw results SC1'!$G:$G,Q$2)</f>
        <v>121.2811</v>
      </c>
      <c r="R12" s="81">
        <f>SUMIFS('LCIA raw results SC1'!$E:$E,'LCIA raw results SC1'!$D:$D,$A12,'LCIA raw results SC1'!$G:$G,R$2)</f>
        <v>1421.57116</v>
      </c>
      <c r="S12" s="81">
        <f>SUMIFS('LCIA raw results SC1'!$E:$E,'LCIA raw results SC1'!$D:$D,$A12,'LCIA raw results SC1'!$G:$G,S$2)</f>
        <v>192.58821</v>
      </c>
      <c r="T12" s="82">
        <f>SUMIFS('LCIA raw results SC1'!$E:$E,'LCIA raw results SC1'!$D:$D,$A12,'LCIA raw results SC1'!$G:$G,T$2)</f>
        <v>46.528759999999998</v>
      </c>
    </row>
    <row r="13" spans="1:20" ht="12.5" x14ac:dyDescent="0.25">
      <c r="A13" s="79" t="s">
        <v>315</v>
      </c>
      <c r="B13" s="81" t="s">
        <v>819</v>
      </c>
      <c r="C13" s="80"/>
      <c r="D13" s="81">
        <f>SUMIFS('LCIA raw results SC1'!$E:$E,'LCIA raw results SC1'!$D:$D,$A13,'LCIA raw results SC1'!$G:$G,D$2)</f>
        <v>2812.5304099999998</v>
      </c>
      <c r="E13" s="81">
        <f>SUMIFS('LCIA raw results SC1'!$E:$E,'LCIA raw results SC1'!$D:$D,$A13,'LCIA raw results SC1'!$G:$G,E$2)</f>
        <v>1.66E-3</v>
      </c>
      <c r="F13" s="81">
        <f>SUMIFS('LCIA raw results SC1'!$E:$E,'LCIA raw results SC1'!$D:$D,$A13,'LCIA raw results SC1'!$G:$G,F$2)</f>
        <v>3.3926699999999999</v>
      </c>
      <c r="G13" s="81">
        <f>SUMIFS('LCIA raw results SC1'!$E:$E,'LCIA raw results SC1'!$D:$D,$A13,'LCIA raw results SC1'!$G:$G,G$2)</f>
        <v>1.92618</v>
      </c>
      <c r="H13" s="81">
        <f>SUMIFS('LCIA raw results SC1'!$E:$E,'LCIA raw results SC1'!$D:$D,$A13,'LCIA raw results SC1'!$G:$G,H$2)</f>
        <v>54.121850000000002</v>
      </c>
      <c r="I13" s="81">
        <f>SUMIFS('LCIA raw results SC1'!$E:$E,'LCIA raw results SC1'!$D:$D,$A13,'LCIA raw results SC1'!$G:$G,I$2)</f>
        <v>119.90237999999999</v>
      </c>
      <c r="J13" s="81">
        <f>SUMIFS('LCIA raw results SC1'!$E:$E,'LCIA raw results SC1'!$D:$D,$A13,'LCIA raw results SC1'!$G:$G,J$2)</f>
        <v>4665.0448399999996</v>
      </c>
      <c r="K13" s="81">
        <f>SUMIFS('LCIA raw results SC1'!$E:$E,'LCIA raw results SC1'!$D:$D,$A13,'LCIA raw results SC1'!$G:$G,K$2)</f>
        <v>3178.5144300000002</v>
      </c>
      <c r="L13" s="81">
        <f>SUMIFS('LCIA raw results SC1'!$E:$E,'LCIA raw results SC1'!$D:$D,$A13,'LCIA raw results SC1'!$G:$G,L$2)</f>
        <v>3809.16624</v>
      </c>
      <c r="M13" s="81">
        <f>SUMIFS('LCIA raw results SC1'!$E:$E,'LCIA raw results SC1'!$D:$D,$A13,'LCIA raw results SC1'!$G:$G,M$2)</f>
        <v>17511.900000000001</v>
      </c>
      <c r="N13" s="81">
        <f>SUMIFS('LCIA raw results SC1'!$E:$E,'LCIA raw results SC1'!$D:$D,$A13,'LCIA raw results SC1'!$G:$G,N$2)</f>
        <v>4.3422599999999996</v>
      </c>
      <c r="O13" s="81">
        <f>SUMIFS('LCIA raw results SC1'!$E:$E,'LCIA raw results SC1'!$D:$D,$A13,'LCIA raw results SC1'!$G:$G,O$2)</f>
        <v>0.54895000000000005</v>
      </c>
      <c r="P13" s="81">
        <f>SUMIFS('LCIA raw results SC1'!$E:$E,'LCIA raw results SC1'!$D:$D,$A13,'LCIA raw results SC1'!$G:$G,P$2)</f>
        <v>5.3830000000000003E-2</v>
      </c>
      <c r="Q13" s="81">
        <f>SUMIFS('LCIA raw results SC1'!$E:$E,'LCIA raw results SC1'!$D:$D,$A13,'LCIA raw results SC1'!$G:$G,Q$2)</f>
        <v>12.4091</v>
      </c>
      <c r="R13" s="81">
        <f>SUMIFS('LCIA raw results SC1'!$E:$E,'LCIA raw results SC1'!$D:$D,$A13,'LCIA raw results SC1'!$G:$G,R$2)</f>
        <v>240.48228</v>
      </c>
      <c r="S13" s="81">
        <f>SUMIFS('LCIA raw results SC1'!$E:$E,'LCIA raw results SC1'!$D:$D,$A13,'LCIA raw results SC1'!$G:$G,S$2)</f>
        <v>10.02003</v>
      </c>
      <c r="T13" s="82">
        <f>SUMIFS('LCIA raw results SC1'!$E:$E,'LCIA raw results SC1'!$D:$D,$A13,'LCIA raw results SC1'!$G:$G,T$2)</f>
        <v>13.09666</v>
      </c>
    </row>
    <row r="14" spans="1:20" ht="12.5" x14ac:dyDescent="0.25">
      <c r="A14" s="79" t="s">
        <v>317</v>
      </c>
      <c r="B14" s="81" t="s">
        <v>108</v>
      </c>
      <c r="C14" s="80"/>
      <c r="D14" s="81">
        <f>SUMIFS('LCIA raw results SC1'!$E:$E,'LCIA raw results SC1'!$D:$D,$A14,'LCIA raw results SC1'!$G:$G,D$2)</f>
        <v>2209.6146100000001</v>
      </c>
      <c r="E14" s="81">
        <f>SUMIFS('LCIA raw results SC1'!$E:$E,'LCIA raw results SC1'!$D:$D,$A14,'LCIA raw results SC1'!$G:$G,E$2)</f>
        <v>1.6000000000000001E-3</v>
      </c>
      <c r="F14" s="81">
        <f>SUMIFS('LCIA raw results SC1'!$E:$E,'LCIA raw results SC1'!$D:$D,$A14,'LCIA raw results SC1'!$G:$G,F$2)</f>
        <v>6.9714700000000001</v>
      </c>
      <c r="G14" s="81">
        <f>SUMIFS('LCIA raw results SC1'!$E:$E,'LCIA raw results SC1'!$D:$D,$A14,'LCIA raw results SC1'!$G:$G,G$2)</f>
        <v>2.4592000000000001</v>
      </c>
      <c r="H14" s="81">
        <f>SUMIFS('LCIA raw results SC1'!$E:$E,'LCIA raw results SC1'!$D:$D,$A14,'LCIA raw results SC1'!$G:$G,H$2)</f>
        <v>39.302210000000002</v>
      </c>
      <c r="I14" s="81">
        <f>SUMIFS('LCIA raw results SC1'!$E:$E,'LCIA raw results SC1'!$D:$D,$A14,'LCIA raw results SC1'!$G:$G,I$2)</f>
        <v>44.842590000000001</v>
      </c>
      <c r="J14" s="81">
        <f>SUMIFS('LCIA raw results SC1'!$E:$E,'LCIA raw results SC1'!$D:$D,$A14,'LCIA raw results SC1'!$G:$G,J$2)</f>
        <v>1264.41137</v>
      </c>
      <c r="K14" s="81">
        <f>SUMIFS('LCIA raw results SC1'!$E:$E,'LCIA raw results SC1'!$D:$D,$A14,'LCIA raw results SC1'!$G:$G,K$2)</f>
        <v>31.754259999999999</v>
      </c>
      <c r="L14" s="81">
        <f>SUMIFS('LCIA raw results SC1'!$E:$E,'LCIA raw results SC1'!$D:$D,$A14,'LCIA raw results SC1'!$G:$G,L$2)</f>
        <v>57.57208</v>
      </c>
      <c r="M14" s="81">
        <f>SUMIFS('LCIA raw results SC1'!$E:$E,'LCIA raw results SC1'!$D:$D,$A14,'LCIA raw results SC1'!$G:$G,M$2)</f>
        <v>28709.4</v>
      </c>
      <c r="N14" s="81">
        <f>SUMIFS('LCIA raw results SC1'!$E:$E,'LCIA raw results SC1'!$D:$D,$A14,'LCIA raw results SC1'!$G:$G,N$2)</f>
        <v>5.5054800000000004</v>
      </c>
      <c r="O14" s="81">
        <f>SUMIFS('LCIA raw results SC1'!$E:$E,'LCIA raw results SC1'!$D:$D,$A14,'LCIA raw results SC1'!$G:$G,O$2)</f>
        <v>0.17158000000000001</v>
      </c>
      <c r="P14" s="81">
        <f>SUMIFS('LCIA raw results SC1'!$E:$E,'LCIA raw results SC1'!$D:$D,$A14,'LCIA raw results SC1'!$G:$G,P$2)</f>
        <v>1.451E-2</v>
      </c>
      <c r="Q14" s="81">
        <f>SUMIFS('LCIA raw results SC1'!$E:$E,'LCIA raw results SC1'!$D:$D,$A14,'LCIA raw results SC1'!$G:$G,Q$2)</f>
        <v>69.955430000000007</v>
      </c>
      <c r="R14" s="81">
        <f>SUMIFS('LCIA raw results SC1'!$E:$E,'LCIA raw results SC1'!$D:$D,$A14,'LCIA raw results SC1'!$G:$G,R$2)</f>
        <v>765.12562000000003</v>
      </c>
      <c r="S14" s="81">
        <f>SUMIFS('LCIA raw results SC1'!$E:$E,'LCIA raw results SC1'!$D:$D,$A14,'LCIA raw results SC1'!$G:$G,S$2)</f>
        <v>3.9858899999999999</v>
      </c>
      <c r="T14" s="82">
        <f>SUMIFS('LCIA raw results SC1'!$E:$E,'LCIA raw results SC1'!$D:$D,$A14,'LCIA raw results SC1'!$G:$G,T$2)</f>
        <v>6.1021900000000002</v>
      </c>
    </row>
    <row r="15" spans="1:20" ht="12.5" x14ac:dyDescent="0.25">
      <c r="A15" s="79" t="s">
        <v>319</v>
      </c>
      <c r="B15" s="81" t="s">
        <v>90</v>
      </c>
      <c r="C15" s="80"/>
      <c r="D15" s="81">
        <f>SUMIFS('LCIA raw results SC1'!$E:$E,'LCIA raw results SC1'!$D:$D,$A15,'LCIA raw results SC1'!$G:$G,D$2)</f>
        <v>1755.0391099999999</v>
      </c>
      <c r="E15" s="81">
        <f>SUMIFS('LCIA raw results SC1'!$E:$E,'LCIA raw results SC1'!$D:$D,$A15,'LCIA raw results SC1'!$G:$G,E$2)</f>
        <v>3.6999999999999999E-4</v>
      </c>
      <c r="F15" s="81">
        <f>SUMIFS('LCIA raw results SC1'!$E:$E,'LCIA raw results SC1'!$D:$D,$A15,'LCIA raw results SC1'!$G:$G,F$2)</f>
        <v>4.8568300000000004</v>
      </c>
      <c r="G15" s="81">
        <f>SUMIFS('LCIA raw results SC1'!$E:$E,'LCIA raw results SC1'!$D:$D,$A15,'LCIA raw results SC1'!$G:$G,G$2)</f>
        <v>2.6791299999999998</v>
      </c>
      <c r="H15" s="81">
        <f>SUMIFS('LCIA raw results SC1'!$E:$E,'LCIA raw results SC1'!$D:$D,$A15,'LCIA raw results SC1'!$G:$G,H$2)</f>
        <v>27.339279999999999</v>
      </c>
      <c r="I15" s="81">
        <f>SUMIFS('LCIA raw results SC1'!$E:$E,'LCIA raw results SC1'!$D:$D,$A15,'LCIA raw results SC1'!$G:$G,I$2)</f>
        <v>49.166379999999997</v>
      </c>
      <c r="J15" s="81">
        <f>SUMIFS('LCIA raw results SC1'!$E:$E,'LCIA raw results SC1'!$D:$D,$A15,'LCIA raw results SC1'!$G:$G,J$2)</f>
        <v>406.29892000000001</v>
      </c>
      <c r="K15" s="81">
        <f>SUMIFS('LCIA raw results SC1'!$E:$E,'LCIA raw results SC1'!$D:$D,$A15,'LCIA raw results SC1'!$G:$G,K$2)</f>
        <v>22.020050000000001</v>
      </c>
      <c r="L15" s="81">
        <f>SUMIFS('LCIA raw results SC1'!$E:$E,'LCIA raw results SC1'!$D:$D,$A15,'LCIA raw results SC1'!$G:$G,L$2)</f>
        <v>29.758659999999999</v>
      </c>
      <c r="M15" s="81">
        <f>SUMIFS('LCIA raw results SC1'!$E:$E,'LCIA raw results SC1'!$D:$D,$A15,'LCIA raw results SC1'!$G:$G,M$2)</f>
        <v>997.41997000000003</v>
      </c>
      <c r="N15" s="81">
        <f>SUMIFS('LCIA raw results SC1'!$E:$E,'LCIA raw results SC1'!$D:$D,$A15,'LCIA raw results SC1'!$G:$G,N$2)</f>
        <v>5.9821</v>
      </c>
      <c r="O15" s="81">
        <f>SUMIFS('LCIA raw results SC1'!$E:$E,'LCIA raw results SC1'!$D:$D,$A15,'LCIA raw results SC1'!$G:$G,O$2)</f>
        <v>0.32395000000000002</v>
      </c>
      <c r="P15" s="81">
        <f>SUMIFS('LCIA raw results SC1'!$E:$E,'LCIA raw results SC1'!$D:$D,$A15,'LCIA raw results SC1'!$G:$G,P$2)</f>
        <v>2.026E-2</v>
      </c>
      <c r="Q15" s="81">
        <f>SUMIFS('LCIA raw results SC1'!$E:$E,'LCIA raw results SC1'!$D:$D,$A15,'LCIA raw results SC1'!$G:$G,Q$2)</f>
        <v>10.83161</v>
      </c>
      <c r="R15" s="81">
        <f>SUMIFS('LCIA raw results SC1'!$E:$E,'LCIA raw results SC1'!$D:$D,$A15,'LCIA raw results SC1'!$G:$G,R$2)</f>
        <v>341.09197</v>
      </c>
      <c r="S15" s="81">
        <f>SUMIFS('LCIA raw results SC1'!$E:$E,'LCIA raw results SC1'!$D:$D,$A15,'LCIA raw results SC1'!$G:$G,S$2)</f>
        <v>0.57530000000000003</v>
      </c>
      <c r="T15" s="82">
        <f>SUMIFS('LCIA raw results SC1'!$E:$E,'LCIA raw results SC1'!$D:$D,$A15,'LCIA raw results SC1'!$G:$G,T$2)</f>
        <v>4.2844199999999999</v>
      </c>
    </row>
    <row r="16" spans="1:20" ht="12.5" x14ac:dyDescent="0.25">
      <c r="A16" s="79" t="s">
        <v>321</v>
      </c>
      <c r="B16" s="81" t="s">
        <v>108</v>
      </c>
      <c r="C16" s="80"/>
      <c r="D16" s="81">
        <f>SUMIFS('LCIA raw results SC1'!$E:$E,'LCIA raw results SC1'!$D:$D,$A16,'LCIA raw results SC1'!$G:$G,D$2)</f>
        <v>1125.7459100000001</v>
      </c>
      <c r="E16" s="81">
        <f>SUMIFS('LCIA raw results SC1'!$E:$E,'LCIA raw results SC1'!$D:$D,$A16,'LCIA raw results SC1'!$G:$G,E$2)</f>
        <v>5.2999999999999998E-4</v>
      </c>
      <c r="F16" s="81">
        <f>SUMIFS('LCIA raw results SC1'!$E:$E,'LCIA raw results SC1'!$D:$D,$A16,'LCIA raw results SC1'!$G:$G,F$2)</f>
        <v>14.542479999999999</v>
      </c>
      <c r="G16" s="81">
        <f>SUMIFS('LCIA raw results SC1'!$E:$E,'LCIA raw results SC1'!$D:$D,$A16,'LCIA raw results SC1'!$G:$G,G$2)</f>
        <v>6.1523599999999998</v>
      </c>
      <c r="H16" s="81">
        <f>SUMIFS('LCIA raw results SC1'!$E:$E,'LCIA raw results SC1'!$D:$D,$A16,'LCIA raw results SC1'!$G:$G,H$2)</f>
        <v>45.138030000000001</v>
      </c>
      <c r="I16" s="81">
        <f>SUMIFS('LCIA raw results SC1'!$E:$E,'LCIA raw results SC1'!$D:$D,$A16,'LCIA raw results SC1'!$G:$G,I$2)</f>
        <v>23.30602</v>
      </c>
      <c r="J16" s="81">
        <f>SUMIFS('LCIA raw results SC1'!$E:$E,'LCIA raw results SC1'!$D:$D,$A16,'LCIA raw results SC1'!$G:$G,J$2)</f>
        <v>196.13307</v>
      </c>
      <c r="K16" s="81">
        <f>SUMIFS('LCIA raw results SC1'!$E:$E,'LCIA raw results SC1'!$D:$D,$A16,'LCIA raw results SC1'!$G:$G,K$2)</f>
        <v>7.5837000000000003</v>
      </c>
      <c r="L16" s="81">
        <f>SUMIFS('LCIA raw results SC1'!$E:$E,'LCIA raw results SC1'!$D:$D,$A16,'LCIA raw results SC1'!$G:$G,L$2)</f>
        <v>11.76665</v>
      </c>
      <c r="M16" s="81">
        <f>SUMIFS('LCIA raw results SC1'!$E:$E,'LCIA raw results SC1'!$D:$D,$A16,'LCIA raw results SC1'!$G:$G,M$2)</f>
        <v>2117.5204800000001</v>
      </c>
      <c r="N16" s="81">
        <f>SUMIFS('LCIA raw results SC1'!$E:$E,'LCIA raw results SC1'!$D:$D,$A16,'LCIA raw results SC1'!$G:$G,N$2)</f>
        <v>18.775020000000001</v>
      </c>
      <c r="O16" s="81">
        <f>SUMIFS('LCIA raw results SC1'!$E:$E,'LCIA raw results SC1'!$D:$D,$A16,'LCIA raw results SC1'!$G:$G,O$2)</f>
        <v>0.15132999999999999</v>
      </c>
      <c r="P16" s="81">
        <f>SUMIFS('LCIA raw results SC1'!$E:$E,'LCIA raw results SC1'!$D:$D,$A16,'LCIA raw results SC1'!$G:$G,P$2)</f>
        <v>1.107E-2</v>
      </c>
      <c r="Q16" s="81">
        <f>SUMIFS('LCIA raw results SC1'!$E:$E,'LCIA raw results SC1'!$D:$D,$A16,'LCIA raw results SC1'!$G:$G,Q$2)</f>
        <v>2.6607699999999999</v>
      </c>
      <c r="R16" s="81">
        <f>SUMIFS('LCIA raw results SC1'!$E:$E,'LCIA raw results SC1'!$D:$D,$A16,'LCIA raw results SC1'!$G:$G,R$2)</f>
        <v>356.8229</v>
      </c>
      <c r="S16" s="81">
        <f>SUMIFS('LCIA raw results SC1'!$E:$E,'LCIA raw results SC1'!$D:$D,$A16,'LCIA raw results SC1'!$G:$G,S$2)</f>
        <v>1.36947</v>
      </c>
      <c r="T16" s="82">
        <f>SUMIFS('LCIA raw results SC1'!$E:$E,'LCIA raw results SC1'!$D:$D,$A16,'LCIA raw results SC1'!$G:$G,T$2)</f>
        <v>3.3336800000000002</v>
      </c>
    </row>
    <row r="17" spans="1:20" ht="12.5" x14ac:dyDescent="0.25">
      <c r="A17" s="79" t="s">
        <v>323</v>
      </c>
      <c r="B17" s="81" t="s">
        <v>100</v>
      </c>
      <c r="C17" s="80"/>
      <c r="D17" s="81">
        <f>SUMIFS('LCIA raw results SC1'!$E:$E,'LCIA raw results SC1'!$D:$D,$A17,'LCIA raw results SC1'!$G:$G,D$2)</f>
        <v>913.13832000000002</v>
      </c>
      <c r="E17" s="81">
        <f>SUMIFS('LCIA raw results SC1'!$E:$E,'LCIA raw results SC1'!$D:$D,$A17,'LCIA raw results SC1'!$G:$G,E$2)</f>
        <v>1.0399999999999999E-3</v>
      </c>
      <c r="F17" s="81">
        <f>SUMIFS('LCIA raw results SC1'!$E:$E,'LCIA raw results SC1'!$D:$D,$A17,'LCIA raw results SC1'!$G:$G,F$2)</f>
        <v>2.5423800000000001</v>
      </c>
      <c r="G17" s="81">
        <f>SUMIFS('LCIA raw results SC1'!$E:$E,'LCIA raw results SC1'!$D:$D,$A17,'LCIA raw results SC1'!$G:$G,G$2)</f>
        <v>1.54068</v>
      </c>
      <c r="H17" s="81">
        <f>SUMIFS('LCIA raw results SC1'!$E:$E,'LCIA raw results SC1'!$D:$D,$A17,'LCIA raw results SC1'!$G:$G,H$2)</f>
        <v>41.114049999999999</v>
      </c>
      <c r="I17" s="81">
        <f>SUMIFS('LCIA raw results SC1'!$E:$E,'LCIA raw results SC1'!$D:$D,$A17,'LCIA raw results SC1'!$G:$G,I$2)</f>
        <v>38.341340000000002</v>
      </c>
      <c r="J17" s="81">
        <f>SUMIFS('LCIA raw results SC1'!$E:$E,'LCIA raw results SC1'!$D:$D,$A17,'LCIA raw results SC1'!$G:$G,J$2)</f>
        <v>1155.2578599999999</v>
      </c>
      <c r="K17" s="81">
        <f>SUMIFS('LCIA raw results SC1'!$E:$E,'LCIA raw results SC1'!$D:$D,$A17,'LCIA raw results SC1'!$G:$G,K$2)</f>
        <v>35.976649999999999</v>
      </c>
      <c r="L17" s="81">
        <f>SUMIFS('LCIA raw results SC1'!$E:$E,'LCIA raw results SC1'!$D:$D,$A17,'LCIA raw results SC1'!$G:$G,L$2)</f>
        <v>50.750039999999998</v>
      </c>
      <c r="M17" s="81">
        <f>SUMIFS('LCIA raw results SC1'!$E:$E,'LCIA raw results SC1'!$D:$D,$A17,'LCIA raw results SC1'!$G:$G,M$2)</f>
        <v>3762.0332600000002</v>
      </c>
      <c r="N17" s="81">
        <f>SUMIFS('LCIA raw results SC1'!$E:$E,'LCIA raw results SC1'!$D:$D,$A17,'LCIA raw results SC1'!$G:$G,N$2)</f>
        <v>3.1124399999999999</v>
      </c>
      <c r="O17" s="81">
        <f>SUMIFS('LCIA raw results SC1'!$E:$E,'LCIA raw results SC1'!$D:$D,$A17,'LCIA raw results SC1'!$G:$G,O$2)</f>
        <v>0.41598000000000002</v>
      </c>
      <c r="P17" s="81">
        <f>SUMIFS('LCIA raw results SC1'!$E:$E,'LCIA raw results SC1'!$D:$D,$A17,'LCIA raw results SC1'!$G:$G,P$2)</f>
        <v>0.26113999999999998</v>
      </c>
      <c r="Q17" s="81">
        <f>SUMIFS('LCIA raw results SC1'!$E:$E,'LCIA raw results SC1'!$D:$D,$A17,'LCIA raw results SC1'!$G:$G,Q$2)</f>
        <v>11.237740000000001</v>
      </c>
      <c r="R17" s="81">
        <f>SUMIFS('LCIA raw results SC1'!$E:$E,'LCIA raw results SC1'!$D:$D,$A17,'LCIA raw results SC1'!$G:$G,R$2)</f>
        <v>260.06371000000001</v>
      </c>
      <c r="S17" s="81">
        <f>SUMIFS('LCIA raw results SC1'!$E:$E,'LCIA raw results SC1'!$D:$D,$A17,'LCIA raw results SC1'!$G:$G,S$2)</f>
        <v>3.5794700000000002</v>
      </c>
      <c r="T17" s="82">
        <f>SUMIFS('LCIA raw results SC1'!$E:$E,'LCIA raw results SC1'!$D:$D,$A17,'LCIA raw results SC1'!$G:$G,T$2)</f>
        <v>7.0845000000000002</v>
      </c>
    </row>
    <row r="18" spans="1:20" ht="12.5" x14ac:dyDescent="0.25">
      <c r="A18" s="79" t="s">
        <v>325</v>
      </c>
      <c r="B18" s="81" t="s">
        <v>819</v>
      </c>
      <c r="C18" s="80"/>
      <c r="D18" s="81">
        <f>SUMIFS('LCIA raw results SC1'!$E:$E,'LCIA raw results SC1'!$D:$D,$A18,'LCIA raw results SC1'!$G:$G,D$2)</f>
        <v>693.94403999999997</v>
      </c>
      <c r="E18" s="81">
        <f>SUMIFS('LCIA raw results SC1'!$E:$E,'LCIA raw results SC1'!$D:$D,$A18,'LCIA raw results SC1'!$G:$G,E$2)</f>
        <v>6.0999999999999997E-4</v>
      </c>
      <c r="F18" s="81">
        <f>SUMIFS('LCIA raw results SC1'!$E:$E,'LCIA raw results SC1'!$D:$D,$A18,'LCIA raw results SC1'!$G:$G,F$2)</f>
        <v>0.45606000000000002</v>
      </c>
      <c r="G18" s="81">
        <f>SUMIFS('LCIA raw results SC1'!$E:$E,'LCIA raw results SC1'!$D:$D,$A18,'LCIA raw results SC1'!$G:$G,G$2)</f>
        <v>0.11883000000000001</v>
      </c>
      <c r="H18" s="81">
        <f>SUMIFS('LCIA raw results SC1'!$E:$E,'LCIA raw results SC1'!$D:$D,$A18,'LCIA raw results SC1'!$G:$G,H$2)</f>
        <v>1.62561</v>
      </c>
      <c r="I18" s="81">
        <f>SUMIFS('LCIA raw results SC1'!$E:$E,'LCIA raw results SC1'!$D:$D,$A18,'LCIA raw results SC1'!$G:$G,I$2)</f>
        <v>14.040609999999999</v>
      </c>
      <c r="J18" s="81">
        <f>SUMIFS('LCIA raw results SC1'!$E:$E,'LCIA raw results SC1'!$D:$D,$A18,'LCIA raw results SC1'!$G:$G,J$2)</f>
        <v>901.64324999999997</v>
      </c>
      <c r="K18" s="81">
        <f>SUMIFS('LCIA raw results SC1'!$E:$E,'LCIA raw results SC1'!$D:$D,$A18,'LCIA raw results SC1'!$G:$G,K$2)</f>
        <v>35.817900000000002</v>
      </c>
      <c r="L18" s="81">
        <f>SUMIFS('LCIA raw results SC1'!$E:$E,'LCIA raw results SC1'!$D:$D,$A18,'LCIA raw results SC1'!$G:$G,L$2)</f>
        <v>47.830010000000001</v>
      </c>
      <c r="M18" s="81">
        <f>SUMIFS('LCIA raw results SC1'!$E:$E,'LCIA raw results SC1'!$D:$D,$A18,'LCIA raw results SC1'!$G:$G,M$2)</f>
        <v>276.91059999999999</v>
      </c>
      <c r="N18" s="81">
        <f>SUMIFS('LCIA raw results SC1'!$E:$E,'LCIA raw results SC1'!$D:$D,$A18,'LCIA raw results SC1'!$G:$G,N$2)</f>
        <v>0.27895999999999999</v>
      </c>
      <c r="O18" s="81">
        <f>SUMIFS('LCIA raw results SC1'!$E:$E,'LCIA raw results SC1'!$D:$D,$A18,'LCIA raw results SC1'!$G:$G,O$2)</f>
        <v>1.753E-2</v>
      </c>
      <c r="P18" s="81">
        <f>SUMIFS('LCIA raw results SC1'!$E:$E,'LCIA raw results SC1'!$D:$D,$A18,'LCIA raw results SC1'!$G:$G,P$2)</f>
        <v>0.40100999999999998</v>
      </c>
      <c r="Q18" s="81">
        <f>SUMIFS('LCIA raw results SC1'!$E:$E,'LCIA raw results SC1'!$D:$D,$A18,'LCIA raw results SC1'!$G:$G,Q$2)</f>
        <v>-0.40329999999999999</v>
      </c>
      <c r="R18" s="81">
        <f>SUMIFS('LCIA raw results SC1'!$E:$E,'LCIA raw results SC1'!$D:$D,$A18,'LCIA raw results SC1'!$G:$G,R$2)</f>
        <v>14.18216</v>
      </c>
      <c r="S18" s="81">
        <f>SUMIFS('LCIA raw results SC1'!$E:$E,'LCIA raw results SC1'!$D:$D,$A18,'LCIA raw results SC1'!$G:$G,S$2)</f>
        <v>0.18361</v>
      </c>
      <c r="T18" s="82">
        <f>SUMIFS('LCIA raw results SC1'!$E:$E,'LCIA raw results SC1'!$D:$D,$A18,'LCIA raw results SC1'!$G:$G,T$2)</f>
        <v>0.43496000000000001</v>
      </c>
    </row>
    <row r="19" spans="1:20" ht="12.5" x14ac:dyDescent="0.25">
      <c r="A19" s="79" t="s">
        <v>327</v>
      </c>
      <c r="B19" s="81" t="s">
        <v>90</v>
      </c>
      <c r="C19" s="80"/>
      <c r="D19" s="81">
        <f>SUMIFS('LCIA raw results SC1'!$E:$E,'LCIA raw results SC1'!$D:$D,$A19,'LCIA raw results SC1'!$G:$G,D$2)</f>
        <v>682.78297999999995</v>
      </c>
      <c r="E19" s="81">
        <f>SUMIFS('LCIA raw results SC1'!$E:$E,'LCIA raw results SC1'!$D:$D,$A19,'LCIA raw results SC1'!$G:$G,E$2)</f>
        <v>4.8000000000000001E-4</v>
      </c>
      <c r="F19" s="81">
        <f>SUMIFS('LCIA raw results SC1'!$E:$E,'LCIA raw results SC1'!$D:$D,$A19,'LCIA raw results SC1'!$G:$G,F$2)</f>
        <v>1.6484099999999999</v>
      </c>
      <c r="G19" s="81">
        <f>SUMIFS('LCIA raw results SC1'!$E:$E,'LCIA raw results SC1'!$D:$D,$A19,'LCIA raw results SC1'!$G:$G,G$2)</f>
        <v>1.54267</v>
      </c>
      <c r="H19" s="81">
        <f>SUMIFS('LCIA raw results SC1'!$E:$E,'LCIA raw results SC1'!$D:$D,$A19,'LCIA raw results SC1'!$G:$G,H$2)</f>
        <v>48.54139</v>
      </c>
      <c r="I19" s="81">
        <f>SUMIFS('LCIA raw results SC1'!$E:$E,'LCIA raw results SC1'!$D:$D,$A19,'LCIA raw results SC1'!$G:$G,I$2)</f>
        <v>126.09865000000001</v>
      </c>
      <c r="J19" s="81">
        <f>SUMIFS('LCIA raw results SC1'!$E:$E,'LCIA raw results SC1'!$D:$D,$A19,'LCIA raw results SC1'!$G:$G,J$2)</f>
        <v>412.50819000000001</v>
      </c>
      <c r="K19" s="81">
        <f>SUMIFS('LCIA raw results SC1'!$E:$E,'LCIA raw results SC1'!$D:$D,$A19,'LCIA raw results SC1'!$G:$G,K$2)</f>
        <v>18.510549999999999</v>
      </c>
      <c r="L19" s="81">
        <f>SUMIFS('LCIA raw results SC1'!$E:$E,'LCIA raw results SC1'!$D:$D,$A19,'LCIA raw results SC1'!$G:$G,L$2)</f>
        <v>25.736139999999999</v>
      </c>
      <c r="M19" s="81">
        <f>SUMIFS('LCIA raw results SC1'!$E:$E,'LCIA raw results SC1'!$D:$D,$A19,'LCIA raw results SC1'!$G:$G,M$2)</f>
        <v>1189.07608</v>
      </c>
      <c r="N19" s="81">
        <f>SUMIFS('LCIA raw results SC1'!$E:$E,'LCIA raw results SC1'!$D:$D,$A19,'LCIA raw results SC1'!$G:$G,N$2)</f>
        <v>2.4156399999999998</v>
      </c>
      <c r="O19" s="81">
        <f>SUMIFS('LCIA raw results SC1'!$E:$E,'LCIA raw results SC1'!$D:$D,$A19,'LCIA raw results SC1'!$G:$G,O$2)</f>
        <v>0.30786999999999998</v>
      </c>
      <c r="P19" s="81">
        <f>SUMIFS('LCIA raw results SC1'!$E:$E,'LCIA raw results SC1'!$D:$D,$A19,'LCIA raw results SC1'!$G:$G,P$2)</f>
        <v>2.3820000000000001E-2</v>
      </c>
      <c r="Q19" s="81">
        <f>SUMIFS('LCIA raw results SC1'!$E:$E,'LCIA raw results SC1'!$D:$D,$A19,'LCIA raw results SC1'!$G:$G,Q$2)</f>
        <v>3.3279399999999999</v>
      </c>
      <c r="R19" s="81">
        <f>SUMIFS('LCIA raw results SC1'!$E:$E,'LCIA raw results SC1'!$D:$D,$A19,'LCIA raw results SC1'!$G:$G,R$2)</f>
        <v>168.07948999999999</v>
      </c>
      <c r="S19" s="81">
        <f>SUMIFS('LCIA raw results SC1'!$E:$E,'LCIA raw results SC1'!$D:$D,$A19,'LCIA raw results SC1'!$G:$G,S$2)</f>
        <v>4.0563799999999999</v>
      </c>
      <c r="T19" s="82">
        <f>SUMIFS('LCIA raw results SC1'!$E:$E,'LCIA raw results SC1'!$D:$D,$A19,'LCIA raw results SC1'!$G:$G,T$2)</f>
        <v>962.05060000000003</v>
      </c>
    </row>
    <row r="20" spans="1:20" ht="12.5" x14ac:dyDescent="0.25">
      <c r="A20" s="79" t="s">
        <v>329</v>
      </c>
      <c r="B20" s="81" t="s">
        <v>90</v>
      </c>
      <c r="C20" s="80"/>
      <c r="D20" s="81">
        <f>SUMIFS('LCIA raw results SC1'!$E:$E,'LCIA raw results SC1'!$D:$D,$A20,'LCIA raw results SC1'!$G:$G,D$2)</f>
        <v>294.28773999999999</v>
      </c>
      <c r="E20" s="81">
        <f>SUMIFS('LCIA raw results SC1'!$E:$E,'LCIA raw results SC1'!$D:$D,$A20,'LCIA raw results SC1'!$G:$G,E$2)</f>
        <v>8.3367800000000005E-5</v>
      </c>
      <c r="F20" s="81">
        <f>SUMIFS('LCIA raw results SC1'!$E:$E,'LCIA raw results SC1'!$D:$D,$A20,'LCIA raw results SC1'!$G:$G,F$2)</f>
        <v>0.75900000000000001</v>
      </c>
      <c r="G20" s="81">
        <f>SUMIFS('LCIA raw results SC1'!$E:$E,'LCIA raw results SC1'!$D:$D,$A20,'LCIA raw results SC1'!$G:$G,G$2)</f>
        <v>0.52337</v>
      </c>
      <c r="H20" s="81">
        <f>SUMIFS('LCIA raw results SC1'!$E:$E,'LCIA raw results SC1'!$D:$D,$A20,'LCIA raw results SC1'!$G:$G,H$2)</f>
        <v>9.5775900000000007</v>
      </c>
      <c r="I20" s="81">
        <f>SUMIFS('LCIA raw results SC1'!$E:$E,'LCIA raw results SC1'!$D:$D,$A20,'LCIA raw results SC1'!$G:$G,I$2)</f>
        <v>40.21275</v>
      </c>
      <c r="J20" s="81">
        <f>SUMIFS('LCIA raw results SC1'!$E:$E,'LCIA raw results SC1'!$D:$D,$A20,'LCIA raw results SC1'!$G:$G,J$2)</f>
        <v>374.38931000000002</v>
      </c>
      <c r="K20" s="81">
        <f>SUMIFS('LCIA raw results SC1'!$E:$E,'LCIA raw results SC1'!$D:$D,$A20,'LCIA raw results SC1'!$G:$G,K$2)</f>
        <v>14.29623</v>
      </c>
      <c r="L20" s="81">
        <f>SUMIFS('LCIA raw results SC1'!$E:$E,'LCIA raw results SC1'!$D:$D,$A20,'LCIA raw results SC1'!$G:$G,L$2)</f>
        <v>20.169090000000001</v>
      </c>
      <c r="M20" s="81">
        <f>SUMIFS('LCIA raw results SC1'!$E:$E,'LCIA raw results SC1'!$D:$D,$A20,'LCIA raw results SC1'!$G:$G,M$2)</f>
        <v>1527.08537</v>
      </c>
      <c r="N20" s="81">
        <f>SUMIFS('LCIA raw results SC1'!$E:$E,'LCIA raw results SC1'!$D:$D,$A20,'LCIA raw results SC1'!$G:$G,N$2)</f>
        <v>0.83755000000000002</v>
      </c>
      <c r="O20" s="81">
        <f>SUMIFS('LCIA raw results SC1'!$E:$E,'LCIA raw results SC1'!$D:$D,$A20,'LCIA raw results SC1'!$G:$G,O$2)</f>
        <v>9.0469999999999995E-2</v>
      </c>
      <c r="P20" s="81">
        <f>SUMIFS('LCIA raw results SC1'!$E:$E,'LCIA raw results SC1'!$D:$D,$A20,'LCIA raw results SC1'!$G:$G,P$2)</f>
        <v>1.2760000000000001E-2</v>
      </c>
      <c r="Q20" s="81">
        <f>SUMIFS('LCIA raw results SC1'!$E:$E,'LCIA raw results SC1'!$D:$D,$A20,'LCIA raw results SC1'!$G:$G,Q$2)</f>
        <v>2.3839199999999998</v>
      </c>
      <c r="R20" s="81">
        <f>SUMIFS('LCIA raw results SC1'!$E:$E,'LCIA raw results SC1'!$D:$D,$A20,'LCIA raw results SC1'!$G:$G,R$2)</f>
        <v>62.634740000000001</v>
      </c>
      <c r="S20" s="81">
        <f>SUMIFS('LCIA raw results SC1'!$E:$E,'LCIA raw results SC1'!$D:$D,$A20,'LCIA raw results SC1'!$G:$G,S$2)</f>
        <v>6.0034000000000001</v>
      </c>
      <c r="T20" s="82">
        <f>SUMIFS('LCIA raw results SC1'!$E:$E,'LCIA raw results SC1'!$D:$D,$A20,'LCIA raw results SC1'!$G:$G,T$2)</f>
        <v>-860.58356000000003</v>
      </c>
    </row>
    <row r="21" spans="1:20" ht="12.5" x14ac:dyDescent="0.25">
      <c r="A21" s="79" t="s">
        <v>331</v>
      </c>
      <c r="B21" s="81" t="s">
        <v>100</v>
      </c>
      <c r="C21" s="80"/>
      <c r="D21" s="81">
        <f>SUMIFS('LCIA raw results SC1'!$E:$E,'LCIA raw results SC1'!$D:$D,$A21,'LCIA raw results SC1'!$G:$G,D$2)</f>
        <v>209.72958</v>
      </c>
      <c r="E21" s="81">
        <f>SUMIFS('LCIA raw results SC1'!$E:$E,'LCIA raw results SC1'!$D:$D,$A21,'LCIA raw results SC1'!$G:$G,E$2)</f>
        <v>3.8002500000000002E-6</v>
      </c>
      <c r="F21" s="81">
        <f>SUMIFS('LCIA raw results SC1'!$E:$E,'LCIA raw results SC1'!$D:$D,$A21,'LCIA raw results SC1'!$G:$G,F$2)</f>
        <v>0.43021999999999999</v>
      </c>
      <c r="G21" s="81">
        <f>SUMIFS('LCIA raw results SC1'!$E:$E,'LCIA raw results SC1'!$D:$D,$A21,'LCIA raw results SC1'!$G:$G,G$2)</f>
        <v>0.16983999999999999</v>
      </c>
      <c r="H21" s="81">
        <f>SUMIFS('LCIA raw results SC1'!$E:$E,'LCIA raw results SC1'!$D:$D,$A21,'LCIA raw results SC1'!$G:$G,H$2)</f>
        <v>0.22564000000000001</v>
      </c>
      <c r="I21" s="81">
        <f>SUMIFS('LCIA raw results SC1'!$E:$E,'LCIA raw results SC1'!$D:$D,$A21,'LCIA raw results SC1'!$G:$G,I$2)</f>
        <v>3.714</v>
      </c>
      <c r="J21" s="81">
        <f>SUMIFS('LCIA raw results SC1'!$E:$E,'LCIA raw results SC1'!$D:$D,$A21,'LCIA raw results SC1'!$G:$G,J$2)</f>
        <v>13.907260000000001</v>
      </c>
      <c r="K21" s="81">
        <f>SUMIFS('LCIA raw results SC1'!$E:$E,'LCIA raw results SC1'!$D:$D,$A21,'LCIA raw results SC1'!$G:$G,K$2)</f>
        <v>0.51490999999999998</v>
      </c>
      <c r="L21" s="81">
        <f>SUMIFS('LCIA raw results SC1'!$E:$E,'LCIA raw results SC1'!$D:$D,$A21,'LCIA raw results SC1'!$G:$G,L$2)</f>
        <v>0.74602999999999997</v>
      </c>
      <c r="M21" s="81">
        <f>SUMIFS('LCIA raw results SC1'!$E:$E,'LCIA raw results SC1'!$D:$D,$A21,'LCIA raw results SC1'!$G:$G,M$2)</f>
        <v>90.006429999999995</v>
      </c>
      <c r="N21" s="81">
        <f>SUMIFS('LCIA raw results SC1'!$E:$E,'LCIA raw results SC1'!$D:$D,$A21,'LCIA raw results SC1'!$G:$G,N$2)</f>
        <v>0.51422999999999996</v>
      </c>
      <c r="O21" s="81">
        <f>SUMIFS('LCIA raw results SC1'!$E:$E,'LCIA raw results SC1'!$D:$D,$A21,'LCIA raw results SC1'!$G:$G,O$2)</f>
        <v>7.1799999999999998E-3</v>
      </c>
      <c r="P21" s="81">
        <f>SUMIFS('LCIA raw results SC1'!$E:$E,'LCIA raw results SC1'!$D:$D,$A21,'LCIA raw results SC1'!$G:$G,P$2)</f>
        <v>1.06E-3</v>
      </c>
      <c r="Q21" s="81">
        <f>SUMIFS('LCIA raw results SC1'!$E:$E,'LCIA raw results SC1'!$D:$D,$A21,'LCIA raw results SC1'!$G:$G,Q$2)</f>
        <v>0.27743000000000001</v>
      </c>
      <c r="R21" s="81">
        <f>SUMIFS('LCIA raw results SC1'!$E:$E,'LCIA raw results SC1'!$D:$D,$A21,'LCIA raw results SC1'!$G:$G,R$2)</f>
        <v>150.37545</v>
      </c>
      <c r="S21" s="81">
        <f>SUMIFS('LCIA raw results SC1'!$E:$E,'LCIA raw results SC1'!$D:$D,$A21,'LCIA raw results SC1'!$G:$G,S$2)</f>
        <v>4.0730000000000002E-2</v>
      </c>
      <c r="T21" s="82">
        <f>SUMIFS('LCIA raw results SC1'!$E:$E,'LCIA raw results SC1'!$D:$D,$A21,'LCIA raw results SC1'!$G:$G,T$2)</f>
        <v>1.51905</v>
      </c>
    </row>
    <row r="22" spans="1:20" ht="12.5" x14ac:dyDescent="0.25">
      <c r="A22" s="79" t="s">
        <v>333</v>
      </c>
      <c r="B22" s="81" t="s">
        <v>819</v>
      </c>
      <c r="C22" s="80"/>
      <c r="D22" s="81">
        <f>SUMIFS('LCIA raw results SC1'!$E:$E,'LCIA raw results SC1'!$D:$D,$A22,'LCIA raw results SC1'!$G:$G,D$2)</f>
        <v>157.45057</v>
      </c>
      <c r="E22" s="81">
        <f>SUMIFS('LCIA raw results SC1'!$E:$E,'LCIA raw results SC1'!$D:$D,$A22,'LCIA raw results SC1'!$G:$G,E$2)</f>
        <v>1.22363E-5</v>
      </c>
      <c r="F22" s="81">
        <f>SUMIFS('LCIA raw results SC1'!$E:$E,'LCIA raw results SC1'!$D:$D,$A22,'LCIA raw results SC1'!$G:$G,F$2)</f>
        <v>3.2419999999999997E-2</v>
      </c>
      <c r="G22" s="81">
        <f>SUMIFS('LCIA raw results SC1'!$E:$E,'LCIA raw results SC1'!$D:$D,$A22,'LCIA raw results SC1'!$G:$G,G$2)</f>
        <v>6.3499999999999997E-3</v>
      </c>
      <c r="H22" s="81">
        <f>SUMIFS('LCIA raw results SC1'!$E:$E,'LCIA raw results SC1'!$D:$D,$A22,'LCIA raw results SC1'!$G:$G,H$2)</f>
        <v>5.3850000000000002E-2</v>
      </c>
      <c r="I22" s="81">
        <f>SUMIFS('LCIA raw results SC1'!$E:$E,'LCIA raw results SC1'!$D:$D,$A22,'LCIA raw results SC1'!$G:$G,I$2)</f>
        <v>0.71333000000000002</v>
      </c>
      <c r="J22" s="81">
        <f>SUMIFS('LCIA raw results SC1'!$E:$E,'LCIA raw results SC1'!$D:$D,$A22,'LCIA raw results SC1'!$G:$G,J$2)</f>
        <v>165.39174</v>
      </c>
      <c r="K22" s="81">
        <f>SUMIFS('LCIA raw results SC1'!$E:$E,'LCIA raw results SC1'!$D:$D,$A22,'LCIA raw results SC1'!$G:$G,K$2)</f>
        <v>16.265429999999999</v>
      </c>
      <c r="L22" s="81">
        <f>SUMIFS('LCIA raw results SC1'!$E:$E,'LCIA raw results SC1'!$D:$D,$A22,'LCIA raw results SC1'!$G:$G,L$2)</f>
        <v>23.256789999999999</v>
      </c>
      <c r="M22" s="81">
        <f>SUMIFS('LCIA raw results SC1'!$E:$E,'LCIA raw results SC1'!$D:$D,$A22,'LCIA raw results SC1'!$G:$G,M$2)</f>
        <v>466.24574999999999</v>
      </c>
      <c r="N22" s="81">
        <f>SUMIFS('LCIA raw results SC1'!$E:$E,'LCIA raw results SC1'!$D:$D,$A22,'LCIA raw results SC1'!$G:$G,N$2)</f>
        <v>1.5859999999999999E-2</v>
      </c>
      <c r="O22" s="81">
        <f>SUMIFS('LCIA raw results SC1'!$E:$E,'LCIA raw results SC1'!$D:$D,$A22,'LCIA raw results SC1'!$G:$G,O$2)</f>
        <v>3.3E-4</v>
      </c>
      <c r="P22" s="81">
        <f>SUMIFS('LCIA raw results SC1'!$E:$E,'LCIA raw results SC1'!$D:$D,$A22,'LCIA raw results SC1'!$G:$G,P$2)</f>
        <v>4.2399999999999998E-3</v>
      </c>
      <c r="Q22" s="81">
        <f>SUMIFS('LCIA raw results SC1'!$E:$E,'LCIA raw results SC1'!$D:$D,$A22,'LCIA raw results SC1'!$G:$G,Q$2)</f>
        <v>0.15203</v>
      </c>
      <c r="R22" s="81">
        <f>SUMIFS('LCIA raw results SC1'!$E:$E,'LCIA raw results SC1'!$D:$D,$A22,'LCIA raw results SC1'!$G:$G,R$2)</f>
        <v>0.90466999999999997</v>
      </c>
      <c r="S22" s="81">
        <f>SUMIFS('LCIA raw results SC1'!$E:$E,'LCIA raw results SC1'!$D:$D,$A22,'LCIA raw results SC1'!$G:$G,S$2)</f>
        <v>1.2319999999999999E-2</v>
      </c>
      <c r="T22" s="82">
        <f>SUMIFS('LCIA raw results SC1'!$E:$E,'LCIA raw results SC1'!$D:$D,$A22,'LCIA raw results SC1'!$G:$G,T$2)</f>
        <v>2.2589999999999999E-2</v>
      </c>
    </row>
    <row r="23" spans="1:20" ht="12.5" x14ac:dyDescent="0.25">
      <c r="A23" s="79" t="s">
        <v>335</v>
      </c>
      <c r="B23" s="81" t="s">
        <v>100</v>
      </c>
      <c r="C23" s="80"/>
      <c r="D23" s="81">
        <f>SUMIFS('LCIA raw results SC1'!$E:$E,'LCIA raw results SC1'!$D:$D,$A23,'LCIA raw results SC1'!$G:$G,D$2)</f>
        <v>80.689639999999997</v>
      </c>
      <c r="E23" s="81">
        <f>SUMIFS('LCIA raw results SC1'!$E:$E,'LCIA raw results SC1'!$D:$D,$A23,'LCIA raw results SC1'!$G:$G,E$2)</f>
        <v>2.85748E-5</v>
      </c>
      <c r="F23" s="81">
        <f>SUMIFS('LCIA raw results SC1'!$E:$E,'LCIA raw results SC1'!$D:$D,$A23,'LCIA raw results SC1'!$G:$G,F$2)</f>
        <v>0.39228000000000002</v>
      </c>
      <c r="G23" s="81">
        <f>SUMIFS('LCIA raw results SC1'!$E:$E,'LCIA raw results SC1'!$D:$D,$A23,'LCIA raw results SC1'!$G:$G,G$2)</f>
        <v>0.17422000000000001</v>
      </c>
      <c r="H23" s="81">
        <f>SUMIFS('LCIA raw results SC1'!$E:$E,'LCIA raw results SC1'!$D:$D,$A23,'LCIA raw results SC1'!$G:$G,H$2)</f>
        <v>9.3525299999999998</v>
      </c>
      <c r="I23" s="81">
        <f>SUMIFS('LCIA raw results SC1'!$E:$E,'LCIA raw results SC1'!$D:$D,$A23,'LCIA raw results SC1'!$G:$G,I$2)</f>
        <v>2.7955399999999999</v>
      </c>
      <c r="J23" s="81">
        <f>SUMIFS('LCIA raw results SC1'!$E:$E,'LCIA raw results SC1'!$D:$D,$A23,'LCIA raw results SC1'!$G:$G,J$2)</f>
        <v>40.075159999999997</v>
      </c>
      <c r="K23" s="81">
        <f>SUMIFS('LCIA raw results SC1'!$E:$E,'LCIA raw results SC1'!$D:$D,$A23,'LCIA raw results SC1'!$G:$G,K$2)</f>
        <v>1.6061399999999999</v>
      </c>
      <c r="L23" s="81">
        <f>SUMIFS('LCIA raw results SC1'!$E:$E,'LCIA raw results SC1'!$D:$D,$A23,'LCIA raw results SC1'!$G:$G,L$2)</f>
        <v>2.2093099999999999</v>
      </c>
      <c r="M23" s="81">
        <f>SUMIFS('LCIA raw results SC1'!$E:$E,'LCIA raw results SC1'!$D:$D,$A23,'LCIA raw results SC1'!$G:$G,M$2)</f>
        <v>76.282899999999998</v>
      </c>
      <c r="N23" s="81">
        <f>SUMIFS('LCIA raw results SC1'!$E:$E,'LCIA raw results SC1'!$D:$D,$A23,'LCIA raw results SC1'!$G:$G,N$2)</f>
        <v>0.35132999999999998</v>
      </c>
      <c r="O23" s="81">
        <f>SUMIFS('LCIA raw results SC1'!$E:$E,'LCIA raw results SC1'!$D:$D,$A23,'LCIA raw results SC1'!$G:$G,O$2)</f>
        <v>4.011E-2</v>
      </c>
      <c r="P23" s="81">
        <f>SUMIFS('LCIA raw results SC1'!$E:$E,'LCIA raw results SC1'!$D:$D,$A23,'LCIA raw results SC1'!$G:$G,P$2)</f>
        <v>2.7499999999999998E-3</v>
      </c>
      <c r="Q23" s="81">
        <f>SUMIFS('LCIA raw results SC1'!$E:$E,'LCIA raw results SC1'!$D:$D,$A23,'LCIA raw results SC1'!$G:$G,Q$2)</f>
        <v>0.31757000000000002</v>
      </c>
      <c r="R23" s="81">
        <f>SUMIFS('LCIA raw results SC1'!$E:$E,'LCIA raw results SC1'!$D:$D,$A23,'LCIA raw results SC1'!$G:$G,R$2)</f>
        <v>18.884209999999999</v>
      </c>
      <c r="S23" s="81">
        <f>SUMIFS('LCIA raw results SC1'!$E:$E,'LCIA raw results SC1'!$D:$D,$A23,'LCIA raw results SC1'!$G:$G,S$2)</f>
        <v>4.5330000000000002E-2</v>
      </c>
      <c r="T23" s="82">
        <f>SUMIFS('LCIA raw results SC1'!$E:$E,'LCIA raw results SC1'!$D:$D,$A23,'LCIA raw results SC1'!$G:$G,T$2)</f>
        <v>0.50512000000000001</v>
      </c>
    </row>
    <row r="24" spans="1:20" ht="12.5" x14ac:dyDescent="0.25">
      <c r="A24" s="83" t="s">
        <v>337</v>
      </c>
      <c r="B24" s="84" t="s">
        <v>820</v>
      </c>
      <c r="C24" s="85"/>
      <c r="D24" s="84">
        <f>SUMIFS('LCIA raw results SC1'!$H:$H,'LCIA raw results SC1'!$D:$D,$A24,'LCIA raw results SC1'!$G:$G,D$2)</f>
        <v>17875.947717661762</v>
      </c>
      <c r="E24" s="84">
        <f>SUMIFS('LCIA raw results SC1'!$H:$H,'LCIA raw results SC1'!$D:$D,$A24,'LCIA raw results SC1'!$G:$G,E$2)</f>
        <v>3.4733453783823531E-2</v>
      </c>
      <c r="F24" s="84">
        <f>SUMIFS('LCIA raw results SC1'!$H:$H,'LCIA raw results SC1'!$D:$D,$A24,'LCIA raw results SC1'!$G:$G,F$2)</f>
        <v>44.515324955355879</v>
      </c>
      <c r="G24" s="84">
        <f>SUMIFS('LCIA raw results SC1'!$H:$H,'LCIA raw results SC1'!$D:$D,$A24,'LCIA raw results SC1'!$G:$G,G$2)</f>
        <v>38.093530790236763</v>
      </c>
      <c r="H24" s="84">
        <f>SUMIFS('LCIA raw results SC1'!$H:$H,'LCIA raw results SC1'!$D:$D,$A24,'LCIA raw results SC1'!$G:$G,H$2)</f>
        <v>195281.83848970587</v>
      </c>
      <c r="I24" s="84">
        <f>SUMIFS('LCIA raw results SC1'!$H:$H,'LCIA raw results SC1'!$D:$D,$A24,'LCIA raw results SC1'!$G:$G,I$2)</f>
        <v>2166.5881540455816</v>
      </c>
      <c r="J24" s="84">
        <f>SUMIFS('LCIA raw results SC1'!$H:$H,'LCIA raw results SC1'!$D:$D,$A24,'LCIA raw results SC1'!$G:$G,J$2)</f>
        <v>49481.606789999998</v>
      </c>
      <c r="K24" s="84">
        <f>SUMIFS('LCIA raw results SC1'!$H:$H,'LCIA raw results SC1'!$D:$D,$A24,'LCIA raw results SC1'!$G:$G,K$2)</f>
        <v>8094.9461832132356</v>
      </c>
      <c r="L24" s="84">
        <f>SUMIFS('LCIA raw results SC1'!$H:$H,'LCIA raw results SC1'!$D:$D,$A24,'LCIA raw results SC1'!$G:$G,L$2)</f>
        <v>10017.02995835294</v>
      </c>
      <c r="M24" s="84">
        <f>SUMIFS('LCIA raw results SC1'!$H:$H,'LCIA raw results SC1'!$D:$D,$A24,'LCIA raw results SC1'!$G:$G,M$2)</f>
        <v>212296.99415029411</v>
      </c>
      <c r="N24" s="84">
        <f>SUMIFS('LCIA raw results SC1'!$H:$H,'LCIA raw results SC1'!$D:$D,$A24,'LCIA raw results SC1'!$G:$G,N$2)</f>
        <v>87.575163595021323</v>
      </c>
      <c r="O24" s="84">
        <f>SUMIFS('LCIA raw results SC1'!$H:$H,'LCIA raw results SC1'!$D:$D,$A24,'LCIA raw results SC1'!$G:$G,O$2)</f>
        <v>12.628137600919851</v>
      </c>
      <c r="P24" s="84">
        <f>SUMIFS('LCIA raw results SC1'!$H:$H,'LCIA raw results SC1'!$D:$D,$A24,'LCIA raw results SC1'!$G:$G,P$2)</f>
        <v>4.2226529344279413</v>
      </c>
      <c r="Q24" s="84">
        <f>SUMIFS('LCIA raw results SC1'!$H:$H,'LCIA raw results SC1'!$D:$D,$A24,'LCIA raw results SC1'!$G:$G,Q$2)</f>
        <v>124.48217492712131</v>
      </c>
      <c r="R24" s="84">
        <f>SUMIFS('LCIA raw results SC1'!$H:$H,'LCIA raw results SC1'!$D:$D,$A24,'LCIA raw results SC1'!$G:$G,R$2)</f>
        <v>4615.8032242720583</v>
      </c>
      <c r="S24" s="84">
        <f>SUMIFS('LCIA raw results SC1'!$H:$H,'LCIA raw results SC1'!$D:$D,$A24,'LCIA raw results SC1'!$G:$G,S$2)</f>
        <v>332.4020403522772</v>
      </c>
      <c r="T24" s="86">
        <f>SUMIFS('LCIA raw results SC1'!$H:$H,'LCIA raw results SC1'!$D:$D,$A24,'LCIA raw results SC1'!$G:$G,T$2)</f>
        <v>1092.7005009653712</v>
      </c>
    </row>
    <row r="25" spans="1:20" s="1" customFormat="1" ht="12.5" x14ac:dyDescent="0.25">
      <c r="A25" s="74"/>
      <c r="B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</row>
    <row r="26" spans="1:20" ht="15.75" customHeight="1" x14ac:dyDescent="0.3">
      <c r="B26" s="265" t="s">
        <v>821</v>
      </c>
    </row>
    <row r="27" spans="1:20" ht="13" x14ac:dyDescent="0.3">
      <c r="B27" s="76" t="s">
        <v>815</v>
      </c>
      <c r="C27" s="77"/>
      <c r="D27" s="77" t="s">
        <v>295</v>
      </c>
      <c r="E27" s="77" t="s">
        <v>822</v>
      </c>
      <c r="F27" s="77" t="s">
        <v>494</v>
      </c>
      <c r="G27" s="77" t="s">
        <v>339</v>
      </c>
      <c r="H27" s="77" t="s">
        <v>430</v>
      </c>
      <c r="I27" s="77" t="s">
        <v>403</v>
      </c>
      <c r="J27" s="77" t="s">
        <v>417</v>
      </c>
      <c r="K27" s="77" t="s">
        <v>377</v>
      </c>
      <c r="L27" s="77" t="s">
        <v>455</v>
      </c>
      <c r="M27" s="77" t="s">
        <v>536</v>
      </c>
      <c r="N27" s="77" t="s">
        <v>524</v>
      </c>
      <c r="O27" s="77" t="s">
        <v>390</v>
      </c>
      <c r="P27" s="77" t="s">
        <v>468</v>
      </c>
      <c r="Q27" s="77" t="s">
        <v>442</v>
      </c>
      <c r="R27" s="77" t="s">
        <v>359</v>
      </c>
      <c r="S27" s="77" t="s">
        <v>482</v>
      </c>
      <c r="T27" s="78" t="s">
        <v>548</v>
      </c>
    </row>
    <row r="28" spans="1:20" ht="12.5" x14ac:dyDescent="0.25">
      <c r="B28" s="79" t="s">
        <v>0</v>
      </c>
      <c r="C28" s="80"/>
      <c r="D28" s="81">
        <f t="shared" ref="D28:T34" si="1">SUMIF($B$5:$B$24,$B28,D$5:D$24)</f>
        <v>148902.66798999999</v>
      </c>
      <c r="E28" s="81">
        <f t="shared" si="1"/>
        <v>9.218999999999998E-2</v>
      </c>
      <c r="F28" s="81">
        <f t="shared" si="1"/>
        <v>493.96915000000001</v>
      </c>
      <c r="G28" s="81">
        <f t="shared" si="1"/>
        <v>416.27496999999994</v>
      </c>
      <c r="H28" s="81">
        <f t="shared" si="1"/>
        <v>14986.907360000001</v>
      </c>
      <c r="I28" s="81">
        <f t="shared" si="1"/>
        <v>22390.019700000004</v>
      </c>
      <c r="J28" s="81">
        <f t="shared" si="1"/>
        <v>2528811.2000000002</v>
      </c>
      <c r="K28" s="81">
        <f t="shared" si="1"/>
        <v>73553.957170000009</v>
      </c>
      <c r="L28" s="81">
        <f t="shared" si="1"/>
        <v>105464.62742</v>
      </c>
      <c r="M28" s="81">
        <f t="shared" si="1"/>
        <v>1681299.5</v>
      </c>
      <c r="N28" s="81">
        <f t="shared" si="1"/>
        <v>889.24887000000001</v>
      </c>
      <c r="O28" s="81">
        <f t="shared" si="1"/>
        <v>453.11275999999998</v>
      </c>
      <c r="P28" s="81">
        <f t="shared" si="1"/>
        <v>13.584549999999997</v>
      </c>
      <c r="Q28" s="81">
        <f t="shared" si="1"/>
        <v>2770.3398500000003</v>
      </c>
      <c r="R28" s="81">
        <f t="shared" si="1"/>
        <v>38623.895119999994</v>
      </c>
      <c r="S28" s="81">
        <f t="shared" si="1"/>
        <v>5289.1608699999997</v>
      </c>
      <c r="T28" s="82">
        <f t="shared" si="1"/>
        <v>1338.8085699999999</v>
      </c>
    </row>
    <row r="29" spans="1:20" ht="12.5" x14ac:dyDescent="0.25">
      <c r="B29" s="79" t="s">
        <v>61</v>
      </c>
      <c r="C29" s="80"/>
      <c r="D29" s="81">
        <f t="shared" si="1"/>
        <v>16845.3</v>
      </c>
      <c r="E29" s="81">
        <f t="shared" si="1"/>
        <v>7.5199999999999998E-3</v>
      </c>
      <c r="F29" s="81">
        <f t="shared" si="1"/>
        <v>45.687660000000001</v>
      </c>
      <c r="G29" s="81">
        <f t="shared" si="1"/>
        <v>46.822240000000001</v>
      </c>
      <c r="H29" s="81">
        <f t="shared" si="1"/>
        <v>1177.07583</v>
      </c>
      <c r="I29" s="81">
        <f t="shared" si="1"/>
        <v>6446.1836000000003</v>
      </c>
      <c r="J29" s="81">
        <f t="shared" si="1"/>
        <v>110763</v>
      </c>
      <c r="K29" s="81">
        <f t="shared" si="1"/>
        <v>3238.2011900000002</v>
      </c>
      <c r="L29" s="81">
        <f t="shared" si="1"/>
        <v>4664.7911000000004</v>
      </c>
      <c r="M29" s="81">
        <f t="shared" si="1"/>
        <v>389528</v>
      </c>
      <c r="N29" s="81">
        <f t="shared" si="1"/>
        <v>103.60393000000001</v>
      </c>
      <c r="O29" s="81">
        <f t="shared" si="1"/>
        <v>20.554410000000001</v>
      </c>
      <c r="P29" s="81">
        <f t="shared" si="1"/>
        <v>1.1837599999999999</v>
      </c>
      <c r="Q29" s="81">
        <f t="shared" si="1"/>
        <v>126.83839999999999</v>
      </c>
      <c r="R29" s="81">
        <f t="shared" si="1"/>
        <v>4300.86121</v>
      </c>
      <c r="S29" s="81">
        <f t="shared" si="1"/>
        <v>569.38449000000003</v>
      </c>
      <c r="T29" s="82">
        <f t="shared" si="1"/>
        <v>202.63943</v>
      </c>
    </row>
    <row r="30" spans="1:20" ht="12.5" x14ac:dyDescent="0.25">
      <c r="B30" s="79" t="s">
        <v>90</v>
      </c>
      <c r="C30" s="80"/>
      <c r="D30" s="81">
        <f t="shared" si="1"/>
        <v>2732.1098299999994</v>
      </c>
      <c r="E30" s="81">
        <f t="shared" si="1"/>
        <v>9.3336780000000011E-4</v>
      </c>
      <c r="F30" s="81">
        <f t="shared" si="1"/>
        <v>7.2642400000000009</v>
      </c>
      <c r="G30" s="81">
        <f t="shared" si="1"/>
        <v>4.7451699999999999</v>
      </c>
      <c r="H30" s="81">
        <f t="shared" si="1"/>
        <v>85.458259999999996</v>
      </c>
      <c r="I30" s="81">
        <f t="shared" si="1"/>
        <v>215.47778</v>
      </c>
      <c r="J30" s="81">
        <f t="shared" si="1"/>
        <v>1193.19642</v>
      </c>
      <c r="K30" s="81">
        <f t="shared" si="1"/>
        <v>54.826830000000001</v>
      </c>
      <c r="L30" s="81">
        <f t="shared" si="1"/>
        <v>75.663889999999995</v>
      </c>
      <c r="M30" s="81">
        <f t="shared" si="1"/>
        <v>3713.5814200000004</v>
      </c>
      <c r="N30" s="81">
        <f t="shared" si="1"/>
        <v>9.2352899999999991</v>
      </c>
      <c r="O30" s="81">
        <f t="shared" si="1"/>
        <v>0.7222900000000001</v>
      </c>
      <c r="P30" s="81">
        <f t="shared" si="1"/>
        <v>5.6840000000000002E-2</v>
      </c>
      <c r="Q30" s="81">
        <f t="shared" si="1"/>
        <v>16.543469999999999</v>
      </c>
      <c r="R30" s="81">
        <f t="shared" si="1"/>
        <v>571.80619999999999</v>
      </c>
      <c r="S30" s="81">
        <f t="shared" si="1"/>
        <v>10.63508</v>
      </c>
      <c r="T30" s="82">
        <f t="shared" si="1"/>
        <v>105.75145999999995</v>
      </c>
    </row>
    <row r="31" spans="1:20" ht="12.5" x14ac:dyDescent="0.25">
      <c r="B31" s="79" t="s">
        <v>100</v>
      </c>
      <c r="C31" s="80"/>
      <c r="D31" s="81">
        <f t="shared" si="1"/>
        <v>1203.55754</v>
      </c>
      <c r="E31" s="81">
        <f t="shared" si="1"/>
        <v>1.07237505E-3</v>
      </c>
      <c r="F31" s="81">
        <f t="shared" si="1"/>
        <v>3.3648799999999999</v>
      </c>
      <c r="G31" s="81">
        <f t="shared" si="1"/>
        <v>1.8847400000000001</v>
      </c>
      <c r="H31" s="81">
        <f t="shared" si="1"/>
        <v>50.692219999999999</v>
      </c>
      <c r="I31" s="81">
        <f t="shared" si="1"/>
        <v>44.850880000000004</v>
      </c>
      <c r="J31" s="81">
        <f t="shared" si="1"/>
        <v>1209.24028</v>
      </c>
      <c r="K31" s="81">
        <f t="shared" si="1"/>
        <v>38.097700000000003</v>
      </c>
      <c r="L31" s="81">
        <f t="shared" si="1"/>
        <v>53.705379999999998</v>
      </c>
      <c r="M31" s="81">
        <f t="shared" si="1"/>
        <v>3928.3225900000002</v>
      </c>
      <c r="N31" s="81">
        <f t="shared" si="1"/>
        <v>3.9779999999999998</v>
      </c>
      <c r="O31" s="81">
        <f t="shared" si="1"/>
        <v>0.46327000000000002</v>
      </c>
      <c r="P31" s="81">
        <f t="shared" si="1"/>
        <v>0.26494999999999996</v>
      </c>
      <c r="Q31" s="81">
        <f t="shared" si="1"/>
        <v>11.832740000000001</v>
      </c>
      <c r="R31" s="81">
        <f t="shared" si="1"/>
        <v>429.32337000000001</v>
      </c>
      <c r="S31" s="81">
        <f t="shared" si="1"/>
        <v>3.66553</v>
      </c>
      <c r="T31" s="82">
        <f t="shared" si="1"/>
        <v>9.10867</v>
      </c>
    </row>
    <row r="32" spans="1:20" ht="12.5" x14ac:dyDescent="0.25">
      <c r="B32" s="79" t="s">
        <v>108</v>
      </c>
      <c r="C32" s="80"/>
      <c r="D32" s="81">
        <f t="shared" si="1"/>
        <v>3335.3605200000002</v>
      </c>
      <c r="E32" s="81">
        <f t="shared" si="1"/>
        <v>2.1299999999999999E-3</v>
      </c>
      <c r="F32" s="81">
        <f t="shared" si="1"/>
        <v>21.513950000000001</v>
      </c>
      <c r="G32" s="81">
        <f t="shared" si="1"/>
        <v>8.6115600000000008</v>
      </c>
      <c r="H32" s="81">
        <f t="shared" si="1"/>
        <v>84.440240000000003</v>
      </c>
      <c r="I32" s="81">
        <f t="shared" si="1"/>
        <v>68.148610000000005</v>
      </c>
      <c r="J32" s="81">
        <f t="shared" si="1"/>
        <v>1460.5444400000001</v>
      </c>
      <c r="K32" s="81">
        <f t="shared" si="1"/>
        <v>39.337959999999995</v>
      </c>
      <c r="L32" s="81">
        <f t="shared" si="1"/>
        <v>69.338729999999998</v>
      </c>
      <c r="M32" s="81">
        <f t="shared" si="1"/>
        <v>30826.920480000001</v>
      </c>
      <c r="N32" s="81">
        <f t="shared" si="1"/>
        <v>24.280500000000004</v>
      </c>
      <c r="O32" s="81">
        <f t="shared" si="1"/>
        <v>0.32291000000000003</v>
      </c>
      <c r="P32" s="81">
        <f t="shared" si="1"/>
        <v>2.5579999999999999E-2</v>
      </c>
      <c r="Q32" s="81">
        <f t="shared" si="1"/>
        <v>72.616200000000006</v>
      </c>
      <c r="R32" s="81">
        <f t="shared" si="1"/>
        <v>1121.9485199999999</v>
      </c>
      <c r="S32" s="81">
        <f t="shared" si="1"/>
        <v>5.3553600000000001</v>
      </c>
      <c r="T32" s="82">
        <f t="shared" si="1"/>
        <v>9.4358700000000013</v>
      </c>
    </row>
    <row r="33" spans="2:20" ht="12.5" x14ac:dyDescent="0.25">
      <c r="B33" s="79" t="s">
        <v>819</v>
      </c>
      <c r="C33" s="80"/>
      <c r="D33" s="81">
        <f t="shared" si="1"/>
        <v>3663.9250199999997</v>
      </c>
      <c r="E33" s="81">
        <f t="shared" si="1"/>
        <v>2.2822363000000001E-3</v>
      </c>
      <c r="F33" s="81">
        <f t="shared" si="1"/>
        <v>3.8811499999999999</v>
      </c>
      <c r="G33" s="81">
        <f t="shared" si="1"/>
        <v>2.0513599999999999</v>
      </c>
      <c r="H33" s="81">
        <f t="shared" si="1"/>
        <v>55.801310000000001</v>
      </c>
      <c r="I33" s="81">
        <f t="shared" si="1"/>
        <v>134.65631999999999</v>
      </c>
      <c r="J33" s="81">
        <f t="shared" si="1"/>
        <v>5732.0798299999997</v>
      </c>
      <c r="K33" s="81">
        <f t="shared" si="1"/>
        <v>3230.5977600000001</v>
      </c>
      <c r="L33" s="81">
        <f t="shared" si="1"/>
        <v>3880.2530400000001</v>
      </c>
      <c r="M33" s="81">
        <f t="shared" si="1"/>
        <v>18255.056349999999</v>
      </c>
      <c r="N33" s="81">
        <f t="shared" si="1"/>
        <v>4.6370799999999992</v>
      </c>
      <c r="O33" s="81">
        <f t="shared" si="1"/>
        <v>0.56681000000000015</v>
      </c>
      <c r="P33" s="81">
        <f t="shared" si="1"/>
        <v>0.45907999999999999</v>
      </c>
      <c r="Q33" s="81">
        <f t="shared" si="1"/>
        <v>12.157830000000001</v>
      </c>
      <c r="R33" s="81">
        <f t="shared" si="1"/>
        <v>255.56911000000002</v>
      </c>
      <c r="S33" s="81">
        <f t="shared" si="1"/>
        <v>10.215960000000001</v>
      </c>
      <c r="T33" s="82">
        <f t="shared" si="1"/>
        <v>13.554209999999999</v>
      </c>
    </row>
    <row r="34" spans="2:20" ht="12.5" x14ac:dyDescent="0.25">
      <c r="B34" s="79" t="s">
        <v>820</v>
      </c>
      <c r="C34" s="80"/>
      <c r="D34" s="81">
        <f t="shared" si="1"/>
        <v>17875.947717661762</v>
      </c>
      <c r="E34" s="81">
        <f t="shared" si="1"/>
        <v>3.4733453783823531E-2</v>
      </c>
      <c r="F34" s="81">
        <f t="shared" si="1"/>
        <v>44.515324955355879</v>
      </c>
      <c r="G34" s="81">
        <f t="shared" si="1"/>
        <v>38.093530790236763</v>
      </c>
      <c r="H34" s="81">
        <f t="shared" si="1"/>
        <v>195281.83848970587</v>
      </c>
      <c r="I34" s="81">
        <f t="shared" si="1"/>
        <v>2166.5881540455816</v>
      </c>
      <c r="J34" s="81">
        <f t="shared" si="1"/>
        <v>49481.606789999998</v>
      </c>
      <c r="K34" s="81">
        <f t="shared" si="1"/>
        <v>8094.9461832132356</v>
      </c>
      <c r="L34" s="81">
        <f t="shared" si="1"/>
        <v>10017.02995835294</v>
      </c>
      <c r="M34" s="81">
        <f t="shared" si="1"/>
        <v>212296.99415029411</v>
      </c>
      <c r="N34" s="81">
        <f t="shared" si="1"/>
        <v>87.575163595021323</v>
      </c>
      <c r="O34" s="81">
        <f t="shared" si="1"/>
        <v>12.628137600919851</v>
      </c>
      <c r="P34" s="81">
        <f t="shared" si="1"/>
        <v>4.2226529344279413</v>
      </c>
      <c r="Q34" s="81">
        <f t="shared" si="1"/>
        <v>124.48217492712131</v>
      </c>
      <c r="R34" s="81">
        <f t="shared" si="1"/>
        <v>4615.8032242720583</v>
      </c>
      <c r="S34" s="81">
        <f t="shared" si="1"/>
        <v>332.4020403522772</v>
      </c>
      <c r="T34" s="82">
        <f t="shared" si="1"/>
        <v>1092.7005009653712</v>
      </c>
    </row>
    <row r="35" spans="2:20" ht="15.75" customHeight="1" x14ac:dyDescent="0.25">
      <c r="B35" s="83" t="s">
        <v>823</v>
      </c>
      <c r="C35" s="85"/>
      <c r="D35" s="87">
        <f>D34/SUM(D28:D34)</f>
        <v>9.1879377407311946E-2</v>
      </c>
      <c r="E35" s="87">
        <f t="shared" ref="E35:T35" si="2">E34/SUM(E28:E34)</f>
        <v>0.24657887585270591</v>
      </c>
      <c r="F35" s="87">
        <f t="shared" si="2"/>
        <v>7.1776179591639594E-2</v>
      </c>
      <c r="G35" s="87">
        <f t="shared" si="2"/>
        <v>7.3471046984530761E-2</v>
      </c>
      <c r="H35" s="87">
        <f t="shared" si="2"/>
        <v>0.92234931360324091</v>
      </c>
      <c r="I35" s="87">
        <f t="shared" si="2"/>
        <v>6.8855059910452973E-2</v>
      </c>
      <c r="J35" s="87">
        <f t="shared" si="2"/>
        <v>1.8335682981871576E-2</v>
      </c>
      <c r="K35" s="87">
        <f t="shared" si="2"/>
        <v>9.172747209793522E-2</v>
      </c>
      <c r="L35" s="87">
        <f t="shared" si="2"/>
        <v>8.0635918184459948E-2</v>
      </c>
      <c r="M35" s="87">
        <f t="shared" si="2"/>
        <v>9.0731090278947976E-2</v>
      </c>
      <c r="N35" s="87">
        <f t="shared" si="2"/>
        <v>7.8013874172242523E-2</v>
      </c>
      <c r="O35" s="87">
        <f t="shared" si="2"/>
        <v>2.5857694794755217E-2</v>
      </c>
      <c r="P35" s="87">
        <f t="shared" si="2"/>
        <v>0.21329316857783459</v>
      </c>
      <c r="Q35" s="87">
        <f t="shared" si="2"/>
        <v>3.9709631053591966E-2</v>
      </c>
      <c r="R35" s="87">
        <f t="shared" si="2"/>
        <v>9.246547620424761E-2</v>
      </c>
      <c r="S35" s="87">
        <f t="shared" si="2"/>
        <v>5.3433803925222449E-2</v>
      </c>
      <c r="T35" s="88">
        <f t="shared" si="2"/>
        <v>0.3941922832225378</v>
      </c>
    </row>
    <row r="36" spans="2:20" ht="15.75" customHeight="1" x14ac:dyDescent="0.25">
      <c r="B36" s="288" t="s">
        <v>1027</v>
      </c>
      <c r="C36" s="89"/>
      <c r="D36" s="289">
        <f>D29/SUM(D28:D34)</f>
        <v>8.658202075128027E-2</v>
      </c>
      <c r="E36" s="289">
        <f t="shared" ref="E36:T36" si="3">E29/SUM(E28:E34)</f>
        <v>5.3385797967374672E-2</v>
      </c>
      <c r="F36" s="289">
        <f t="shared" si="3"/>
        <v>7.3666443917247429E-2</v>
      </c>
      <c r="G36" s="289">
        <f t="shared" si="3"/>
        <v>9.0306120845134563E-2</v>
      </c>
      <c r="H36" s="289">
        <f t="shared" si="3"/>
        <v>5.5595292027972969E-3</v>
      </c>
      <c r="I36" s="289">
        <f t="shared" si="3"/>
        <v>0.20486235796267604</v>
      </c>
      <c r="J36" s="289">
        <f t="shared" si="3"/>
        <v>4.1043842063178106E-2</v>
      </c>
      <c r="K36" s="289">
        <f t="shared" si="3"/>
        <v>3.6693512542330546E-2</v>
      </c>
      <c r="L36" s="289">
        <f t="shared" si="3"/>
        <v>3.755102211444776E-2</v>
      </c>
      <c r="M36" s="289">
        <f t="shared" si="3"/>
        <v>0.16647574439588025</v>
      </c>
      <c r="N36" s="289">
        <f t="shared" si="3"/>
        <v>9.2292650415663258E-2</v>
      </c>
      <c r="O36" s="289">
        <f t="shared" si="3"/>
        <v>4.2087731165326402E-2</v>
      </c>
      <c r="P36" s="289">
        <f t="shared" si="3"/>
        <v>5.9793671219608047E-2</v>
      </c>
      <c r="Q36" s="289">
        <f t="shared" si="3"/>
        <v>4.0461263392744244E-2</v>
      </c>
      <c r="R36" s="289">
        <f t="shared" si="3"/>
        <v>8.61564413707743E-2</v>
      </c>
      <c r="S36" s="289">
        <f t="shared" si="3"/>
        <v>9.1528858139616864E-2</v>
      </c>
      <c r="T36" s="289">
        <f t="shared" si="3"/>
        <v>7.3102281468749017E-2</v>
      </c>
    </row>
    <row r="37" spans="2:20" ht="13" x14ac:dyDescent="0.3">
      <c r="B37" s="76" t="s">
        <v>824</v>
      </c>
      <c r="C37" s="90"/>
      <c r="D37" s="77" t="s">
        <v>295</v>
      </c>
      <c r="E37" s="77" t="s">
        <v>822</v>
      </c>
      <c r="F37" s="77" t="s">
        <v>494</v>
      </c>
      <c r="G37" s="77" t="s">
        <v>339</v>
      </c>
      <c r="H37" s="77" t="s">
        <v>430</v>
      </c>
      <c r="I37" s="77" t="s">
        <v>403</v>
      </c>
      <c r="J37" s="77" t="s">
        <v>417</v>
      </c>
      <c r="K37" s="77" t="s">
        <v>377</v>
      </c>
      <c r="L37" s="77" t="s">
        <v>455</v>
      </c>
      <c r="M37" s="77" t="s">
        <v>536</v>
      </c>
      <c r="N37" s="77" t="s">
        <v>524</v>
      </c>
      <c r="O37" s="77" t="s">
        <v>390</v>
      </c>
      <c r="P37" s="77" t="s">
        <v>468</v>
      </c>
      <c r="Q37" s="77" t="s">
        <v>442</v>
      </c>
      <c r="R37" s="77" t="s">
        <v>359</v>
      </c>
      <c r="S37" s="77" t="s">
        <v>482</v>
      </c>
      <c r="T37" s="78" t="s">
        <v>548</v>
      </c>
    </row>
    <row r="38" spans="2:20" ht="12.5" x14ac:dyDescent="0.25">
      <c r="B38" s="79" t="s">
        <v>817</v>
      </c>
      <c r="C38" s="80"/>
      <c r="D38" s="81">
        <f t="shared" ref="D38:T43" si="4">SUMIF($C$5:$C$24,$B38,D$5:D$24)</f>
        <v>77002.365420000002</v>
      </c>
      <c r="E38" s="81">
        <f t="shared" si="4"/>
        <v>5.117E-2</v>
      </c>
      <c r="F38" s="81">
        <f t="shared" si="4"/>
        <v>271.61135999999999</v>
      </c>
      <c r="G38" s="81">
        <f t="shared" si="4"/>
        <v>224.68373</v>
      </c>
      <c r="H38" s="81">
        <f t="shared" si="4"/>
        <v>7692.65679</v>
      </c>
      <c r="I38" s="81">
        <f t="shared" si="4"/>
        <v>12577.913840000001</v>
      </c>
      <c r="J38" s="81">
        <f t="shared" si="4"/>
        <v>1724727</v>
      </c>
      <c r="K38" s="81">
        <f t="shared" si="4"/>
        <v>50123.695060000005</v>
      </c>
      <c r="L38" s="81">
        <f t="shared" si="4"/>
        <v>71788.771590000004</v>
      </c>
      <c r="M38" s="81">
        <f t="shared" si="4"/>
        <v>762773</v>
      </c>
      <c r="N38" s="81">
        <f t="shared" si="4"/>
        <v>495.38742999999999</v>
      </c>
      <c r="O38" s="81">
        <f t="shared" si="4"/>
        <v>301.22053999999997</v>
      </c>
      <c r="P38" s="81">
        <f t="shared" si="4"/>
        <v>7.9493399999999994</v>
      </c>
      <c r="Q38" s="81">
        <f t="shared" si="4"/>
        <v>1630.97379</v>
      </c>
      <c r="R38" s="81">
        <f t="shared" si="4"/>
        <v>20009.471160000001</v>
      </c>
      <c r="S38" s="81">
        <f t="shared" si="4"/>
        <v>3039.9127699999999</v>
      </c>
      <c r="T38" s="82">
        <f t="shared" si="4"/>
        <v>679.00304000000006</v>
      </c>
    </row>
    <row r="39" spans="2:20" ht="12.5" x14ac:dyDescent="0.25">
      <c r="B39" s="79" t="s">
        <v>47</v>
      </c>
      <c r="C39" s="80"/>
      <c r="D39" s="81">
        <f t="shared" si="4"/>
        <v>7722.6734299999998</v>
      </c>
      <c r="E39" s="81">
        <f t="shared" si="4"/>
        <v>3.6600000000000001E-3</v>
      </c>
      <c r="F39" s="81">
        <f t="shared" si="4"/>
        <v>19.719059999999999</v>
      </c>
      <c r="G39" s="81">
        <f t="shared" si="4"/>
        <v>18.7163</v>
      </c>
      <c r="H39" s="81">
        <f t="shared" si="4"/>
        <v>849.98416999999995</v>
      </c>
      <c r="I39" s="81">
        <f t="shared" si="4"/>
        <v>556.43934000000002</v>
      </c>
      <c r="J39" s="81">
        <f t="shared" si="4"/>
        <v>47473.2</v>
      </c>
      <c r="K39" s="81">
        <f t="shared" si="4"/>
        <v>1402.1104399999999</v>
      </c>
      <c r="L39" s="81">
        <f t="shared" si="4"/>
        <v>1995.17383</v>
      </c>
      <c r="M39" s="81">
        <f t="shared" si="4"/>
        <v>77513.8</v>
      </c>
      <c r="N39" s="81">
        <f t="shared" si="4"/>
        <v>34.144010000000002</v>
      </c>
      <c r="O39" s="81">
        <f t="shared" si="4"/>
        <v>10.67671</v>
      </c>
      <c r="P39" s="81">
        <f t="shared" si="4"/>
        <v>0.45295999999999997</v>
      </c>
      <c r="Q39" s="81">
        <f t="shared" si="4"/>
        <v>65.343329999999995</v>
      </c>
      <c r="R39" s="81">
        <f t="shared" si="4"/>
        <v>1920.2880399999999</v>
      </c>
      <c r="S39" s="81">
        <f t="shared" si="4"/>
        <v>78.079859999999996</v>
      </c>
      <c r="T39" s="82">
        <f t="shared" si="4"/>
        <v>55.671999999999997</v>
      </c>
    </row>
    <row r="40" spans="2:20" ht="12.5" x14ac:dyDescent="0.25">
      <c r="B40" s="79" t="s">
        <v>35</v>
      </c>
      <c r="C40" s="80"/>
      <c r="D40" s="81">
        <f t="shared" si="4"/>
        <v>17140.3</v>
      </c>
      <c r="E40" s="81">
        <f t="shared" si="4"/>
        <v>1.0449999999999999E-2</v>
      </c>
      <c r="F40" s="81">
        <f t="shared" si="4"/>
        <v>55.071550000000002</v>
      </c>
      <c r="G40" s="81">
        <f t="shared" si="4"/>
        <v>49.59646</v>
      </c>
      <c r="H40" s="81">
        <f t="shared" si="4"/>
        <v>1751.94748</v>
      </c>
      <c r="I40" s="81">
        <f t="shared" si="4"/>
        <v>2140.9032299999999</v>
      </c>
      <c r="J40" s="81">
        <f t="shared" si="4"/>
        <v>266209</v>
      </c>
      <c r="K40" s="81">
        <f t="shared" si="4"/>
        <v>7771.9188100000001</v>
      </c>
      <c r="L40" s="81">
        <f t="shared" si="4"/>
        <v>11195.4</v>
      </c>
      <c r="M40" s="81">
        <f t="shared" si="4"/>
        <v>126410</v>
      </c>
      <c r="N40" s="81">
        <f t="shared" si="4"/>
        <v>107.67323</v>
      </c>
      <c r="O40" s="81">
        <f t="shared" si="4"/>
        <v>48.777839999999998</v>
      </c>
      <c r="P40" s="81">
        <f t="shared" si="4"/>
        <v>1.4503200000000001</v>
      </c>
      <c r="Q40" s="81">
        <f t="shared" si="4"/>
        <v>285.67948000000001</v>
      </c>
      <c r="R40" s="81">
        <f t="shared" si="4"/>
        <v>4414.4202699999996</v>
      </c>
      <c r="S40" s="81">
        <f t="shared" si="4"/>
        <v>512.07624999999996</v>
      </c>
      <c r="T40" s="82">
        <f t="shared" si="4"/>
        <v>145.46518</v>
      </c>
    </row>
    <row r="41" spans="2:20" ht="12.5" x14ac:dyDescent="0.25">
      <c r="B41" s="79" t="s">
        <v>818</v>
      </c>
      <c r="C41" s="80"/>
      <c r="D41" s="81">
        <f t="shared" si="4"/>
        <v>23449.4</v>
      </c>
      <c r="E41" s="81">
        <f t="shared" si="4"/>
        <v>1.38E-2</v>
      </c>
      <c r="F41" s="81">
        <f t="shared" si="4"/>
        <v>75.563149999999993</v>
      </c>
      <c r="G41" s="81">
        <f t="shared" si="4"/>
        <v>64.967529999999996</v>
      </c>
      <c r="H41" s="81">
        <f t="shared" si="4"/>
        <v>2328.5946399999998</v>
      </c>
      <c r="I41" s="81">
        <f t="shared" si="4"/>
        <v>3297.2991200000001</v>
      </c>
      <c r="J41" s="81">
        <f t="shared" si="4"/>
        <v>149704</v>
      </c>
      <c r="K41" s="81">
        <f t="shared" si="4"/>
        <v>4296.1438200000002</v>
      </c>
      <c r="L41" s="81">
        <f t="shared" si="4"/>
        <v>6378.6202400000002</v>
      </c>
      <c r="M41" s="81">
        <f t="shared" si="4"/>
        <v>454002</v>
      </c>
      <c r="N41" s="81">
        <f t="shared" si="4"/>
        <v>134.11269999999999</v>
      </c>
      <c r="O41" s="81">
        <f t="shared" si="4"/>
        <v>30.402670000000001</v>
      </c>
      <c r="P41" s="81">
        <f t="shared" si="4"/>
        <v>1.76311</v>
      </c>
      <c r="Q41" s="81">
        <f t="shared" si="4"/>
        <v>434.00957</v>
      </c>
      <c r="R41" s="81">
        <f t="shared" si="4"/>
        <v>6235.1630800000003</v>
      </c>
      <c r="S41" s="81">
        <f t="shared" si="4"/>
        <v>1019.30109</v>
      </c>
      <c r="T41" s="82">
        <f t="shared" si="4"/>
        <v>244.72041999999999</v>
      </c>
    </row>
    <row r="42" spans="2:20" ht="12.5" x14ac:dyDescent="0.25">
      <c r="B42" s="79" t="s">
        <v>57</v>
      </c>
      <c r="C42" s="80"/>
      <c r="D42" s="81">
        <f t="shared" si="4"/>
        <v>13898.1</v>
      </c>
      <c r="E42" s="81">
        <f t="shared" si="4"/>
        <v>8.1700000000000002E-3</v>
      </c>
      <c r="F42" s="81">
        <f t="shared" si="4"/>
        <v>43.614310000000003</v>
      </c>
      <c r="G42" s="81">
        <f t="shared" si="4"/>
        <v>35.581940000000003</v>
      </c>
      <c r="H42" s="81">
        <f t="shared" si="4"/>
        <v>1361.42066</v>
      </c>
      <c r="I42" s="81">
        <f t="shared" si="4"/>
        <v>2389.0249899999999</v>
      </c>
      <c r="J42" s="81">
        <f t="shared" si="4"/>
        <v>232718</v>
      </c>
      <c r="K42" s="81">
        <f t="shared" si="4"/>
        <v>6768.8585800000001</v>
      </c>
      <c r="L42" s="81">
        <f t="shared" si="4"/>
        <v>9591.4307599999993</v>
      </c>
      <c r="M42" s="81">
        <f t="shared" si="4"/>
        <v>185087</v>
      </c>
      <c r="N42" s="81">
        <f t="shared" si="4"/>
        <v>71.81344</v>
      </c>
      <c r="O42" s="81">
        <f t="shared" si="4"/>
        <v>41.633659999999999</v>
      </c>
      <c r="P42" s="81">
        <f t="shared" si="4"/>
        <v>1.2745899999999999</v>
      </c>
      <c r="Q42" s="81">
        <f t="shared" si="4"/>
        <v>228.07740000000001</v>
      </c>
      <c r="R42" s="81">
        <f t="shared" si="4"/>
        <v>3682.4736800000001</v>
      </c>
      <c r="S42" s="81">
        <f t="shared" si="4"/>
        <v>422.29813999999999</v>
      </c>
      <c r="T42" s="82">
        <f t="shared" si="4"/>
        <v>126.16601</v>
      </c>
    </row>
    <row r="43" spans="2:20" ht="12.5" x14ac:dyDescent="0.25">
      <c r="B43" s="83" t="s">
        <v>55</v>
      </c>
      <c r="C43" s="85"/>
      <c r="D43" s="84">
        <f t="shared" si="4"/>
        <v>9689.8291399999998</v>
      </c>
      <c r="E43" s="84">
        <f t="shared" si="4"/>
        <v>4.9399999999999999E-3</v>
      </c>
      <c r="F43" s="84">
        <f t="shared" si="4"/>
        <v>28.389720000000001</v>
      </c>
      <c r="G43" s="84">
        <f t="shared" si="4"/>
        <v>22.729009999999999</v>
      </c>
      <c r="H43" s="84">
        <f t="shared" si="4"/>
        <v>1002.30362</v>
      </c>
      <c r="I43" s="84">
        <f t="shared" si="4"/>
        <v>1428.4391800000001</v>
      </c>
      <c r="J43" s="84">
        <f t="shared" si="4"/>
        <v>107980</v>
      </c>
      <c r="K43" s="84">
        <f t="shared" si="4"/>
        <v>3191.2304600000002</v>
      </c>
      <c r="L43" s="84">
        <f t="shared" si="4"/>
        <v>4515.2309999999998</v>
      </c>
      <c r="M43" s="84">
        <f t="shared" si="4"/>
        <v>75513.7</v>
      </c>
      <c r="N43" s="84">
        <f t="shared" si="4"/>
        <v>46.11806</v>
      </c>
      <c r="O43" s="84">
        <f t="shared" si="4"/>
        <v>20.401340000000001</v>
      </c>
      <c r="P43" s="84">
        <f t="shared" si="4"/>
        <v>0.69423000000000001</v>
      </c>
      <c r="Q43" s="84">
        <f t="shared" si="4"/>
        <v>126.25628</v>
      </c>
      <c r="R43" s="84">
        <f t="shared" si="4"/>
        <v>2362.0788899999998</v>
      </c>
      <c r="S43" s="84">
        <f t="shared" si="4"/>
        <v>217.49276</v>
      </c>
      <c r="T43" s="86">
        <f t="shared" si="4"/>
        <v>87.78192</v>
      </c>
    </row>
    <row r="45" spans="2:20" ht="15.75" customHeight="1" x14ac:dyDescent="0.3">
      <c r="B45" s="266" t="s">
        <v>825</v>
      </c>
      <c r="C45" s="91"/>
    </row>
    <row r="46" spans="2:20" ht="13" x14ac:dyDescent="0.3">
      <c r="B46" s="92" t="s">
        <v>826</v>
      </c>
      <c r="C46" s="82" t="s">
        <v>827</v>
      </c>
      <c r="D46" s="74"/>
    </row>
    <row r="47" spans="2:20" ht="12.5" x14ac:dyDescent="0.25">
      <c r="B47" s="93" t="s">
        <v>828</v>
      </c>
      <c r="C47" s="94">
        <f>SUM(B69,D12)/600</f>
        <v>76.716775699999999</v>
      </c>
      <c r="D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</row>
    <row r="48" spans="2:20" ht="12.5" x14ac:dyDescent="0.25">
      <c r="B48" s="93" t="s">
        <v>829</v>
      </c>
      <c r="C48" s="94">
        <f>SUM(B70,B77,B75)/600</f>
        <v>30.92888928333333</v>
      </c>
    </row>
    <row r="49" spans="2:4" ht="12.5" x14ac:dyDescent="0.25">
      <c r="B49" s="93" t="s">
        <v>830</v>
      </c>
      <c r="C49" s="94">
        <f>SUM(B71,B74)/600</f>
        <v>11.092569216666668</v>
      </c>
    </row>
    <row r="50" spans="2:4" ht="12.5" x14ac:dyDescent="0.25">
      <c r="B50" s="93" t="s">
        <v>831</v>
      </c>
      <c r="C50" s="94">
        <f>SUM(B72,B76)/600</f>
        <v>5.6958930500000005</v>
      </c>
    </row>
    <row r="51" spans="2:4" ht="12.5" x14ac:dyDescent="0.25">
      <c r="B51" s="93" t="s">
        <v>832</v>
      </c>
      <c r="C51" s="94">
        <f>B73/600</f>
        <v>3.9030660500000001</v>
      </c>
    </row>
    <row r="52" spans="2:4" ht="12.5" x14ac:dyDescent="0.25">
      <c r="B52" s="79" t="str">
        <f t="shared" ref="B52:B57" si="5">B38</f>
        <v>Motherboard (incl. Processor)</v>
      </c>
      <c r="C52" s="96">
        <f t="shared" ref="C52:C57" si="6">D38/600</f>
        <v>128.33727569999999</v>
      </c>
      <c r="D52" s="97"/>
    </row>
    <row r="53" spans="2:4" ht="12.5" x14ac:dyDescent="0.25">
      <c r="B53" s="79" t="str">
        <f t="shared" si="5"/>
        <v>RAM</v>
      </c>
      <c r="C53" s="96">
        <f t="shared" si="6"/>
        <v>12.871122383333333</v>
      </c>
    </row>
    <row r="54" spans="2:4" ht="12.5" x14ac:dyDescent="0.25">
      <c r="B54" s="79" t="str">
        <f t="shared" si="5"/>
        <v>GPU</v>
      </c>
      <c r="C54" s="96">
        <f t="shared" si="6"/>
        <v>28.567166666666665</v>
      </c>
    </row>
    <row r="55" spans="2:4" ht="12.5" x14ac:dyDescent="0.25">
      <c r="B55" s="79" t="str">
        <f t="shared" si="5"/>
        <v>Power supply</v>
      </c>
      <c r="C55" s="96">
        <f t="shared" si="6"/>
        <v>39.082333333333338</v>
      </c>
    </row>
    <row r="56" spans="2:4" ht="12.5" x14ac:dyDescent="0.25">
      <c r="B56" s="79" t="str">
        <f t="shared" si="5"/>
        <v>Disk drive</v>
      </c>
      <c r="C56" s="96">
        <f t="shared" si="6"/>
        <v>23.163499999999999</v>
      </c>
    </row>
    <row r="57" spans="2:4" ht="12.5" x14ac:dyDescent="0.25">
      <c r="B57" s="79" t="str">
        <f t="shared" si="5"/>
        <v>HDD</v>
      </c>
      <c r="C57" s="96">
        <f t="shared" si="6"/>
        <v>16.149715233333332</v>
      </c>
    </row>
    <row r="58" spans="2:4" ht="12.5" x14ac:dyDescent="0.25">
      <c r="B58" s="93" t="s">
        <v>0</v>
      </c>
      <c r="C58" s="96">
        <f>SUM(C52:C57)</f>
        <v>248.17111331666666</v>
      </c>
    </row>
    <row r="59" spans="2:4" ht="15.75" customHeight="1" x14ac:dyDescent="0.25">
      <c r="B59" s="79" t="str">
        <f t="shared" ref="B59:B64" si="7">B29</f>
        <v>Chassis</v>
      </c>
      <c r="C59" s="96">
        <f t="shared" ref="C59:C64" si="8">D29/600</f>
        <v>28.075499999999998</v>
      </c>
    </row>
    <row r="60" spans="2:4" ht="15.75" customHeight="1" x14ac:dyDescent="0.25">
      <c r="B60" s="79" t="str">
        <f t="shared" si="7"/>
        <v>Assembly</v>
      </c>
      <c r="C60" s="96">
        <f t="shared" si="8"/>
        <v>4.5535163833333323</v>
      </c>
    </row>
    <row r="61" spans="2:4" ht="15.75" customHeight="1" x14ac:dyDescent="0.25">
      <c r="B61" s="79" t="str">
        <f t="shared" si="7"/>
        <v>Packaging</v>
      </c>
      <c r="C61" s="96">
        <f t="shared" si="8"/>
        <v>2.0059292333333332</v>
      </c>
    </row>
    <row r="62" spans="2:4" ht="15.75" customHeight="1" x14ac:dyDescent="0.25">
      <c r="B62" s="79" t="str">
        <f t="shared" si="7"/>
        <v>Transport</v>
      </c>
      <c r="C62" s="96">
        <f t="shared" si="8"/>
        <v>5.5589342000000004</v>
      </c>
    </row>
    <row r="63" spans="2:4" ht="15.75" customHeight="1" x14ac:dyDescent="0.25">
      <c r="B63" s="79" t="str">
        <f t="shared" si="7"/>
        <v>EOL</v>
      </c>
      <c r="C63" s="96">
        <f t="shared" si="8"/>
        <v>6.1065416999999993</v>
      </c>
    </row>
    <row r="64" spans="2:4" ht="15.75" customHeight="1" x14ac:dyDescent="0.25">
      <c r="B64" s="83" t="str">
        <f t="shared" si="7"/>
        <v>Use - electricity</v>
      </c>
      <c r="C64" s="98">
        <f t="shared" si="8"/>
        <v>29.793246196102938</v>
      </c>
    </row>
    <row r="67" spans="1:4" ht="15.75" customHeight="1" x14ac:dyDescent="0.3">
      <c r="A67" s="257" t="s">
        <v>833</v>
      </c>
    </row>
    <row r="68" spans="1:4" ht="15.75" customHeight="1" x14ac:dyDescent="0.3">
      <c r="A68" s="99" t="s">
        <v>290</v>
      </c>
      <c r="B68" s="100" t="s">
        <v>291</v>
      </c>
      <c r="C68" s="101" t="s">
        <v>3</v>
      </c>
    </row>
    <row r="69" spans="1:4" ht="15.75" customHeight="1" x14ac:dyDescent="0.25">
      <c r="A69" s="93" t="s">
        <v>313</v>
      </c>
      <c r="B69" s="102">
        <v>40533.699999999997</v>
      </c>
      <c r="C69" s="103" t="s">
        <v>294</v>
      </c>
    </row>
    <row r="70" spans="1:4" ht="15.75" customHeight="1" x14ac:dyDescent="0.25">
      <c r="A70" s="93" t="s">
        <v>834</v>
      </c>
      <c r="B70" s="102">
        <v>16923.8</v>
      </c>
      <c r="C70" s="103" t="s">
        <v>294</v>
      </c>
    </row>
    <row r="71" spans="1:4" ht="15.75" customHeight="1" x14ac:dyDescent="0.25">
      <c r="A71" s="93" t="s">
        <v>580</v>
      </c>
      <c r="B71" s="80">
        <v>4393.3874500000002</v>
      </c>
      <c r="C71" s="103" t="s">
        <v>294</v>
      </c>
    </row>
    <row r="72" spans="1:4" ht="15.75" customHeight="1" x14ac:dyDescent="0.25">
      <c r="A72" s="93" t="s">
        <v>835</v>
      </c>
      <c r="B72" s="80">
        <v>2353.3193700000002</v>
      </c>
      <c r="C72" s="103" t="s">
        <v>294</v>
      </c>
    </row>
    <row r="73" spans="1:4" ht="15.75" customHeight="1" x14ac:dyDescent="0.25">
      <c r="A73" s="93" t="s">
        <v>584</v>
      </c>
      <c r="B73" s="80">
        <v>2341.8396299999999</v>
      </c>
      <c r="C73" s="103" t="s">
        <v>294</v>
      </c>
      <c r="D73" s="104"/>
    </row>
    <row r="74" spans="1:4" ht="15.75" customHeight="1" x14ac:dyDescent="0.25">
      <c r="A74" s="93" t="s">
        <v>836</v>
      </c>
      <c r="B74" s="80">
        <v>2262.1540799999998</v>
      </c>
      <c r="C74" s="103" t="s">
        <v>294</v>
      </c>
      <c r="D74" s="104"/>
    </row>
    <row r="75" spans="1:4" ht="15.75" customHeight="1" x14ac:dyDescent="0.25">
      <c r="A75" s="93" t="s">
        <v>837</v>
      </c>
      <c r="B75" s="80">
        <v>1282.9436599999999</v>
      </c>
      <c r="C75" s="103" t="s">
        <v>294</v>
      </c>
      <c r="D75" s="104"/>
    </row>
    <row r="76" spans="1:4" ht="15.75" customHeight="1" x14ac:dyDescent="0.25">
      <c r="A76" s="93" t="s">
        <v>578</v>
      </c>
      <c r="B76" s="80">
        <v>1064.2164600000001</v>
      </c>
      <c r="C76" s="103" t="s">
        <v>294</v>
      </c>
      <c r="D76" s="104"/>
    </row>
    <row r="77" spans="1:4" ht="15.75" customHeight="1" x14ac:dyDescent="0.25">
      <c r="A77" s="105" t="s">
        <v>838</v>
      </c>
      <c r="B77" s="85">
        <v>350.58990999999997</v>
      </c>
      <c r="C77" s="106" t="s">
        <v>294</v>
      </c>
      <c r="D77" s="104"/>
    </row>
    <row r="78" spans="1:4" ht="15.75" customHeight="1" x14ac:dyDescent="0.25">
      <c r="D78" s="104"/>
    </row>
    <row r="79" spans="1:4" ht="15.75" customHeight="1" x14ac:dyDescent="0.25">
      <c r="D79" s="104"/>
    </row>
    <row r="80" spans="1:4" ht="15.75" customHeight="1" x14ac:dyDescent="0.25">
      <c r="D80" s="104"/>
    </row>
    <row r="81" spans="4:4" ht="15.75" customHeight="1" x14ac:dyDescent="0.25">
      <c r="D81" s="10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85"/>
  <sheetViews>
    <sheetView topLeftCell="B1" zoomScale="55" zoomScaleNormal="55" workbookViewId="0">
      <selection activeCell="E8" sqref="E8"/>
    </sheetView>
  </sheetViews>
  <sheetFormatPr baseColWidth="10" defaultColWidth="12.54296875" defaultRowHeight="15.75" customHeight="1" x14ac:dyDescent="0.25"/>
  <cols>
    <col min="1" max="1" width="114.7265625" customWidth="1"/>
  </cols>
  <sheetData>
    <row r="1" spans="1:20" s="1" customFormat="1" ht="15.75" customHeight="1" x14ac:dyDescent="0.3">
      <c r="A1" s="257" t="s">
        <v>839</v>
      </c>
    </row>
    <row r="2" spans="1:20" ht="13" x14ac:dyDescent="0.3">
      <c r="A2" s="76" t="s">
        <v>290</v>
      </c>
      <c r="B2" s="77" t="s">
        <v>815</v>
      </c>
      <c r="C2" s="77" t="s">
        <v>816</v>
      </c>
      <c r="D2" s="77" t="s">
        <v>295</v>
      </c>
      <c r="E2" s="77" t="s">
        <v>509</v>
      </c>
      <c r="F2" s="77" t="s">
        <v>494</v>
      </c>
      <c r="G2" s="77" t="s">
        <v>339</v>
      </c>
      <c r="H2" s="77" t="s">
        <v>430</v>
      </c>
      <c r="I2" s="77" t="s">
        <v>403</v>
      </c>
      <c r="J2" s="77" t="s">
        <v>417</v>
      </c>
      <c r="K2" s="77" t="s">
        <v>377</v>
      </c>
      <c r="L2" s="77" t="s">
        <v>455</v>
      </c>
      <c r="M2" s="77" t="s">
        <v>536</v>
      </c>
      <c r="N2" s="77" t="s">
        <v>524</v>
      </c>
      <c r="O2" s="77" t="s">
        <v>390</v>
      </c>
      <c r="P2" s="77" t="s">
        <v>468</v>
      </c>
      <c r="Q2" s="77" t="s">
        <v>442</v>
      </c>
      <c r="R2" s="77" t="s">
        <v>359</v>
      </c>
      <c r="S2" s="77" t="s">
        <v>482</v>
      </c>
      <c r="T2" s="78" t="s">
        <v>548</v>
      </c>
    </row>
    <row r="3" spans="1:20" ht="12.5" x14ac:dyDescent="0.25">
      <c r="A3" s="79" t="s">
        <v>563</v>
      </c>
      <c r="B3" s="80"/>
      <c r="C3" s="80"/>
      <c r="D3" s="81">
        <f>SUM(D4:D6)</f>
        <v>16427.220067286373</v>
      </c>
      <c r="E3" s="81">
        <f t="shared" ref="E3:T3" si="0">SUM(E4:E6)</f>
        <v>1.3915332228045037E-2</v>
      </c>
      <c r="F3" s="81">
        <f t="shared" si="0"/>
        <v>50.809674938755379</v>
      </c>
      <c r="G3" s="81">
        <f t="shared" si="0"/>
        <v>43.231190972748422</v>
      </c>
      <c r="H3" s="81">
        <f t="shared" si="0"/>
        <v>33848.144834998981</v>
      </c>
      <c r="I3" s="81">
        <f t="shared" si="0"/>
        <v>2455.4437384001035</v>
      </c>
      <c r="J3" s="81">
        <f t="shared" si="0"/>
        <v>240255.87529319298</v>
      </c>
      <c r="K3" s="81">
        <f t="shared" si="0"/>
        <v>8131.3086055366821</v>
      </c>
      <c r="L3" s="81">
        <f t="shared" si="0"/>
        <v>11292.946438266736</v>
      </c>
      <c r="M3" s="81">
        <f t="shared" si="0"/>
        <v>250781.32788940839</v>
      </c>
      <c r="N3" s="81">
        <f t="shared" si="0"/>
        <v>93.699042307588527</v>
      </c>
      <c r="O3" s="81">
        <f t="shared" si="0"/>
        <v>42.834208768330406</v>
      </c>
      <c r="P3" s="81">
        <f t="shared" si="0"/>
        <v>1.9813391290726714</v>
      </c>
      <c r="Q3" s="81">
        <f t="shared" si="0"/>
        <v>240.62237757394226</v>
      </c>
      <c r="R3" s="81">
        <f t="shared" si="0"/>
        <v>4239.4190145809844</v>
      </c>
      <c r="S3" s="81">
        <f t="shared" si="0"/>
        <v>481.10613161050929</v>
      </c>
      <c r="T3" s="81">
        <f t="shared" si="0"/>
        <v>307.48958936750751</v>
      </c>
    </row>
    <row r="4" spans="1:20" ht="12.5" x14ac:dyDescent="0.25">
      <c r="A4" s="79" t="s">
        <v>565</v>
      </c>
      <c r="B4" s="81" t="s">
        <v>840</v>
      </c>
      <c r="C4" s="80"/>
      <c r="D4" s="81">
        <f>SUMIFS('LCIA raw results SC2'!$I:$I,'LCIA raw results SC2'!$D:$D,$A4,'LCIA raw results SC2'!$G:$G,D$2)</f>
        <v>8630.6396999999997</v>
      </c>
      <c r="E4" s="81">
        <f>SUMIFS('LCIA raw results SC2'!$E:$E,'LCIA raw results SC2'!$D:$D,$A4,'LCIA raw results SC2'!$G:$G,E$2)</f>
        <v>5.2900000000000004E-3</v>
      </c>
      <c r="F4" s="81">
        <f>SUMIFS('LCIA raw results SC2'!$E:$E,'LCIA raw results SC2'!$D:$D,$A4,'LCIA raw results SC2'!$G:$G,F$2)</f>
        <v>27.740449999999999</v>
      </c>
      <c r="G4" s="81">
        <f>SUMIFS('LCIA raw results SC2'!$E:$E,'LCIA raw results SC2'!$D:$D,$A4,'LCIA raw results SC2'!$G:$G,G$2)</f>
        <v>24.638770000000001</v>
      </c>
      <c r="H4" s="81">
        <f>SUMIFS('LCIA raw results SC2'!$E:$E,'LCIA raw results SC2'!$D:$D,$A4,'LCIA raw results SC2'!$G:$G,H$2)</f>
        <v>856.53961000000004</v>
      </c>
      <c r="I4" s="81">
        <f>SUMIFS('LCIA raw results SC2'!$E:$E,'LCIA raw results SC2'!$D:$D,$A4,'LCIA raw results SC2'!$G:$G,I$2)</f>
        <v>1292.3961400000001</v>
      </c>
      <c r="J4" s="81">
        <f>SUMIFS('LCIA raw results SC2'!$E:$E,'LCIA raw results SC2'!$D:$D,$A4,'LCIA raw results SC2'!$G:$G,J$2)</f>
        <v>151401</v>
      </c>
      <c r="K4" s="81">
        <f>SUMIFS('LCIA raw results SC2'!$E:$E,'LCIA raw results SC2'!$D:$D,$A4,'LCIA raw results SC2'!$G:$G,K$2)</f>
        <v>4332.6068999999998</v>
      </c>
      <c r="L4" s="81">
        <f>SUMIFS('LCIA raw results SC2'!$E:$E,'LCIA raw results SC2'!$D:$D,$A4,'LCIA raw results SC2'!$G:$G,L$2)</f>
        <v>6158.6920899999996</v>
      </c>
      <c r="M4" s="81">
        <f>SUMIFS('LCIA raw results SC2'!$E:$E,'LCIA raw results SC2'!$D:$D,$A4,'LCIA raw results SC2'!$G:$G,M$2)</f>
        <v>173055</v>
      </c>
      <c r="N4" s="81">
        <f>SUMIFS('LCIA raw results SC2'!$E:$E,'LCIA raw results SC2'!$D:$D,$A4,'LCIA raw results SC2'!$G:$G,N$2)</f>
        <v>53.815280000000001</v>
      </c>
      <c r="O4" s="81">
        <f>SUMIFS('LCIA raw results SC2'!$E:$E,'LCIA raw results SC2'!$D:$D,$A4,'LCIA raw results SC2'!$G:$G,O$2)</f>
        <v>26.352250000000002</v>
      </c>
      <c r="P4" s="81">
        <f>SUMIFS('LCIA raw results SC2'!$E:$E,'LCIA raw results SC2'!$D:$D,$A4,'LCIA raw results SC2'!$G:$G,P$2)</f>
        <v>0.86528000000000005</v>
      </c>
      <c r="Q4" s="81">
        <f>SUMIFS('LCIA raw results SC2'!$E:$E,'LCIA raw results SC2'!$D:$D,$A4,'LCIA raw results SC2'!$G:$G,Q$2)</f>
        <v>134.51428000000001</v>
      </c>
      <c r="R4" s="81">
        <f>SUMIFS('LCIA raw results SC2'!$E:$E,'LCIA raw results SC2'!$D:$D,$A4,'LCIA raw results SC2'!$G:$G,R$2)</f>
        <v>2244.8558800000001</v>
      </c>
      <c r="S4" s="81">
        <f>SUMIFS('LCIA raw results SC2'!$E:$E,'LCIA raw results SC2'!$D:$D,$A4,'LCIA raw results SC2'!$G:$G,S$2)</f>
        <v>270.13308000000001</v>
      </c>
      <c r="T4" s="82">
        <f>SUMIFS('LCIA raw results SC2'!$E:$E,'LCIA raw results SC2'!$D:$D,$A4,'LCIA raw results SC2'!$G:$G,T$2)</f>
        <v>80.714320000000001</v>
      </c>
    </row>
    <row r="5" spans="1:20" ht="12.5" x14ac:dyDescent="0.25">
      <c r="A5" s="79" t="s">
        <v>586</v>
      </c>
      <c r="B5" s="81" t="s">
        <v>841</v>
      </c>
      <c r="C5" s="81" t="s">
        <v>817</v>
      </c>
      <c r="D5" s="81">
        <f>SUMIFS('LCIA raw results SC2'!$I:$I,'LCIA raw results SC2'!$D:$D,$A5,'LCIA raw results SC2'!$G:$G,D$2)</f>
        <v>4817.7229575000001</v>
      </c>
      <c r="E5" s="81">
        <f>SUMIFS('LCIA raw results SC2'!$E:$E,'LCIA raw results SC2'!$D:$D,$A5,'LCIA raw results SC2'!$G:$G,E$2)</f>
        <v>2.8425E-3</v>
      </c>
      <c r="F5" s="81">
        <f>SUMIFS('LCIA raw results SC2'!$E:$E,'LCIA raw results SC2'!$D:$D,$A5,'LCIA raw results SC2'!$G:$G,F$2)</f>
        <v>15.651165000000001</v>
      </c>
      <c r="G5" s="81">
        <f>SUMIFS('LCIA raw results SC2'!$E:$E,'LCIA raw results SC2'!$D:$D,$A5,'LCIA raw results SC2'!$G:$G,G$2)</f>
        <v>12.244485000000001</v>
      </c>
      <c r="H5" s="81">
        <f>SUMIFS('LCIA raw results SC2'!$E:$E,'LCIA raw results SC2'!$D:$D,$A5,'LCIA raw results SC2'!$G:$G,H$2)</f>
        <v>449.77721999999994</v>
      </c>
      <c r="I5" s="81">
        <f>SUMIFS('LCIA raw results SC2'!$E:$E,'LCIA raw results SC2'!$D:$D,$A5,'LCIA raw results SC2'!$G:$G,I$2)</f>
        <v>802.00589250000007</v>
      </c>
      <c r="J5" s="81">
        <f>SUMIFS('LCIA raw results SC2'!$E:$E,'LCIA raw results SC2'!$D:$D,$A5,'LCIA raw results SC2'!$G:$G,J$2)</f>
        <v>80609.25</v>
      </c>
      <c r="K5" s="81">
        <f>SUMIFS('LCIA raw results SC2'!$E:$E,'LCIA raw results SC2'!$D:$D,$A5,'LCIA raw results SC2'!$G:$G,K$2)</f>
        <v>2449.7558250000002</v>
      </c>
      <c r="L5" s="81">
        <f>SUMIFS('LCIA raw results SC2'!$E:$E,'LCIA raw results SC2'!$D:$D,$A5,'LCIA raw results SC2'!$G:$G,L$2)</f>
        <v>3465.0097425000004</v>
      </c>
      <c r="M5" s="81">
        <f>SUMIFS('LCIA raw results SC2'!$E:$E,'LCIA raw results SC2'!$D:$D,$A5,'LCIA raw results SC2'!$G:$G,M$2)</f>
        <v>42349.05</v>
      </c>
      <c r="N5" s="81">
        <f>SUMIFS('LCIA raw results SC2'!$E:$E,'LCIA raw results SC2'!$D:$D,$A5,'LCIA raw results SC2'!$G:$G,N$2)</f>
        <v>25.290179999999999</v>
      </c>
      <c r="O5" s="81">
        <f>SUMIFS('LCIA raw results SC2'!$E:$E,'LCIA raw results SC2'!$D:$D,$A5,'LCIA raw results SC2'!$G:$G,O$2)</f>
        <v>14.3775975</v>
      </c>
      <c r="P5" s="81">
        <f>SUMIFS('LCIA raw results SC2'!$E:$E,'LCIA raw results SC2'!$D:$D,$A5,'LCIA raw results SC2'!$G:$G,P$2)</f>
        <v>0.41239500000000001</v>
      </c>
      <c r="Q5" s="81">
        <f>SUMIFS('LCIA raw results SC2'!$E:$E,'LCIA raw results SC2'!$D:$D,$A5,'LCIA raw results SC2'!$G:$G,Q$2)</f>
        <v>85.364302499999994</v>
      </c>
      <c r="R5" s="81">
        <f>SUMIFS('LCIA raw results SC2'!$E:$E,'LCIA raw results SC2'!$D:$D,$A5,'LCIA raw results SC2'!$G:$G,R$2)</f>
        <v>1225.3806749999999</v>
      </c>
      <c r="S5" s="81">
        <f>SUMIFS('LCIA raw results SC2'!$E:$E,'LCIA raw results SC2'!$D:$D,$A5,'LCIA raw results SC2'!$G:$G,S$2)</f>
        <v>155.58134999999999</v>
      </c>
      <c r="T5" s="82">
        <f>SUMIFS('LCIA raw results SC2'!$E:$E,'LCIA raw results SC2'!$D:$D,$A5,'LCIA raw results SC2'!$G:$G,T$2)</f>
        <v>44.686927499999996</v>
      </c>
    </row>
    <row r="6" spans="1:20" ht="12.5" x14ac:dyDescent="0.25">
      <c r="A6" s="79" t="s">
        <v>337</v>
      </c>
      <c r="B6" s="81" t="s">
        <v>820</v>
      </c>
      <c r="C6" s="81" t="s">
        <v>820</v>
      </c>
      <c r="D6" s="81">
        <f>SUMIFS('LCIA raw results SC2'!$I:$I,'LCIA raw results SC2'!$D:$D,$A6,'LCIA raw results SC2'!$G:$G,D$2)</f>
        <v>2978.857409786372</v>
      </c>
      <c r="E6" s="81">
        <f>SUMIFS('LCIA raw results SC2'!$I:$I,'LCIA raw results SC2'!$D:$D,$A6,'LCIA raw results SC2'!$G:$G,E$2)</f>
        <v>5.7828322280450368E-3</v>
      </c>
      <c r="F6" s="81">
        <f>SUMIFS('LCIA raw results SC2'!$I:$I,'LCIA raw results SC2'!$D:$D,$A6,'LCIA raw results SC2'!$G:$G,F$2)</f>
        <v>7.4180599387553743</v>
      </c>
      <c r="G6" s="81">
        <f>SUMIFS('LCIA raw results SC2'!$I:$I,'LCIA raw results SC2'!$D:$D,$A6,'LCIA raw results SC2'!$G:$G,G$2)</f>
        <v>6.3479359727484139</v>
      </c>
      <c r="H6" s="81">
        <f>SUMIFS('LCIA raw results SC2'!$I:$I,'LCIA raw results SC2'!$D:$D,$A6,'LCIA raw results SC2'!$G:$G,H$2)</f>
        <v>32541.828004998981</v>
      </c>
      <c r="I6" s="81">
        <f>SUMIFS('LCIA raw results SC2'!$I:$I,'LCIA raw results SC2'!$D:$D,$A6,'LCIA raw results SC2'!$G:$G,I$2)</f>
        <v>361.04170590010324</v>
      </c>
      <c r="J6" s="81">
        <f>SUMIFS('LCIA raw results SC2'!$I:$I,'LCIA raw results SC2'!$D:$D,$A6,'LCIA raw results SC2'!$G:$G,J$2)</f>
        <v>8245.6252931929812</v>
      </c>
      <c r="K6" s="81">
        <f>SUMIFS('LCIA raw results SC2'!$I:$I,'LCIA raw results SC2'!$D:$D,$A6,'LCIA raw results SC2'!$G:$G,K$2)</f>
        <v>1348.9458805366824</v>
      </c>
      <c r="L6" s="81">
        <f>SUMIFS('LCIA raw results SC2'!$I:$I,'LCIA raw results SC2'!$D:$D,$A6,'LCIA raw results SC2'!$G:$G,L$2)</f>
        <v>1669.2446057667369</v>
      </c>
      <c r="M6" s="81">
        <f>SUMIFS('LCIA raw results SC2'!$I:$I,'LCIA raw results SC2'!$D:$D,$A6,'LCIA raw results SC2'!$G:$G,M$2)</f>
        <v>35377.277889408397</v>
      </c>
      <c r="N6" s="81">
        <f>SUMIFS('LCIA raw results SC2'!$I:$I,'LCIA raw results SC2'!$D:$D,$A6,'LCIA raw results SC2'!$G:$G,N$2)</f>
        <v>14.593582307588536</v>
      </c>
      <c r="O6" s="81">
        <f>SUMIFS('LCIA raw results SC2'!$I:$I,'LCIA raw results SC2'!$D:$D,$A6,'LCIA raw results SC2'!$G:$G,O$2)</f>
        <v>2.1043612683303996</v>
      </c>
      <c r="P6" s="81">
        <f>SUMIFS('LCIA raw results SC2'!$I:$I,'LCIA raw results SC2'!$D:$D,$A6,'LCIA raw results SC2'!$G:$G,P$2)</f>
        <v>0.7036641290726714</v>
      </c>
      <c r="Q6" s="81">
        <f>SUMIFS('LCIA raw results SC2'!$I:$I,'LCIA raw results SC2'!$D:$D,$A6,'LCIA raw results SC2'!$G:$G,Q$2)</f>
        <v>20.743795073942277</v>
      </c>
      <c r="R6" s="81">
        <f>SUMIFS('LCIA raw results SC2'!$I:$I,'LCIA raw results SC2'!$D:$D,$A6,'LCIA raw results SC2'!$G:$G,R$2)</f>
        <v>769.18245958098441</v>
      </c>
      <c r="S6" s="81">
        <f>SUMIFS('LCIA raw results SC2'!$I:$I,'LCIA raw results SC2'!$D:$D,$A6,'LCIA raw results SC2'!$G:$G,S$2)</f>
        <v>55.391701610509315</v>
      </c>
      <c r="T6" s="81">
        <f>SUMIFS('LCIA raw results SC2'!$I:$I,'LCIA raw results SC2'!$D:$D,$A6,'LCIA raw results SC2'!$G:$G,T$2)</f>
        <v>182.08834186750752</v>
      </c>
    </row>
    <row r="7" spans="1:20" ht="12.5" x14ac:dyDescent="0.25">
      <c r="A7" s="79" t="s">
        <v>313</v>
      </c>
      <c r="B7" s="81" t="s">
        <v>567</v>
      </c>
      <c r="C7" s="81" t="s">
        <v>0</v>
      </c>
      <c r="D7" s="81">
        <f>SUMIFS('LCIA raw results SC2'!$E:$E,'LCIA raw results SC2'!$D:$D,$A7,'LCIA raw results SC2'!$G:$G,D$2,'LCIA raw results SC2'!$H:$H,$B7)</f>
        <v>4053.3665900000001</v>
      </c>
      <c r="E7" s="81">
        <f>SUMIFS('LCIA raw results SC2'!$E:$E,'LCIA raw results SC2'!$D:$D,$A7,'LCIA raw results SC2'!$G:$G,E$2,'LCIA raw results SC2'!$H:$H,$B7)</f>
        <v>2.5400000000000002E-3</v>
      </c>
      <c r="F7" s="81">
        <f>SUMIFS('LCIA raw results SC2'!$E:$E,'LCIA raw results SC2'!$D:$D,$A7,'LCIA raw results SC2'!$G:$G,F$2,'LCIA raw results SC2'!$H:$H,$B7)</f>
        <v>13.73128</v>
      </c>
      <c r="G7" s="81">
        <f>SUMIFS('LCIA raw results SC2'!$E:$E,'LCIA raw results SC2'!$D:$D,$A7,'LCIA raw results SC2'!$G:$G,G$2,'LCIA raw results SC2'!$H:$H,$B7)</f>
        <v>9.0422799999999999</v>
      </c>
      <c r="H7" s="81">
        <f>SUMIFS('LCIA raw results SC2'!$E:$E,'LCIA raw results SC2'!$D:$D,$A7,'LCIA raw results SC2'!$G:$G,H$2,'LCIA raw results SC2'!$H:$H,$B7)</f>
        <v>409.0059</v>
      </c>
      <c r="I7" s="81">
        <f>SUMIFS('LCIA raw results SC2'!$E:$E,'LCIA raw results SC2'!$D:$D,$A7,'LCIA raw results SC2'!$G:$G,I$2,'LCIA raw results SC2'!$H:$H,$B7)</f>
        <v>719.92168000000004</v>
      </c>
      <c r="J7" s="81">
        <f>SUMIFS('LCIA raw results SC2'!$E:$E,'LCIA raw results SC2'!$D:$D,$A7,'LCIA raw results SC2'!$G:$G,J$2,'LCIA raw results SC2'!$H:$H,$B7)</f>
        <v>105566</v>
      </c>
      <c r="K7" s="81">
        <f>SUMIFS('LCIA raw results SC2'!$E:$E,'LCIA raw results SC2'!$D:$D,$A7,'LCIA raw results SC2'!$G:$G,K$2,'LCIA raw results SC2'!$H:$H,$B7)</f>
        <v>3076.25</v>
      </c>
      <c r="L7" s="81">
        <f>SUMIFS('LCIA raw results SC2'!$E:$E,'LCIA raw results SC2'!$D:$D,$A7,'LCIA raw results SC2'!$G:$G,L$2,'LCIA raw results SC2'!$H:$H,$B7)</f>
        <v>4323.7253000000001</v>
      </c>
      <c r="M7" s="81">
        <f>SUMIFS('LCIA raw results SC2'!$E:$E,'LCIA raw results SC2'!$D:$D,$A7,'LCIA raw results SC2'!$G:$G,M$2,'LCIA raw results SC2'!$H:$H,$B7)</f>
        <v>9522.09087</v>
      </c>
      <c r="N7" s="81">
        <f>SUMIFS('LCIA raw results SC2'!$E:$E,'LCIA raw results SC2'!$D:$D,$A7,'LCIA raw results SC2'!$G:$G,N$2,'LCIA raw results SC2'!$H:$H,$B7)</f>
        <v>16.402149999999999</v>
      </c>
      <c r="O7" s="81">
        <f>SUMIFS('LCIA raw results SC2'!$E:$E,'LCIA raw results SC2'!$D:$D,$A7,'LCIA raw results SC2'!$G:$G,O$2,'LCIA raw results SC2'!$H:$H,$B7)</f>
        <v>18.30631</v>
      </c>
      <c r="P7" s="81">
        <f>SUMIFS('LCIA raw results SC2'!$E:$E,'LCIA raw results SC2'!$D:$D,$A7,'LCIA raw results SC2'!$G:$G,P$2,'LCIA raw results SC2'!$H:$H,$B7)</f>
        <v>0.42226999999999998</v>
      </c>
      <c r="Q7" s="81">
        <f>SUMIFS('LCIA raw results SC2'!$E:$E,'LCIA raw results SC2'!$D:$D,$A7,'LCIA raw results SC2'!$G:$G,Q$2,'LCIA raw results SC2'!$H:$H,$B7)</f>
        <v>89.440309999999997</v>
      </c>
      <c r="R7" s="81">
        <f>SUMIFS('LCIA raw results SC2'!$E:$E,'LCIA raw results SC2'!$D:$D,$A7,'LCIA raw results SC2'!$G:$G,R$2,'LCIA raw results SC2'!$H:$H,$B7)</f>
        <v>1048.35625</v>
      </c>
      <c r="S7" s="81">
        <f>SUMIFS('LCIA raw results SC2'!$E:$E,'LCIA raw results SC2'!$D:$D,$A7,'LCIA raw results SC2'!$G:$G,S$2,'LCIA raw results SC2'!$H:$H,$B7)</f>
        <v>142.02670000000001</v>
      </c>
      <c r="T7" s="82">
        <f>SUMIFS('LCIA raw results SC2'!$E:$E,'LCIA raw results SC2'!$D:$D,$A7,'LCIA raw results SC2'!$G:$G,T$2,'LCIA raw results SC2'!$H:$H,$B7)</f>
        <v>34.313249999999996</v>
      </c>
    </row>
    <row r="8" spans="1:20" ht="12.5" x14ac:dyDescent="0.25">
      <c r="A8" s="79" t="s">
        <v>569</v>
      </c>
      <c r="B8" s="81" t="s">
        <v>567</v>
      </c>
      <c r="C8" s="81" t="s">
        <v>61</v>
      </c>
      <c r="D8" s="81">
        <f>SUMIFS('LCIA raw results SC2'!$E:$E,'LCIA raw results SC2'!$D:$D,$A8,'LCIA raw results SC2'!$G:$G,D$2,'LCIA raw results SC2'!$H:$H,$B8)</f>
        <v>1620.86436</v>
      </c>
      <c r="E8" s="81">
        <f>SUMIFS('LCIA raw results SC2'!$E:$E,'LCIA raw results SC2'!$D:$D,$A8,'LCIA raw results SC2'!$G:$G,E$2,'LCIA raw results SC2'!$H:$H,$B8)</f>
        <v>1.1299999999999999E-3</v>
      </c>
      <c r="F8" s="81">
        <f>SUMIFS('LCIA raw results SC2'!$E:$E,'LCIA raw results SC2'!$D:$D,$A8,'LCIA raw results SC2'!$G:$G,F$2,'LCIA raw results SC2'!$H:$H,$B8)</f>
        <v>5.6944100000000004</v>
      </c>
      <c r="G8" s="81">
        <f>SUMIFS('LCIA raw results SC2'!$E:$E,'LCIA raw results SC2'!$D:$D,$A8,'LCIA raw results SC2'!$G:$G,G$2,'LCIA raw results SC2'!$H:$H,$B8)</f>
        <v>6.8452400000000004</v>
      </c>
      <c r="H8" s="81">
        <f>SUMIFS('LCIA raw results SC2'!$E:$E,'LCIA raw results SC2'!$D:$D,$A8,'LCIA raw results SC2'!$G:$G,H$2,'LCIA raw results SC2'!$H:$H,$B8)</f>
        <v>131.75404</v>
      </c>
      <c r="I8" s="81">
        <f>SUMIFS('LCIA raw results SC2'!$E:$E,'LCIA raw results SC2'!$D:$D,$A8,'LCIA raw results SC2'!$G:$G,I$2,'LCIA raw results SC2'!$H:$H,$B8)</f>
        <v>325.76301000000001</v>
      </c>
      <c r="J8" s="81">
        <f>SUMIFS('LCIA raw results SC2'!$E:$E,'LCIA raw results SC2'!$D:$D,$A8,'LCIA raw results SC2'!$G:$G,J$2,'LCIA raw results SC2'!$H:$H,$B8)</f>
        <v>25764.6</v>
      </c>
      <c r="K8" s="81">
        <f>SUMIFS('LCIA raw results SC2'!$E:$E,'LCIA raw results SC2'!$D:$D,$A8,'LCIA raw results SC2'!$G:$G,K$2,'LCIA raw results SC2'!$H:$H,$B8)</f>
        <v>657.85725000000002</v>
      </c>
      <c r="L8" s="81">
        <f>SUMIFS('LCIA raw results SC2'!$E:$E,'LCIA raw results SC2'!$D:$D,$A8,'LCIA raw results SC2'!$G:$G,L$2,'LCIA raw results SC2'!$H:$H,$B8)</f>
        <v>972.81659000000002</v>
      </c>
      <c r="M8" s="81">
        <f>SUMIFS('LCIA raw results SC2'!$E:$E,'LCIA raw results SC2'!$D:$D,$A8,'LCIA raw results SC2'!$G:$G,M$2,'LCIA raw results SC2'!$H:$H,$B8)</f>
        <v>112628</v>
      </c>
      <c r="N8" s="81">
        <f>SUMIFS('LCIA raw results SC2'!$E:$E,'LCIA raw results SC2'!$D:$D,$A8,'LCIA raw results SC2'!$G:$G,N$2,'LCIA raw results SC2'!$H:$H,$B8)</f>
        <v>18.607890000000001</v>
      </c>
      <c r="O8" s="81">
        <f>SUMIFS('LCIA raw results SC2'!$E:$E,'LCIA raw results SC2'!$D:$D,$A8,'LCIA raw results SC2'!$G:$G,O$2,'LCIA raw results SC2'!$H:$H,$B8)</f>
        <v>3.7771599999999999</v>
      </c>
      <c r="P8" s="81">
        <f>SUMIFS('LCIA raw results SC2'!$E:$E,'LCIA raw results SC2'!$D:$D,$A8,'LCIA raw results SC2'!$G:$G,P$2,'LCIA raw results SC2'!$H:$H,$B8)</f>
        <v>0.23102</v>
      </c>
      <c r="Q8" s="81">
        <f>SUMIFS('LCIA raw results SC2'!$E:$E,'LCIA raw results SC2'!$D:$D,$A8,'LCIA raw results SC2'!$G:$G,Q$2,'LCIA raw results SC2'!$H:$H,$B8)</f>
        <v>16.40175</v>
      </c>
      <c r="R8" s="81">
        <f>SUMIFS('LCIA raw results SC2'!$E:$E,'LCIA raw results SC2'!$D:$D,$A8,'LCIA raw results SC2'!$G:$G,R$2,'LCIA raw results SC2'!$H:$H,$B8)</f>
        <v>449.02064000000001</v>
      </c>
      <c r="S8" s="81">
        <f>SUMIFS('LCIA raw results SC2'!$E:$E,'LCIA raw results SC2'!$D:$D,$A8,'LCIA raw results SC2'!$G:$G,S$2,'LCIA raw results SC2'!$H:$H,$B8)</f>
        <v>78.886679999999998</v>
      </c>
      <c r="T8" s="82">
        <f>SUMIFS('LCIA raw results SC2'!$E:$E,'LCIA raw results SC2'!$D:$D,$A8,'LCIA raw results SC2'!$G:$G,T$2,'LCIA raw results SC2'!$H:$H,$B8)</f>
        <v>21.26942</v>
      </c>
    </row>
    <row r="9" spans="1:20" ht="12.5" x14ac:dyDescent="0.25">
      <c r="A9" s="79" t="s">
        <v>571</v>
      </c>
      <c r="B9" s="81" t="s">
        <v>567</v>
      </c>
      <c r="C9" s="81" t="s">
        <v>0</v>
      </c>
      <c r="D9" s="81">
        <f>SUMIFS('LCIA raw results SC2'!$E:$E,'LCIA raw results SC2'!$D:$D,$A9,'LCIA raw results SC2'!$G:$G,D$2,'LCIA raw results SC2'!$H:$H,$B9)</f>
        <v>1193.52171</v>
      </c>
      <c r="E9" s="81">
        <f>SUMIFS('LCIA raw results SC2'!$E:$E,'LCIA raw results SC2'!$D:$D,$A9,'LCIA raw results SC2'!$G:$G,E$2,'LCIA raw results SC2'!$H:$H,$B9)</f>
        <v>7.1000000000000002E-4</v>
      </c>
      <c r="F9" s="81">
        <f>SUMIFS('LCIA raw results SC2'!$E:$E,'LCIA raw results SC2'!$D:$D,$A9,'LCIA raw results SC2'!$G:$G,F$2,'LCIA raw results SC2'!$H:$H,$B9)</f>
        <v>3.37094</v>
      </c>
      <c r="G9" s="81">
        <f>SUMIFS('LCIA raw results SC2'!$E:$E,'LCIA raw results SC2'!$D:$D,$A9,'LCIA raw results SC2'!$G:$G,G$2,'LCIA raw results SC2'!$H:$H,$B9)</f>
        <v>3.1577099999999998</v>
      </c>
      <c r="H9" s="81">
        <f>SUMIFS('LCIA raw results SC2'!$E:$E,'LCIA raw results SC2'!$D:$D,$A9,'LCIA raw results SC2'!$G:$G,H$2,'LCIA raw results SC2'!$H:$H,$B9)</f>
        <v>124.40227</v>
      </c>
      <c r="I9" s="81">
        <f>SUMIFS('LCIA raw results SC2'!$E:$E,'LCIA raw results SC2'!$D:$D,$A9,'LCIA raw results SC2'!$G:$G,I$2,'LCIA raw results SC2'!$H:$H,$B9)</f>
        <v>85.114959999999996</v>
      </c>
      <c r="J9" s="81">
        <f>SUMIFS('LCIA raw results SC2'!$E:$E,'LCIA raw results SC2'!$D:$D,$A9,'LCIA raw results SC2'!$G:$G,J$2,'LCIA raw results SC2'!$H:$H,$B9)</f>
        <v>5539.8149400000002</v>
      </c>
      <c r="K9" s="81">
        <f>SUMIFS('LCIA raw results SC2'!$E:$E,'LCIA raw results SC2'!$D:$D,$A9,'LCIA raw results SC2'!$G:$G,K$2,'LCIA raw results SC2'!$H:$H,$B9)</f>
        <v>154.89082999999999</v>
      </c>
      <c r="L9" s="81">
        <f>SUMIFS('LCIA raw results SC2'!$E:$E,'LCIA raw results SC2'!$D:$D,$A9,'LCIA raw results SC2'!$G:$G,L$2,'LCIA raw results SC2'!$H:$H,$B9)</f>
        <v>230.50651999999999</v>
      </c>
      <c r="M9" s="81">
        <f>SUMIFS('LCIA raw results SC2'!$E:$E,'LCIA raw results SC2'!$D:$D,$A9,'LCIA raw results SC2'!$G:$G,M$2,'LCIA raw results SC2'!$H:$H,$B9)</f>
        <v>37818</v>
      </c>
      <c r="N9" s="81">
        <f>SUMIFS('LCIA raw results SC2'!$E:$E,'LCIA raw results SC2'!$D:$D,$A9,'LCIA raw results SC2'!$G:$G,N$2,'LCIA raw results SC2'!$H:$H,$B9)</f>
        <v>6.5445099999999998</v>
      </c>
      <c r="O9" s="81">
        <f>SUMIFS('LCIA raw results SC2'!$E:$E,'LCIA raw results SC2'!$D:$D,$A9,'LCIA raw results SC2'!$G:$G,O$2,'LCIA raw results SC2'!$H:$H,$B9)</f>
        <v>1.31308</v>
      </c>
      <c r="P9" s="81">
        <f>SUMIFS('LCIA raw results SC2'!$E:$E,'LCIA raw results SC2'!$D:$D,$A9,'LCIA raw results SC2'!$G:$G,P$2,'LCIA raw results SC2'!$H:$H,$B9)</f>
        <v>9.3520000000000006E-2</v>
      </c>
      <c r="Q9" s="81">
        <f>SUMIFS('LCIA raw results SC2'!$E:$E,'LCIA raw results SC2'!$D:$D,$A9,'LCIA raw results SC2'!$G:$G,Q$2,'LCIA raw results SC2'!$H:$H,$B9)</f>
        <v>11.19158</v>
      </c>
      <c r="R9" s="81">
        <f>SUMIFS('LCIA raw results SC2'!$E:$E,'LCIA raw results SC2'!$D:$D,$A9,'LCIA raw results SC2'!$G:$G,R$2,'LCIA raw results SC2'!$H:$H,$B9)</f>
        <v>307.19515999999999</v>
      </c>
      <c r="S9" s="81">
        <f>SUMIFS('LCIA raw results SC2'!$E:$E,'LCIA raw results SC2'!$D:$D,$A9,'LCIA raw results SC2'!$G:$G,S$2,'LCIA raw results SC2'!$H:$H,$B9)</f>
        <v>12.186249999999999</v>
      </c>
      <c r="T9" s="82">
        <f>SUMIFS('LCIA raw results SC2'!$E:$E,'LCIA raw results SC2'!$D:$D,$A9,'LCIA raw results SC2'!$G:$G,T$2,'LCIA raw results SC2'!$H:$H,$B9)</f>
        <v>10.8941</v>
      </c>
    </row>
    <row r="10" spans="1:20" ht="12.5" x14ac:dyDescent="0.25">
      <c r="A10" s="79" t="s">
        <v>573</v>
      </c>
      <c r="B10" s="81" t="s">
        <v>567</v>
      </c>
      <c r="C10" s="81" t="s">
        <v>0</v>
      </c>
      <c r="D10" s="81">
        <f>SUMIFS('LCIA raw results SC2'!$E:$E,'LCIA raw results SC2'!$D:$D,$A10,'LCIA raw results SC2'!$G:$G,D$2,'LCIA raw results SC2'!$H:$H,$B10)</f>
        <v>1061.6792</v>
      </c>
      <c r="E10" s="81">
        <f>SUMIFS('LCIA raw results SC2'!$E:$E,'LCIA raw results SC2'!$D:$D,$A10,'LCIA raw results SC2'!$G:$G,E$2,'LCIA raw results SC2'!$H:$H,$B10)</f>
        <v>4.4999999999999999E-4</v>
      </c>
      <c r="F10" s="81">
        <f>SUMIFS('LCIA raw results SC2'!$E:$E,'LCIA raw results SC2'!$D:$D,$A10,'LCIA raw results SC2'!$G:$G,F$2,'LCIA raw results SC2'!$H:$H,$B10)</f>
        <v>2.5785399999999998</v>
      </c>
      <c r="G10" s="81">
        <f>SUMIFS('LCIA raw results SC2'!$E:$E,'LCIA raw results SC2'!$D:$D,$A10,'LCIA raw results SC2'!$G:$G,G$2,'LCIA raw results SC2'!$H:$H,$B10)</f>
        <v>2.4782899999999999</v>
      </c>
      <c r="H10" s="81">
        <f>SUMIFS('LCIA raw results SC2'!$E:$E,'LCIA raw results SC2'!$D:$D,$A10,'LCIA raw results SC2'!$G:$G,H$2,'LCIA raw results SC2'!$H:$H,$B10)</f>
        <v>119.17552999999999</v>
      </c>
      <c r="I10" s="81">
        <f>SUMIFS('LCIA raw results SC2'!$E:$E,'LCIA raw results SC2'!$D:$D,$A10,'LCIA raw results SC2'!$G:$G,I$2,'LCIA raw results SC2'!$H:$H,$B10)</f>
        <v>74.071389999999994</v>
      </c>
      <c r="J10" s="81">
        <f>SUMIFS('LCIA raw results SC2'!$E:$E,'LCIA raw results SC2'!$D:$D,$A10,'LCIA raw results SC2'!$G:$G,J$2,'LCIA raw results SC2'!$H:$H,$B10)</f>
        <v>6684.7647500000003</v>
      </c>
      <c r="K10" s="81">
        <f>SUMIFS('LCIA raw results SC2'!$E:$E,'LCIA raw results SC2'!$D:$D,$A10,'LCIA raw results SC2'!$G:$G,K$2,'LCIA raw results SC2'!$H:$H,$B10)</f>
        <v>199.56834000000001</v>
      </c>
      <c r="L10" s="81">
        <f>SUMIFS('LCIA raw results SC2'!$E:$E,'LCIA raw results SC2'!$D:$D,$A10,'LCIA raw results SC2'!$G:$G,L$2,'LCIA raw results SC2'!$H:$H,$B10)</f>
        <v>280.55462999999997</v>
      </c>
      <c r="M10" s="81">
        <f>SUMIFS('LCIA raw results SC2'!$E:$E,'LCIA raw results SC2'!$D:$D,$A10,'LCIA raw results SC2'!$G:$G,M$2,'LCIA raw results SC2'!$H:$H,$B10)</f>
        <v>2573.6266300000002</v>
      </c>
      <c r="N10" s="81">
        <f>SUMIFS('LCIA raw results SC2'!$E:$E,'LCIA raw results SC2'!$D:$D,$A10,'LCIA raw results SC2'!$G:$G,N$2,'LCIA raw results SC2'!$H:$H,$B10)</f>
        <v>4.2560900000000004</v>
      </c>
      <c r="O10" s="81">
        <f>SUMIFS('LCIA raw results SC2'!$E:$E,'LCIA raw results SC2'!$D:$D,$A10,'LCIA raw results SC2'!$G:$G,O$2,'LCIA raw results SC2'!$H:$H,$B10)</f>
        <v>1.5061100000000001</v>
      </c>
      <c r="P10" s="81">
        <f>SUMIFS('LCIA raw results SC2'!$E:$E,'LCIA raw results SC2'!$D:$D,$A10,'LCIA raw results SC2'!$G:$G,P$2,'LCIA raw results SC2'!$H:$H,$B10)</f>
        <v>5.3859999999999998E-2</v>
      </c>
      <c r="Q10" s="81">
        <f>SUMIFS('LCIA raw results SC2'!$E:$E,'LCIA raw results SC2'!$D:$D,$A10,'LCIA raw results SC2'!$G:$G,Q$2,'LCIA raw results SC2'!$H:$H,$B10)</f>
        <v>8.2574900000000007</v>
      </c>
      <c r="R10" s="81">
        <f>SUMIFS('LCIA raw results SC2'!$E:$E,'LCIA raw results SC2'!$D:$D,$A10,'LCIA raw results SC2'!$G:$G,R$2,'LCIA raw results SC2'!$H:$H,$B10)</f>
        <v>260.59316000000001</v>
      </c>
      <c r="S10" s="81">
        <f>SUMIFS('LCIA raw results SC2'!$E:$E,'LCIA raw results SC2'!$D:$D,$A10,'LCIA raw results SC2'!$G:$G,S$2,'LCIA raw results SC2'!$H:$H,$B10)</f>
        <v>9.5407100000000007</v>
      </c>
      <c r="T10" s="82">
        <f>SUMIFS('LCIA raw results SC2'!$E:$E,'LCIA raw results SC2'!$D:$D,$A10,'LCIA raw results SC2'!$G:$G,T$2,'LCIA raw results SC2'!$H:$H,$B10)</f>
        <v>6.9148500000000004</v>
      </c>
    </row>
    <row r="11" spans="1:20" ht="12.5" x14ac:dyDescent="0.25">
      <c r="A11" s="79" t="s">
        <v>575</v>
      </c>
      <c r="B11" s="81" t="s">
        <v>567</v>
      </c>
      <c r="C11" s="81" t="s">
        <v>0</v>
      </c>
      <c r="D11" s="81">
        <f>SUMIFS('LCIA raw results SC2'!$E:$E,'LCIA raw results SC2'!$D:$D,$A11,'LCIA raw results SC2'!$G:$G,D$2,'LCIA raw results SC2'!$H:$H,$B11)</f>
        <v>212.03041999999999</v>
      </c>
      <c r="E11" s="81">
        <f>SUMIFS('LCIA raw results SC2'!$E:$E,'LCIA raw results SC2'!$D:$D,$A11,'LCIA raw results SC2'!$G:$G,E$2,'LCIA raw results SC2'!$H:$H,$B11)</f>
        <v>1.2E-4</v>
      </c>
      <c r="F11" s="81">
        <f>SUMIFS('LCIA raw results SC2'!$E:$E,'LCIA raw results SC2'!$D:$D,$A11,'LCIA raw results SC2'!$G:$G,F$2,'LCIA raw results SC2'!$H:$H,$B11)</f>
        <v>0.66269999999999996</v>
      </c>
      <c r="G11" s="81">
        <f>SUMIFS('LCIA raw results SC2'!$E:$E,'LCIA raw results SC2'!$D:$D,$A11,'LCIA raw results SC2'!$G:$G,G$2,'LCIA raw results SC2'!$H:$H,$B11)</f>
        <v>0.77478000000000002</v>
      </c>
      <c r="H11" s="81">
        <f>SUMIFS('LCIA raw results SC2'!$E:$E,'LCIA raw results SC2'!$D:$D,$A11,'LCIA raw results SC2'!$G:$G,H$2,'LCIA raw results SC2'!$H:$H,$B11)</f>
        <v>28.178560000000001</v>
      </c>
      <c r="I11" s="81">
        <f>SUMIFS('LCIA raw results SC2'!$E:$E,'LCIA raw results SC2'!$D:$D,$A11,'LCIA raw results SC2'!$G:$G,I$2,'LCIA raw results SC2'!$H:$H,$B11)</f>
        <v>17.445</v>
      </c>
      <c r="J11" s="81">
        <f>SUMIFS('LCIA raw results SC2'!$E:$E,'LCIA raw results SC2'!$D:$D,$A11,'LCIA raw results SC2'!$G:$G,J$2,'LCIA raw results SC2'!$H:$H,$B11)</f>
        <v>1416.6138800000001</v>
      </c>
      <c r="K11" s="81">
        <f>SUMIFS('LCIA raw results SC2'!$E:$E,'LCIA raw results SC2'!$D:$D,$A11,'LCIA raw results SC2'!$G:$G,K$2,'LCIA raw results SC2'!$H:$H,$B11)</f>
        <v>40.166939999999997</v>
      </c>
      <c r="L11" s="81">
        <f>SUMIFS('LCIA raw results SC2'!$E:$E,'LCIA raw results SC2'!$D:$D,$A11,'LCIA raw results SC2'!$G:$G,L$2,'LCIA raw results SC2'!$H:$H,$B11)</f>
        <v>57.702419999999996</v>
      </c>
      <c r="M11" s="81">
        <f>SUMIFS('LCIA raw results SC2'!$E:$E,'LCIA raw results SC2'!$D:$D,$A11,'LCIA raw results SC2'!$G:$G,M$2,'LCIA raw results SC2'!$H:$H,$B11)</f>
        <v>5085.2912999999999</v>
      </c>
      <c r="N11" s="81">
        <f>SUMIFS('LCIA raw results SC2'!$E:$E,'LCIA raw results SC2'!$D:$D,$A11,'LCIA raw results SC2'!$G:$G,N$2,'LCIA raw results SC2'!$H:$H,$B11)</f>
        <v>1.7010400000000001</v>
      </c>
      <c r="O11" s="81">
        <f>SUMIFS('LCIA raw results SC2'!$E:$E,'LCIA raw results SC2'!$D:$D,$A11,'LCIA raw results SC2'!$G:$G,O$2,'LCIA raw results SC2'!$H:$H,$B11)</f>
        <v>0.29631999999999997</v>
      </c>
      <c r="P11" s="81">
        <f>SUMIFS('LCIA raw results SC2'!$E:$E,'LCIA raw results SC2'!$D:$D,$A11,'LCIA raw results SC2'!$G:$G,P$2,'LCIA raw results SC2'!$H:$H,$B11)</f>
        <v>2.018E-2</v>
      </c>
      <c r="Q11" s="81">
        <f>SUMIFS('LCIA raw results SC2'!$E:$E,'LCIA raw results SC2'!$D:$D,$A11,'LCIA raw results SC2'!$G:$G,Q$2,'LCIA raw results SC2'!$H:$H,$B11)</f>
        <v>1.7980799999999999</v>
      </c>
      <c r="R11" s="81">
        <f>SUMIFS('LCIA raw results SC2'!$E:$E,'LCIA raw results SC2'!$D:$D,$A11,'LCIA raw results SC2'!$G:$G,R$2,'LCIA raw results SC2'!$H:$H,$B11)</f>
        <v>54.681800000000003</v>
      </c>
      <c r="S11" s="81">
        <f>SUMIFS('LCIA raw results SC2'!$E:$E,'LCIA raw results SC2'!$D:$D,$A11,'LCIA raw results SC2'!$G:$G,S$2,'LCIA raw results SC2'!$H:$H,$B11)</f>
        <v>6.0636799999999997</v>
      </c>
      <c r="T11" s="82">
        <f>SUMIFS('LCIA raw results SC2'!$E:$E,'LCIA raw results SC2'!$D:$D,$A11,'LCIA raw results SC2'!$G:$G,T$2,'LCIA raw results SC2'!$H:$H,$B11)</f>
        <v>2.51613</v>
      </c>
    </row>
    <row r="12" spans="1:20" ht="12.5" x14ac:dyDescent="0.25">
      <c r="A12" s="79" t="s">
        <v>577</v>
      </c>
      <c r="B12" s="81" t="s">
        <v>567</v>
      </c>
      <c r="C12" s="81" t="s">
        <v>0</v>
      </c>
      <c r="D12" s="81">
        <f>SUMIFS('LCIA raw results SC2'!$E:$E,'LCIA raw results SC2'!$D:$D,$A12,'LCIA raw results SC2'!$G:$G,D$2,'LCIA raw results SC2'!$H:$H,$B12)</f>
        <v>123.78504</v>
      </c>
      <c r="E12" s="81">
        <f>SUMIFS('LCIA raw results SC2'!$E:$E,'LCIA raw results SC2'!$D:$D,$A12,'LCIA raw results SC2'!$G:$G,E$2,'LCIA raw results SC2'!$H:$H,$B12)</f>
        <v>6.3973099999999999E-5</v>
      </c>
      <c r="F12" s="81">
        <f>SUMIFS('LCIA raw results SC2'!$E:$E,'LCIA raw results SC2'!$D:$D,$A12,'LCIA raw results SC2'!$G:$G,F$2,'LCIA raw results SC2'!$H:$H,$B12)</f>
        <v>0.33794999999999997</v>
      </c>
      <c r="G12" s="81">
        <f>SUMIFS('LCIA raw results SC2'!$E:$E,'LCIA raw results SC2'!$D:$D,$A12,'LCIA raw results SC2'!$G:$G,G$2,'LCIA raw results SC2'!$H:$H,$B12)</f>
        <v>0.29533999999999999</v>
      </c>
      <c r="H12" s="81">
        <f>SUMIFS('LCIA raw results SC2'!$E:$E,'LCIA raw results SC2'!$D:$D,$A12,'LCIA raw results SC2'!$G:$G,H$2,'LCIA raw results SC2'!$H:$H,$B12)</f>
        <v>12.75868</v>
      </c>
      <c r="I12" s="81">
        <f>SUMIFS('LCIA raw results SC2'!$E:$E,'LCIA raw results SC2'!$D:$D,$A12,'LCIA raw results SC2'!$G:$G,I$2,'LCIA raw results SC2'!$H:$H,$B12)</f>
        <v>6.7565499999999998</v>
      </c>
      <c r="J12" s="81">
        <f>SUMIFS('LCIA raw results SC2'!$E:$E,'LCIA raw results SC2'!$D:$D,$A12,'LCIA raw results SC2'!$G:$G,J$2,'LCIA raw results SC2'!$H:$H,$B12)</f>
        <v>402.99610999999999</v>
      </c>
      <c r="K12" s="81">
        <f>SUMIFS('LCIA raw results SC2'!$E:$E,'LCIA raw results SC2'!$D:$D,$A12,'LCIA raw results SC2'!$G:$G,K$2,'LCIA raw results SC2'!$H:$H,$B12)</f>
        <v>12.16733</v>
      </c>
      <c r="L12" s="81">
        <f>SUMIFS('LCIA raw results SC2'!$E:$E,'LCIA raw results SC2'!$D:$D,$A12,'LCIA raw results SC2'!$G:$G,L$2,'LCIA raw results SC2'!$H:$H,$B12)</f>
        <v>17.040590000000002</v>
      </c>
      <c r="M12" s="81">
        <f>SUMIFS('LCIA raw results SC2'!$E:$E,'LCIA raw results SC2'!$D:$D,$A12,'LCIA raw results SC2'!$G:$G,M$2,'LCIA raw results SC2'!$H:$H,$B12)</f>
        <v>460.54563000000002</v>
      </c>
      <c r="N12" s="81">
        <f>SUMIFS('LCIA raw results SC2'!$E:$E,'LCIA raw results SC2'!$D:$D,$A12,'LCIA raw results SC2'!$G:$G,N$2,'LCIA raw results SC2'!$H:$H,$B12)</f>
        <v>0.53915000000000002</v>
      </c>
      <c r="O12" s="81">
        <f>SUMIFS('LCIA raw results SC2'!$E:$E,'LCIA raw results SC2'!$D:$D,$A12,'LCIA raw results SC2'!$G:$G,O$2,'LCIA raw results SC2'!$H:$H,$B12)</f>
        <v>0.11488</v>
      </c>
      <c r="P12" s="81">
        <f>SUMIFS('LCIA raw results SC2'!$E:$E,'LCIA raw results SC2'!$D:$D,$A12,'LCIA raw results SC2'!$G:$G,P$2,'LCIA raw results SC2'!$H:$H,$B12)</f>
        <v>6.4700000000000001E-3</v>
      </c>
      <c r="Q12" s="81">
        <f>SUMIFS('LCIA raw results SC2'!$E:$E,'LCIA raw results SC2'!$D:$D,$A12,'LCIA raw results SC2'!$G:$G,Q$2,'LCIA raw results SC2'!$H:$H,$B12)</f>
        <v>0.78432999999999997</v>
      </c>
      <c r="R12" s="81">
        <f>SUMIFS('LCIA raw results SC2'!$E:$E,'LCIA raw results SC2'!$D:$D,$A12,'LCIA raw results SC2'!$G:$G,R$2,'LCIA raw results SC2'!$H:$H,$B12)</f>
        <v>31.822800000000001</v>
      </c>
      <c r="S12" s="81">
        <f>SUMIFS('LCIA raw results SC2'!$E:$E,'LCIA raw results SC2'!$D:$D,$A12,'LCIA raw results SC2'!$G:$G,S$2,'LCIA raw results SC2'!$H:$H,$B12)</f>
        <v>1.0718700000000001</v>
      </c>
      <c r="T12" s="82">
        <f>SUMIFS('LCIA raw results SC2'!$E:$E,'LCIA raw results SC2'!$D:$D,$A12,'LCIA raw results SC2'!$G:$G,T$2,'LCIA raw results SC2'!$H:$H,$B12)</f>
        <v>1.2094499999999999</v>
      </c>
    </row>
    <row r="13" spans="1:20" ht="12.5" x14ac:dyDescent="0.25">
      <c r="A13" s="79" t="s">
        <v>578</v>
      </c>
      <c r="B13" s="81" t="s">
        <v>567</v>
      </c>
      <c r="C13" s="81" t="s">
        <v>0</v>
      </c>
      <c r="D13" s="81">
        <f>SUMIFS('LCIA raw results SC2'!$E:$E,'LCIA raw results SC2'!$D:$D,$A13,'LCIA raw results SC2'!$G:$G,D$2,'LCIA raw results SC2'!$H:$H,$B13)</f>
        <v>116.94686</v>
      </c>
      <c r="E13" s="81">
        <f>SUMIFS('LCIA raw results SC2'!$E:$E,'LCIA raw results SC2'!$D:$D,$A13,'LCIA raw results SC2'!$G:$G,E$2,'LCIA raw results SC2'!$H:$H,$B13)</f>
        <v>6.1468299999999996E-5</v>
      </c>
      <c r="F13" s="81">
        <f>SUMIFS('LCIA raw results SC2'!$E:$E,'LCIA raw results SC2'!$D:$D,$A13,'LCIA raw results SC2'!$G:$G,F$2,'LCIA raw results SC2'!$H:$H,$B13)</f>
        <v>0.32654</v>
      </c>
      <c r="G13" s="81">
        <f>SUMIFS('LCIA raw results SC2'!$E:$E,'LCIA raw results SC2'!$D:$D,$A13,'LCIA raw results SC2'!$G:$G,G$2,'LCIA raw results SC2'!$H:$H,$B13)</f>
        <v>0.38651999999999997</v>
      </c>
      <c r="H13" s="81">
        <f>SUMIFS('LCIA raw results SC2'!$E:$E,'LCIA raw results SC2'!$D:$D,$A13,'LCIA raw results SC2'!$G:$G,H$2,'LCIA raw results SC2'!$H:$H,$B13)</f>
        <v>12.46068</v>
      </c>
      <c r="I13" s="81">
        <f>SUMIFS('LCIA raw results SC2'!$E:$E,'LCIA raw results SC2'!$D:$D,$A13,'LCIA raw results SC2'!$G:$G,I$2,'LCIA raw results SC2'!$H:$H,$B13)</f>
        <v>24.073799999999999</v>
      </c>
      <c r="J13" s="81">
        <f>SUMIFS('LCIA raw results SC2'!$E:$E,'LCIA raw results SC2'!$D:$D,$A13,'LCIA raw results SC2'!$G:$G,J$2,'LCIA raw results SC2'!$H:$H,$B13)</f>
        <v>963.00007000000005</v>
      </c>
      <c r="K13" s="81">
        <f>SUMIFS('LCIA raw results SC2'!$E:$E,'LCIA raw results SC2'!$D:$D,$A13,'LCIA raw results SC2'!$G:$G,K$2,'LCIA raw results SC2'!$H:$H,$B13)</f>
        <v>27.40635</v>
      </c>
      <c r="L13" s="81">
        <f>SUMIFS('LCIA raw results SC2'!$E:$E,'LCIA raw results SC2'!$D:$D,$A13,'LCIA raw results SC2'!$G:$G,L$2,'LCIA raw results SC2'!$H:$H,$B13)</f>
        <v>39.448059999999998</v>
      </c>
      <c r="M13" s="81">
        <f>SUMIFS('LCIA raw results SC2'!$E:$E,'LCIA raw results SC2'!$D:$D,$A13,'LCIA raw results SC2'!$G:$G,M$2,'LCIA raw results SC2'!$H:$H,$B13)</f>
        <v>3297.9713900000002</v>
      </c>
      <c r="N13" s="81">
        <f>SUMIFS('LCIA raw results SC2'!$E:$E,'LCIA raw results SC2'!$D:$D,$A13,'LCIA raw results SC2'!$G:$G,N$2,'LCIA raw results SC2'!$H:$H,$B13)</f>
        <v>0.84838000000000002</v>
      </c>
      <c r="O13" s="81">
        <f>SUMIFS('LCIA raw results SC2'!$E:$E,'LCIA raw results SC2'!$D:$D,$A13,'LCIA raw results SC2'!$G:$G,O$2,'LCIA raw results SC2'!$H:$H,$B13)</f>
        <v>0.18240000000000001</v>
      </c>
      <c r="P13" s="81">
        <f>SUMIFS('LCIA raw results SC2'!$E:$E,'LCIA raw results SC2'!$D:$D,$A13,'LCIA raw results SC2'!$G:$G,P$2,'LCIA raw results SC2'!$H:$H,$B13)</f>
        <v>1.106E-2</v>
      </c>
      <c r="Q13" s="81">
        <f>SUMIFS('LCIA raw results SC2'!$E:$E,'LCIA raw results SC2'!$D:$D,$A13,'LCIA raw results SC2'!$G:$G,Q$2,'LCIA raw results SC2'!$H:$H,$B13)</f>
        <v>0.96716000000000002</v>
      </c>
      <c r="R13" s="81">
        <f>SUMIFS('LCIA raw results SC2'!$E:$E,'LCIA raw results SC2'!$D:$D,$A13,'LCIA raw results SC2'!$G:$G,R$2,'LCIA raw results SC2'!$H:$H,$B13)</f>
        <v>31.02683</v>
      </c>
      <c r="S13" s="81">
        <f>SUMIFS('LCIA raw results SC2'!$E:$E,'LCIA raw results SC2'!$D:$D,$A13,'LCIA raw results SC2'!$G:$G,S$2,'LCIA raw results SC2'!$H:$H,$B13)</f>
        <v>3.1042800000000002</v>
      </c>
      <c r="T13" s="82">
        <f>SUMIFS('LCIA raw results SC2'!$E:$E,'LCIA raw results SC2'!$D:$D,$A13,'LCIA raw results SC2'!$G:$G,T$2,'LCIA raw results SC2'!$H:$H,$B13)</f>
        <v>1.0270300000000001</v>
      </c>
    </row>
    <row r="14" spans="1:20" ht="12.5" x14ac:dyDescent="0.25">
      <c r="A14" s="79" t="s">
        <v>580</v>
      </c>
      <c r="B14" s="81" t="s">
        <v>567</v>
      </c>
      <c r="C14" s="81" t="s">
        <v>0</v>
      </c>
      <c r="D14" s="81">
        <f>SUMIFS('LCIA raw results SC2'!$E:$E,'LCIA raw results SC2'!$D:$D,$A14,'LCIA raw results SC2'!$G:$G,D$2,'LCIA raw results SC2'!$H:$H,$B14)</f>
        <v>103.22808999999999</v>
      </c>
      <c r="E14" s="81">
        <f>SUMIFS('LCIA raw results SC2'!$E:$E,'LCIA raw results SC2'!$D:$D,$A14,'LCIA raw results SC2'!$G:$G,E$2,'LCIA raw results SC2'!$H:$H,$B14)</f>
        <v>8.0068500000000001E-5</v>
      </c>
      <c r="F14" s="81">
        <f>SUMIFS('LCIA raw results SC2'!$E:$E,'LCIA raw results SC2'!$D:$D,$A14,'LCIA raw results SC2'!$G:$G,F$2,'LCIA raw results SC2'!$H:$H,$B14)</f>
        <v>0.41171999999999997</v>
      </c>
      <c r="G14" s="81">
        <f>SUMIFS('LCIA raw results SC2'!$E:$E,'LCIA raw results SC2'!$D:$D,$A14,'LCIA raw results SC2'!$G:$G,G$2,'LCIA raw results SC2'!$H:$H,$B14)</f>
        <v>1.17614</v>
      </c>
      <c r="H14" s="81">
        <f>SUMIFS('LCIA raw results SC2'!$E:$E,'LCIA raw results SC2'!$D:$D,$A14,'LCIA raw results SC2'!$G:$G,H$2,'LCIA raw results SC2'!$H:$H,$B14)</f>
        <v>9.6661800000000007</v>
      </c>
      <c r="I14" s="81">
        <f>SUMIFS('LCIA raw results SC2'!$E:$E,'LCIA raw results SC2'!$D:$D,$A14,'LCIA raw results SC2'!$G:$G,I$2,'LCIA raw results SC2'!$H:$H,$B14)</f>
        <v>9.4796700000000005</v>
      </c>
      <c r="J14" s="81">
        <f>SUMIFS('LCIA raw results SC2'!$E:$E,'LCIA raw results SC2'!$D:$D,$A14,'LCIA raw results SC2'!$G:$G,J$2,'LCIA raw results SC2'!$H:$H,$B14)</f>
        <v>822.34914000000003</v>
      </c>
      <c r="K14" s="81">
        <f>SUMIFS('LCIA raw results SC2'!$E:$E,'LCIA raw results SC2'!$D:$D,$A14,'LCIA raw results SC2'!$G:$G,K$2,'LCIA raw results SC2'!$H:$H,$B14)</f>
        <v>24.40249</v>
      </c>
      <c r="L14" s="81">
        <f>SUMIFS('LCIA raw results SC2'!$E:$E,'LCIA raw results SC2'!$D:$D,$A14,'LCIA raw results SC2'!$G:$G,L$2,'LCIA raw results SC2'!$H:$H,$B14)</f>
        <v>41.824910000000003</v>
      </c>
      <c r="M14" s="81">
        <f>SUMIFS('LCIA raw results SC2'!$E:$E,'LCIA raw results SC2'!$D:$D,$A14,'LCIA raw results SC2'!$G:$G,M$2,'LCIA raw results SC2'!$H:$H,$B14)</f>
        <v>750.59803999999997</v>
      </c>
      <c r="N14" s="81">
        <f>SUMIFS('LCIA raw results SC2'!$E:$E,'LCIA raw results SC2'!$D:$D,$A14,'LCIA raw results SC2'!$G:$G,N$2,'LCIA raw results SC2'!$H:$H,$B14)</f>
        <v>3.68486</v>
      </c>
      <c r="O14" s="81">
        <f>SUMIFS('LCIA raw results SC2'!$E:$E,'LCIA raw results SC2'!$D:$D,$A14,'LCIA raw results SC2'!$G:$G,O$2,'LCIA raw results SC2'!$H:$H,$B14)</f>
        <v>0.15944</v>
      </c>
      <c r="P14" s="81">
        <f>SUMIFS('LCIA raw results SC2'!$E:$E,'LCIA raw results SC2'!$D:$D,$A14,'LCIA raw results SC2'!$G:$G,P$2,'LCIA raw results SC2'!$H:$H,$B14)</f>
        <v>7.3499999999999998E-3</v>
      </c>
      <c r="Q14" s="81">
        <f>SUMIFS('LCIA raw results SC2'!$E:$E,'LCIA raw results SC2'!$D:$D,$A14,'LCIA raw results SC2'!$G:$G,Q$2,'LCIA raw results SC2'!$H:$H,$B14)</f>
        <v>1.68821</v>
      </c>
      <c r="R14" s="81">
        <f>SUMIFS('LCIA raw results SC2'!$E:$E,'LCIA raw results SC2'!$D:$D,$A14,'LCIA raw results SC2'!$G:$G,R$2,'LCIA raw results SC2'!$H:$H,$B14)</f>
        <v>27.537130000000001</v>
      </c>
      <c r="S14" s="81">
        <f>SUMIFS('LCIA raw results SC2'!$E:$E,'LCIA raw results SC2'!$D:$D,$A14,'LCIA raw results SC2'!$G:$G,S$2,'LCIA raw results SC2'!$H:$H,$B14)</f>
        <v>8.3597999999999999</v>
      </c>
      <c r="T14" s="82">
        <f>SUMIFS('LCIA raw results SC2'!$E:$E,'LCIA raw results SC2'!$D:$D,$A14,'LCIA raw results SC2'!$G:$G,T$2,'LCIA raw results SC2'!$H:$H,$B14)</f>
        <v>1.0081899999999999</v>
      </c>
    </row>
    <row r="15" spans="1:20" ht="12.5" x14ac:dyDescent="0.25">
      <c r="A15" s="79" t="s">
        <v>581</v>
      </c>
      <c r="B15" s="81" t="s">
        <v>567</v>
      </c>
      <c r="C15" s="81" t="s">
        <v>0</v>
      </c>
      <c r="D15" s="81">
        <f>SUMIFS('LCIA raw results SC2'!$E:$E,'LCIA raw results SC2'!$D:$D,$A15,'LCIA raw results SC2'!$G:$G,D$2,'LCIA raw results SC2'!$H:$H,$B15)</f>
        <v>28.0045</v>
      </c>
      <c r="E15" s="81">
        <f>SUMIFS('LCIA raw results SC2'!$E:$E,'LCIA raw results SC2'!$D:$D,$A15,'LCIA raw results SC2'!$G:$G,E$2,'LCIA raw results SC2'!$H:$H,$B15)</f>
        <v>3.6037800000000002E-5</v>
      </c>
      <c r="F15" s="81">
        <f>SUMIFS('LCIA raw results SC2'!$E:$E,'LCIA raw results SC2'!$D:$D,$A15,'LCIA raw results SC2'!$G:$G,F$2,'LCIA raw results SC2'!$H:$H,$B15)</f>
        <v>0.21012</v>
      </c>
      <c r="G15" s="81">
        <f>SUMIFS('LCIA raw results SC2'!$E:$E,'LCIA raw results SC2'!$D:$D,$A15,'LCIA raw results SC2'!$G:$G,G$2,'LCIA raw results SC2'!$H:$H,$B15)</f>
        <v>0.21232999999999999</v>
      </c>
      <c r="H15" s="81">
        <f>SUMIFS('LCIA raw results SC2'!$E:$E,'LCIA raw results SC2'!$D:$D,$A15,'LCIA raw results SC2'!$G:$G,H$2,'LCIA raw results SC2'!$H:$H,$B15)</f>
        <v>2.2599900000000002</v>
      </c>
      <c r="I15" s="81">
        <f>SUMIFS('LCIA raw results SC2'!$E:$E,'LCIA raw results SC2'!$D:$D,$A15,'LCIA raw results SC2'!$G:$G,I$2,'LCIA raw results SC2'!$H:$H,$B15)</f>
        <v>20.409739999999999</v>
      </c>
      <c r="J15" s="81">
        <f>SUMIFS('LCIA raw results SC2'!$E:$E,'LCIA raw results SC2'!$D:$D,$A15,'LCIA raw results SC2'!$G:$G,J$2,'LCIA raw results SC2'!$H:$H,$B15)</f>
        <v>3580.3932199999999</v>
      </c>
      <c r="K15" s="81">
        <f>SUMIFS('LCIA raw results SC2'!$E:$E,'LCIA raw results SC2'!$D:$D,$A15,'LCIA raw results SC2'!$G:$G,K$2,'LCIA raw results SC2'!$H:$H,$B15)</f>
        <v>103.63094</v>
      </c>
      <c r="L15" s="81">
        <f>SUMIFS('LCIA raw results SC2'!$E:$E,'LCIA raw results SC2'!$D:$D,$A15,'LCIA raw results SC2'!$G:$G,L$2,'LCIA raw results SC2'!$H:$H,$B15)</f>
        <v>145.93374</v>
      </c>
      <c r="M15" s="81">
        <f>SUMIFS('LCIA raw results SC2'!$E:$E,'LCIA raw results SC2'!$D:$D,$A15,'LCIA raw results SC2'!$G:$G,M$2,'LCIA raw results SC2'!$H:$H,$B15)</f>
        <v>190.68117000000001</v>
      </c>
      <c r="N15" s="81">
        <f>SUMIFS('LCIA raw results SC2'!$E:$E,'LCIA raw results SC2'!$D:$D,$A15,'LCIA raw results SC2'!$G:$G,N$2,'LCIA raw results SC2'!$H:$H,$B15)</f>
        <v>0.64273000000000002</v>
      </c>
      <c r="O15" s="81">
        <f>SUMIFS('LCIA raw results SC2'!$E:$E,'LCIA raw results SC2'!$D:$D,$A15,'LCIA raw results SC2'!$G:$G,O$2,'LCIA raw results SC2'!$H:$H,$B15)</f>
        <v>0.57099999999999995</v>
      </c>
      <c r="P15" s="81">
        <f>SUMIFS('LCIA raw results SC2'!$E:$E,'LCIA raw results SC2'!$D:$D,$A15,'LCIA raw results SC2'!$G:$G,P$2,'LCIA raw results SC2'!$H:$H,$B15)</f>
        <v>8.9800000000000001E-3</v>
      </c>
      <c r="Q15" s="81">
        <f>SUMIFS('LCIA raw results SC2'!$E:$E,'LCIA raw results SC2'!$D:$D,$A15,'LCIA raw results SC2'!$G:$G,Q$2,'LCIA raw results SC2'!$H:$H,$B15)</f>
        <v>2.41229</v>
      </c>
      <c r="R15" s="81">
        <f>SUMIFS('LCIA raw results SC2'!$E:$E,'LCIA raw results SC2'!$D:$D,$A15,'LCIA raw results SC2'!$G:$G,R$2,'LCIA raw results SC2'!$H:$H,$B15)</f>
        <v>7.6820599999999999</v>
      </c>
      <c r="S15" s="81">
        <f>SUMIFS('LCIA raw results SC2'!$E:$E,'LCIA raw results SC2'!$D:$D,$A15,'LCIA raw results SC2'!$G:$G,S$2,'LCIA raw results SC2'!$H:$H,$B15)</f>
        <v>5.4182800000000002</v>
      </c>
      <c r="T15" s="82">
        <f>SUMIFS('LCIA raw results SC2'!$E:$E,'LCIA raw results SC2'!$D:$D,$A15,'LCIA raw results SC2'!$G:$G,T$2,'LCIA raw results SC2'!$H:$H,$B15)</f>
        <v>0.24524000000000001</v>
      </c>
    </row>
    <row r="16" spans="1:20" ht="12.5" x14ac:dyDescent="0.25">
      <c r="A16" s="79" t="s">
        <v>582</v>
      </c>
      <c r="B16" s="81" t="s">
        <v>567</v>
      </c>
      <c r="C16" s="81" t="s">
        <v>0</v>
      </c>
      <c r="D16" s="81">
        <f>SUMIFS('LCIA raw results SC2'!$E:$E,'LCIA raw results SC2'!$D:$D,$A16,'LCIA raw results SC2'!$G:$G,D$2,'LCIA raw results SC2'!$H:$H,$B16)</f>
        <v>24.877510000000001</v>
      </c>
      <c r="E16" s="81">
        <f>SUMIFS('LCIA raw results SC2'!$E:$E,'LCIA raw results SC2'!$D:$D,$A16,'LCIA raw results SC2'!$G:$G,E$2,'LCIA raw results SC2'!$H:$H,$B16)</f>
        <v>1.81128E-5</v>
      </c>
      <c r="F16" s="81">
        <f>SUMIFS('LCIA raw results SC2'!$E:$E,'LCIA raw results SC2'!$D:$D,$A16,'LCIA raw results SC2'!$G:$G,F$2,'LCIA raw results SC2'!$H:$H,$B16)</f>
        <v>0.10499</v>
      </c>
      <c r="G16" s="81">
        <f>SUMIFS('LCIA raw results SC2'!$E:$E,'LCIA raw results SC2'!$D:$D,$A16,'LCIA raw results SC2'!$G:$G,G$2,'LCIA raw results SC2'!$H:$H,$B16)</f>
        <v>9.0149999999999994E-2</v>
      </c>
      <c r="H16" s="81">
        <f>SUMIFS('LCIA raw results SC2'!$E:$E,'LCIA raw results SC2'!$D:$D,$A16,'LCIA raw results SC2'!$G:$G,H$2,'LCIA raw results SC2'!$H:$H,$B16)</f>
        <v>2.6109</v>
      </c>
      <c r="I16" s="81">
        <f>SUMIFS('LCIA raw results SC2'!$E:$E,'LCIA raw results SC2'!$D:$D,$A16,'LCIA raw results SC2'!$G:$G,I$2,'LCIA raw results SC2'!$H:$H,$B16)</f>
        <v>3.18465</v>
      </c>
      <c r="J16" s="81">
        <f>SUMIFS('LCIA raw results SC2'!$E:$E,'LCIA raw results SC2'!$D:$D,$A16,'LCIA raw results SC2'!$G:$G,J$2,'LCIA raw results SC2'!$H:$H,$B16)</f>
        <v>170.82057</v>
      </c>
      <c r="K16" s="81">
        <f>SUMIFS('LCIA raw results SC2'!$E:$E,'LCIA raw results SC2'!$D:$D,$A16,'LCIA raw results SC2'!$G:$G,K$2,'LCIA raw results SC2'!$H:$H,$B16)</f>
        <v>4.9698799999999999</v>
      </c>
      <c r="L16" s="81">
        <f>SUMIFS('LCIA raw results SC2'!$E:$E,'LCIA raw results SC2'!$D:$D,$A16,'LCIA raw results SC2'!$G:$G,L$2,'LCIA raw results SC2'!$H:$H,$B16)</f>
        <v>8.3693100000000005</v>
      </c>
      <c r="M16" s="81">
        <f>SUMIFS('LCIA raw results SC2'!$E:$E,'LCIA raw results SC2'!$D:$D,$A16,'LCIA raw results SC2'!$G:$G,M$2,'LCIA raw results SC2'!$H:$H,$B16)</f>
        <v>271.37959999999998</v>
      </c>
      <c r="N16" s="81">
        <f>SUMIFS('LCIA raw results SC2'!$E:$E,'LCIA raw results SC2'!$D:$D,$A16,'LCIA raw results SC2'!$G:$G,N$2,'LCIA raw results SC2'!$H:$H,$B16)</f>
        <v>0.20548</v>
      </c>
      <c r="O16" s="81">
        <f>SUMIFS('LCIA raw results SC2'!$E:$E,'LCIA raw results SC2'!$D:$D,$A16,'LCIA raw results SC2'!$G:$G,O$2,'LCIA raw results SC2'!$H:$H,$B16)</f>
        <v>3.4509999999999999E-2</v>
      </c>
      <c r="P16" s="81">
        <f>SUMIFS('LCIA raw results SC2'!$E:$E,'LCIA raw results SC2'!$D:$D,$A16,'LCIA raw results SC2'!$G:$G,P$2,'LCIA raw results SC2'!$H:$H,$B16)</f>
        <v>1.66E-3</v>
      </c>
      <c r="Q16" s="81">
        <f>SUMIFS('LCIA raw results SC2'!$E:$E,'LCIA raw results SC2'!$D:$D,$A16,'LCIA raw results SC2'!$G:$G,Q$2,'LCIA raw results SC2'!$H:$H,$B16)</f>
        <v>0.54407000000000005</v>
      </c>
      <c r="R16" s="81">
        <f>SUMIFS('LCIA raw results SC2'!$E:$E,'LCIA raw results SC2'!$D:$D,$A16,'LCIA raw results SC2'!$G:$G,R$2,'LCIA raw results SC2'!$H:$H,$B16)</f>
        <v>6.3056000000000001</v>
      </c>
      <c r="S16" s="81">
        <f>SUMIFS('LCIA raw results SC2'!$E:$E,'LCIA raw results SC2'!$D:$D,$A16,'LCIA raw results SC2'!$G:$G,S$2,'LCIA raw results SC2'!$H:$H,$B16)</f>
        <v>2.1285099999999999</v>
      </c>
      <c r="T16" s="82">
        <f>SUMIFS('LCIA raw results SC2'!$E:$E,'LCIA raw results SC2'!$D:$D,$A16,'LCIA raw results SC2'!$G:$G,T$2,'LCIA raw results SC2'!$H:$H,$B16)</f>
        <v>0.22222</v>
      </c>
    </row>
    <row r="17" spans="1:20" ht="12.5" x14ac:dyDescent="0.25">
      <c r="A17" s="79" t="s">
        <v>583</v>
      </c>
      <c r="B17" s="81" t="s">
        <v>567</v>
      </c>
      <c r="C17" s="81" t="s">
        <v>0</v>
      </c>
      <c r="D17" s="81">
        <f>SUMIFS('LCIA raw results SC2'!$E:$E,'LCIA raw results SC2'!$D:$D,$A17,'LCIA raw results SC2'!$G:$G,D$2,'LCIA raw results SC2'!$H:$H,$B17)</f>
        <v>23.380099999999999</v>
      </c>
      <c r="E17" s="81">
        <f>SUMIFS('LCIA raw results SC2'!$E:$E,'LCIA raw results SC2'!$D:$D,$A17,'LCIA raw results SC2'!$G:$G,E$2,'LCIA raw results SC2'!$H:$H,$B17)</f>
        <v>1.5605799999999999E-5</v>
      </c>
      <c r="F17" s="81">
        <f>SUMIFS('LCIA raw results SC2'!$E:$E,'LCIA raw results SC2'!$D:$D,$A17,'LCIA raw results SC2'!$G:$G,F$2,'LCIA raw results SC2'!$H:$H,$B17)</f>
        <v>7.6920000000000002E-2</v>
      </c>
      <c r="G17" s="81">
        <f>SUMIFS('LCIA raw results SC2'!$E:$E,'LCIA raw results SC2'!$D:$D,$A17,'LCIA raw results SC2'!$G:$G,G$2,'LCIA raw results SC2'!$H:$H,$B17)</f>
        <v>6.7030000000000006E-2</v>
      </c>
      <c r="H17" s="81">
        <f>SUMIFS('LCIA raw results SC2'!$E:$E,'LCIA raw results SC2'!$D:$D,$A17,'LCIA raw results SC2'!$G:$G,H$2,'LCIA raw results SC2'!$H:$H,$B17)</f>
        <v>2.3862299999999999</v>
      </c>
      <c r="I17" s="81">
        <f>SUMIFS('LCIA raw results SC2'!$E:$E,'LCIA raw results SC2'!$D:$D,$A17,'LCIA raw results SC2'!$G:$G,I$2,'LCIA raw results SC2'!$H:$H,$B17)</f>
        <v>3.0554700000000001</v>
      </c>
      <c r="J17" s="81">
        <f>SUMIFS('LCIA raw results SC2'!$E:$E,'LCIA raw results SC2'!$D:$D,$A17,'LCIA raw results SC2'!$G:$G,J$2,'LCIA raw results SC2'!$H:$H,$B17)</f>
        <v>394.11718000000002</v>
      </c>
      <c r="K17" s="81">
        <f>SUMIFS('LCIA raw results SC2'!$E:$E,'LCIA raw results SC2'!$D:$D,$A17,'LCIA raw results SC2'!$G:$G,K$2,'LCIA raw results SC2'!$H:$H,$B17)</f>
        <v>11.40066</v>
      </c>
      <c r="L17" s="81">
        <f>SUMIFS('LCIA raw results SC2'!$E:$E,'LCIA raw results SC2'!$D:$D,$A17,'LCIA raw results SC2'!$G:$G,L$2,'LCIA raw results SC2'!$H:$H,$B17)</f>
        <v>15.90071</v>
      </c>
      <c r="M17" s="81">
        <f>SUMIFS('LCIA raw results SC2'!$E:$E,'LCIA raw results SC2'!$D:$D,$A17,'LCIA raw results SC2'!$G:$G,M$2,'LCIA raw results SC2'!$H:$H,$B17)</f>
        <v>100.46992</v>
      </c>
      <c r="N17" s="81">
        <f>SUMIFS('LCIA raw results SC2'!$E:$E,'LCIA raw results SC2'!$D:$D,$A17,'LCIA raw results SC2'!$G:$G,N$2,'LCIA raw results SC2'!$H:$H,$B17)</f>
        <v>0.11024</v>
      </c>
      <c r="O17" s="81">
        <f>SUMIFS('LCIA raw results SC2'!$E:$E,'LCIA raw results SC2'!$D:$D,$A17,'LCIA raw results SC2'!$G:$G,O$2,'LCIA raw results SC2'!$H:$H,$B17)</f>
        <v>7.1709999999999996E-2</v>
      </c>
      <c r="P17" s="81">
        <f>SUMIFS('LCIA raw results SC2'!$E:$E,'LCIA raw results SC2'!$D:$D,$A17,'LCIA raw results SC2'!$G:$G,P$2,'LCIA raw results SC2'!$H:$H,$B17)</f>
        <v>1.92E-3</v>
      </c>
      <c r="Q17" s="81">
        <f>SUMIFS('LCIA raw results SC2'!$E:$E,'LCIA raw results SC2'!$D:$D,$A17,'LCIA raw results SC2'!$G:$G,Q$2,'LCIA raw results SC2'!$H:$H,$B17)</f>
        <v>0.23535</v>
      </c>
      <c r="R17" s="81">
        <f>SUMIFS('LCIA raw results SC2'!$E:$E,'LCIA raw results SC2'!$D:$D,$A17,'LCIA raw results SC2'!$G:$G,R$2,'LCIA raw results SC2'!$H:$H,$B17)</f>
        <v>5.9904799999999998</v>
      </c>
      <c r="S17" s="81">
        <f>SUMIFS('LCIA raw results SC2'!$E:$E,'LCIA raw results SC2'!$D:$D,$A17,'LCIA raw results SC2'!$G:$G,S$2,'LCIA raw results SC2'!$H:$H,$B17)</f>
        <v>0.92671000000000003</v>
      </c>
      <c r="T17" s="82">
        <f>SUMIFS('LCIA raw results SC2'!$E:$E,'LCIA raw results SC2'!$D:$D,$A17,'LCIA raw results SC2'!$G:$G,T$2,'LCIA raw results SC2'!$H:$H,$B17)</f>
        <v>0.24673</v>
      </c>
    </row>
    <row r="18" spans="1:20" ht="12.5" x14ac:dyDescent="0.25">
      <c r="A18" s="79" t="s">
        <v>315</v>
      </c>
      <c r="B18" s="81" t="s">
        <v>567</v>
      </c>
      <c r="C18" s="81" t="s">
        <v>819</v>
      </c>
      <c r="D18" s="81">
        <f>SUMIFS('LCIA raw results SC2'!$E:$E,'LCIA raw results SC2'!$D:$D,$A18,'LCIA raw results SC2'!$G:$G,D$2,'LCIA raw results SC2'!$H:$H,$B18)</f>
        <v>15.625170000000001</v>
      </c>
      <c r="E18" s="81">
        <f>SUMIFS('LCIA raw results SC2'!$E:$E,'LCIA raw results SC2'!$D:$D,$A18,'LCIA raw results SC2'!$G:$G,E$2,'LCIA raw results SC2'!$H:$H,$B18)</f>
        <v>9.22378E-6</v>
      </c>
      <c r="F18" s="81">
        <f>SUMIFS('LCIA raw results SC2'!$E:$E,'LCIA raw results SC2'!$D:$D,$A18,'LCIA raw results SC2'!$G:$G,F$2,'LCIA raw results SC2'!$H:$H,$B18)</f>
        <v>1.8849999999999999E-2</v>
      </c>
      <c r="G18" s="81">
        <f>SUMIFS('LCIA raw results SC2'!$E:$E,'LCIA raw results SC2'!$D:$D,$A18,'LCIA raw results SC2'!$G:$G,G$2,'LCIA raw results SC2'!$H:$H,$B18)</f>
        <v>1.0699999999999999E-2</v>
      </c>
      <c r="H18" s="81">
        <f>SUMIFS('LCIA raw results SC2'!$E:$E,'LCIA raw results SC2'!$D:$D,$A18,'LCIA raw results SC2'!$G:$G,H$2,'LCIA raw results SC2'!$H:$H,$B18)</f>
        <v>0.30068</v>
      </c>
      <c r="I18" s="81">
        <f>SUMIFS('LCIA raw results SC2'!$E:$E,'LCIA raw results SC2'!$D:$D,$A18,'LCIA raw results SC2'!$G:$G,I$2,'LCIA raw results SC2'!$H:$H,$B18)</f>
        <v>0.66612000000000005</v>
      </c>
      <c r="J18" s="81">
        <f>SUMIFS('LCIA raw results SC2'!$E:$E,'LCIA raw results SC2'!$D:$D,$A18,'LCIA raw results SC2'!$G:$G,J$2,'LCIA raw results SC2'!$H:$H,$B18)</f>
        <v>25.916920000000001</v>
      </c>
      <c r="K18" s="81">
        <f>SUMIFS('LCIA raw results SC2'!$E:$E,'LCIA raw results SC2'!$D:$D,$A18,'LCIA raw results SC2'!$G:$G,K$2,'LCIA raw results SC2'!$H:$H,$B18)</f>
        <v>17.65841</v>
      </c>
      <c r="L18" s="81">
        <f>SUMIFS('LCIA raw results SC2'!$E:$E,'LCIA raw results SC2'!$D:$D,$A18,'LCIA raw results SC2'!$G:$G,L$2,'LCIA raw results SC2'!$H:$H,$B18)</f>
        <v>21.162030000000001</v>
      </c>
      <c r="M18" s="81">
        <f>SUMIFS('LCIA raw results SC2'!$E:$E,'LCIA raw results SC2'!$D:$D,$A18,'LCIA raw results SC2'!$G:$G,M$2,'LCIA raw results SC2'!$H:$H,$B18)</f>
        <v>97.288319999999999</v>
      </c>
      <c r="N18" s="81">
        <f>SUMIFS('LCIA raw results SC2'!$E:$E,'LCIA raw results SC2'!$D:$D,$A18,'LCIA raw results SC2'!$G:$G,N$2,'LCIA raw results SC2'!$H:$H,$B18)</f>
        <v>2.4119999999999999E-2</v>
      </c>
      <c r="O18" s="81">
        <f>SUMIFS('LCIA raw results SC2'!$E:$E,'LCIA raw results SC2'!$D:$D,$A18,'LCIA raw results SC2'!$G:$G,O$2,'LCIA raw results SC2'!$H:$H,$B18)</f>
        <v>3.0500000000000002E-3</v>
      </c>
      <c r="P18" s="81">
        <f>SUMIFS('LCIA raw results SC2'!$E:$E,'LCIA raw results SC2'!$D:$D,$A18,'LCIA raw results SC2'!$G:$G,P$2,'LCIA raw results SC2'!$H:$H,$B18)</f>
        <v>2.9999999999999997E-4</v>
      </c>
      <c r="Q18" s="81">
        <f>SUMIFS('LCIA raw results SC2'!$E:$E,'LCIA raw results SC2'!$D:$D,$A18,'LCIA raw results SC2'!$G:$G,Q$2,'LCIA raw results SC2'!$H:$H,$B18)</f>
        <v>6.8940000000000001E-2</v>
      </c>
      <c r="R18" s="81">
        <f>SUMIFS('LCIA raw results SC2'!$E:$E,'LCIA raw results SC2'!$D:$D,$A18,'LCIA raw results SC2'!$G:$G,R$2,'LCIA raw results SC2'!$H:$H,$B18)</f>
        <v>1.3360099999999999</v>
      </c>
      <c r="S18" s="81">
        <f>SUMIFS('LCIA raw results SC2'!$E:$E,'LCIA raw results SC2'!$D:$D,$A18,'LCIA raw results SC2'!$G:$G,S$2,'LCIA raw results SC2'!$H:$H,$B18)</f>
        <v>5.5669999999999997E-2</v>
      </c>
      <c r="T18" s="82">
        <f>SUMIFS('LCIA raw results SC2'!$E:$E,'LCIA raw results SC2'!$D:$D,$A18,'LCIA raw results SC2'!$G:$G,T$2,'LCIA raw results SC2'!$H:$H,$B18)</f>
        <v>7.2760000000000005E-2</v>
      </c>
    </row>
    <row r="19" spans="1:20" ht="12.5" x14ac:dyDescent="0.25">
      <c r="A19" s="79" t="s">
        <v>317</v>
      </c>
      <c r="B19" s="81" t="s">
        <v>567</v>
      </c>
      <c r="C19" s="81" t="s">
        <v>108</v>
      </c>
      <c r="D19" s="81">
        <f>SUMIFS('LCIA raw results SC2'!$E:$E,'LCIA raw results SC2'!$D:$D,$A19,'LCIA raw results SC2'!$G:$G,D$2,'LCIA raw results SC2'!$H:$H,$B19)</f>
        <v>13.65944</v>
      </c>
      <c r="E19" s="81">
        <f>SUMIFS('LCIA raw results SC2'!$E:$E,'LCIA raw results SC2'!$D:$D,$A19,'LCIA raw results SC2'!$G:$G,E$2,'LCIA raw results SC2'!$H:$H,$B19)</f>
        <v>9.9070599999999993E-6</v>
      </c>
      <c r="F19" s="81">
        <f>SUMIFS('LCIA raw results SC2'!$E:$E,'LCIA raw results SC2'!$D:$D,$A19,'LCIA raw results SC2'!$G:$G,F$2,'LCIA raw results SC2'!$H:$H,$B19)</f>
        <v>4.3099999999999999E-2</v>
      </c>
      <c r="G19" s="81">
        <f>SUMIFS('LCIA raw results SC2'!$E:$E,'LCIA raw results SC2'!$D:$D,$A19,'LCIA raw results SC2'!$G:$G,G$2,'LCIA raw results SC2'!$H:$H,$B19)</f>
        <v>1.52E-2</v>
      </c>
      <c r="H19" s="81">
        <f>SUMIFS('LCIA raw results SC2'!$E:$E,'LCIA raw results SC2'!$D:$D,$A19,'LCIA raw results SC2'!$G:$G,H$2,'LCIA raw results SC2'!$H:$H,$B19)</f>
        <v>0.24296000000000001</v>
      </c>
      <c r="I19" s="81">
        <f>SUMIFS('LCIA raw results SC2'!$E:$E,'LCIA raw results SC2'!$D:$D,$A19,'LCIA raw results SC2'!$G:$G,I$2,'LCIA raw results SC2'!$H:$H,$B19)</f>
        <v>0.27721000000000001</v>
      </c>
      <c r="J19" s="81">
        <f>SUMIFS('LCIA raw results SC2'!$E:$E,'LCIA raw results SC2'!$D:$D,$A19,'LCIA raw results SC2'!$G:$G,J$2,'LCIA raw results SC2'!$H:$H,$B19)</f>
        <v>7.8163600000000004</v>
      </c>
      <c r="K19" s="81">
        <f>SUMIFS('LCIA raw results SC2'!$E:$E,'LCIA raw results SC2'!$D:$D,$A19,'LCIA raw results SC2'!$G:$G,K$2,'LCIA raw results SC2'!$H:$H,$B19)</f>
        <v>0.1963</v>
      </c>
      <c r="L19" s="81">
        <f>SUMIFS('LCIA raw results SC2'!$E:$E,'LCIA raw results SC2'!$D:$D,$A19,'LCIA raw results SC2'!$G:$G,L$2,'LCIA raw results SC2'!$H:$H,$B19)</f>
        <v>0.35589999999999999</v>
      </c>
      <c r="M19" s="81">
        <f>SUMIFS('LCIA raw results SC2'!$E:$E,'LCIA raw results SC2'!$D:$D,$A19,'LCIA raw results SC2'!$G:$G,M$2,'LCIA raw results SC2'!$H:$H,$B19)</f>
        <v>177.47608</v>
      </c>
      <c r="N19" s="81">
        <f>SUMIFS('LCIA raw results SC2'!$E:$E,'LCIA raw results SC2'!$D:$D,$A19,'LCIA raw results SC2'!$G:$G,N$2,'LCIA raw results SC2'!$H:$H,$B19)</f>
        <v>3.4029999999999998E-2</v>
      </c>
      <c r="O19" s="81">
        <f>SUMIFS('LCIA raw results SC2'!$E:$E,'LCIA raw results SC2'!$D:$D,$A19,'LCIA raw results SC2'!$G:$G,O$2,'LCIA raw results SC2'!$H:$H,$B19)</f>
        <v>1.06E-3</v>
      </c>
      <c r="P19" s="81">
        <f>SUMIFS('LCIA raw results SC2'!$E:$E,'LCIA raw results SC2'!$D:$D,$A19,'LCIA raw results SC2'!$G:$G,P$2,'LCIA raw results SC2'!$H:$H,$B19)</f>
        <v>8.9728999999999994E-5</v>
      </c>
      <c r="Q19" s="81">
        <f>SUMIFS('LCIA raw results SC2'!$E:$E,'LCIA raw results SC2'!$D:$D,$A19,'LCIA raw results SC2'!$G:$G,Q$2,'LCIA raw results SC2'!$H:$H,$B19)</f>
        <v>0.43245</v>
      </c>
      <c r="R19" s="81">
        <f>SUMIFS('LCIA raw results SC2'!$E:$E,'LCIA raw results SC2'!$D:$D,$A19,'LCIA raw results SC2'!$G:$G,R$2,'LCIA raw results SC2'!$H:$H,$B19)</f>
        <v>4.72987</v>
      </c>
      <c r="S19" s="81">
        <f>SUMIFS('LCIA raw results SC2'!$E:$E,'LCIA raw results SC2'!$D:$D,$A19,'LCIA raw results SC2'!$G:$G,S$2,'LCIA raw results SC2'!$H:$H,$B19)</f>
        <v>2.4639999999999999E-2</v>
      </c>
      <c r="T19" s="82">
        <f>SUMIFS('LCIA raw results SC2'!$E:$E,'LCIA raw results SC2'!$D:$D,$A19,'LCIA raw results SC2'!$G:$G,T$2,'LCIA raw results SC2'!$H:$H,$B19)</f>
        <v>3.7719999999999997E-2</v>
      </c>
    </row>
    <row r="20" spans="1:20" ht="12.5" x14ac:dyDescent="0.25">
      <c r="A20" s="79" t="s">
        <v>319</v>
      </c>
      <c r="B20" s="81" t="s">
        <v>567</v>
      </c>
      <c r="C20" s="81" t="s">
        <v>90</v>
      </c>
      <c r="D20" s="81">
        <f>SUMIFS('LCIA raw results SC2'!$E:$E,'LCIA raw results SC2'!$D:$D,$A20,'LCIA raw results SC2'!$G:$G,D$2,'LCIA raw results SC2'!$H:$H,$B20)</f>
        <v>10.5036</v>
      </c>
      <c r="E20" s="81">
        <f>SUMIFS('LCIA raw results SC2'!$E:$E,'LCIA raw results SC2'!$D:$D,$A20,'LCIA raw results SC2'!$G:$G,E$2,'LCIA raw results SC2'!$H:$H,$B20)</f>
        <v>2.2362100000000001E-6</v>
      </c>
      <c r="F20" s="81">
        <f>SUMIFS('LCIA raw results SC2'!$E:$E,'LCIA raw results SC2'!$D:$D,$A20,'LCIA raw results SC2'!$G:$G,F$2,'LCIA raw results SC2'!$H:$H,$B20)</f>
        <v>2.9069999999999999E-2</v>
      </c>
      <c r="G20" s="81">
        <f>SUMIFS('LCIA raw results SC2'!$E:$E,'LCIA raw results SC2'!$D:$D,$A20,'LCIA raw results SC2'!$G:$G,G$2,'LCIA raw results SC2'!$H:$H,$B20)</f>
        <v>1.6029999999999999E-2</v>
      </c>
      <c r="H20" s="81">
        <f>SUMIFS('LCIA raw results SC2'!$E:$E,'LCIA raw results SC2'!$D:$D,$A20,'LCIA raw results SC2'!$G:$G,H$2,'LCIA raw results SC2'!$H:$H,$B20)</f>
        <v>0.16361999999999999</v>
      </c>
      <c r="I20" s="81">
        <f>SUMIFS('LCIA raw results SC2'!$E:$E,'LCIA raw results SC2'!$D:$D,$A20,'LCIA raw results SC2'!$G:$G,I$2,'LCIA raw results SC2'!$H:$H,$B20)</f>
        <v>0.29425000000000001</v>
      </c>
      <c r="J20" s="81">
        <f>SUMIFS('LCIA raw results SC2'!$E:$E,'LCIA raw results SC2'!$D:$D,$A20,'LCIA raw results SC2'!$G:$G,J$2,'LCIA raw results SC2'!$H:$H,$B20)</f>
        <v>2.4316300000000002</v>
      </c>
      <c r="K20" s="81">
        <f>SUMIFS('LCIA raw results SC2'!$E:$E,'LCIA raw results SC2'!$D:$D,$A20,'LCIA raw results SC2'!$G:$G,K$2,'LCIA raw results SC2'!$H:$H,$B20)</f>
        <v>0.13178999999999999</v>
      </c>
      <c r="L20" s="81">
        <f>SUMIFS('LCIA raw results SC2'!$E:$E,'LCIA raw results SC2'!$D:$D,$A20,'LCIA raw results SC2'!$G:$G,L$2,'LCIA raw results SC2'!$H:$H,$B20)</f>
        <v>0.17810000000000001</v>
      </c>
      <c r="M20" s="81">
        <f>SUMIFS('LCIA raw results SC2'!$E:$E,'LCIA raw results SC2'!$D:$D,$A20,'LCIA raw results SC2'!$G:$G,M$2,'LCIA raw results SC2'!$H:$H,$B20)</f>
        <v>5.9693800000000001</v>
      </c>
      <c r="N20" s="81">
        <f>SUMIFS('LCIA raw results SC2'!$E:$E,'LCIA raw results SC2'!$D:$D,$A20,'LCIA raw results SC2'!$G:$G,N$2,'LCIA raw results SC2'!$H:$H,$B20)</f>
        <v>3.5799999999999998E-2</v>
      </c>
      <c r="O20" s="81">
        <f>SUMIFS('LCIA raw results SC2'!$E:$E,'LCIA raw results SC2'!$D:$D,$A20,'LCIA raw results SC2'!$G:$G,O$2,'LCIA raw results SC2'!$H:$H,$B20)</f>
        <v>1.9400000000000001E-3</v>
      </c>
      <c r="P20" s="81">
        <f>SUMIFS('LCIA raw results SC2'!$E:$E,'LCIA raw results SC2'!$D:$D,$A20,'LCIA raw results SC2'!$G:$G,P$2,'LCIA raw results SC2'!$H:$H,$B20)</f>
        <v>1.2E-4</v>
      </c>
      <c r="Q20" s="81">
        <f>SUMIFS('LCIA raw results SC2'!$E:$E,'LCIA raw results SC2'!$D:$D,$A20,'LCIA raw results SC2'!$G:$G,Q$2,'LCIA raw results SC2'!$H:$H,$B20)</f>
        <v>6.4829999999999999E-2</v>
      </c>
      <c r="R20" s="81">
        <f>SUMIFS('LCIA raw results SC2'!$E:$E,'LCIA raw results SC2'!$D:$D,$A20,'LCIA raw results SC2'!$G:$G,R$2,'LCIA raw results SC2'!$H:$H,$B20)</f>
        <v>2.0413700000000001</v>
      </c>
      <c r="S20" s="81">
        <f>SUMIFS('LCIA raw results SC2'!$E:$E,'LCIA raw results SC2'!$D:$D,$A20,'LCIA raw results SC2'!$G:$G,S$2,'LCIA raw results SC2'!$H:$H,$B20)</f>
        <v>3.4399999999999999E-3</v>
      </c>
      <c r="T20" s="82">
        <f>SUMIFS('LCIA raw results SC2'!$E:$E,'LCIA raw results SC2'!$D:$D,$A20,'LCIA raw results SC2'!$G:$G,T$2,'LCIA raw results SC2'!$H:$H,$B20)</f>
        <v>2.564E-2</v>
      </c>
    </row>
    <row r="21" spans="1:20" ht="12.5" x14ac:dyDescent="0.25">
      <c r="A21" s="79" t="s">
        <v>323</v>
      </c>
      <c r="B21" s="81" t="s">
        <v>567</v>
      </c>
      <c r="C21" s="81" t="s">
        <v>100</v>
      </c>
      <c r="D21" s="81">
        <f>SUMIFS('LCIA raw results SC2'!$E:$E,'LCIA raw results SC2'!$D:$D,$A21,'LCIA raw results SC2'!$G:$G,D$2,'LCIA raw results SC2'!$H:$H,$B21)</f>
        <v>8.3012599999999992</v>
      </c>
      <c r="E21" s="81">
        <f>SUMIFS('LCIA raw results SC2'!$E:$E,'LCIA raw results SC2'!$D:$D,$A21,'LCIA raw results SC2'!$G:$G,E$2,'LCIA raw results SC2'!$H:$H,$B21)</f>
        <v>9.4387699999999998E-6</v>
      </c>
      <c r="F21" s="81">
        <f>SUMIFS('LCIA raw results SC2'!$E:$E,'LCIA raw results SC2'!$D:$D,$A21,'LCIA raw results SC2'!$G:$G,F$2,'LCIA raw results SC2'!$H:$H,$B21)</f>
        <v>2.3109999999999999E-2</v>
      </c>
      <c r="G21" s="81">
        <f>SUMIFS('LCIA raw results SC2'!$E:$E,'LCIA raw results SC2'!$D:$D,$A21,'LCIA raw results SC2'!$G:$G,G$2,'LCIA raw results SC2'!$H:$H,$B21)</f>
        <v>1.401E-2</v>
      </c>
      <c r="H21" s="81">
        <f>SUMIFS('LCIA raw results SC2'!$E:$E,'LCIA raw results SC2'!$D:$D,$A21,'LCIA raw results SC2'!$G:$G,H$2,'LCIA raw results SC2'!$H:$H,$B21)</f>
        <v>0.37375999999999998</v>
      </c>
      <c r="I21" s="81">
        <f>SUMIFS('LCIA raw results SC2'!$E:$E,'LCIA raw results SC2'!$D:$D,$A21,'LCIA raw results SC2'!$G:$G,I$2,'LCIA raw results SC2'!$H:$H,$B21)</f>
        <v>0.34855999999999998</v>
      </c>
      <c r="J21" s="81">
        <f>SUMIFS('LCIA raw results SC2'!$E:$E,'LCIA raw results SC2'!$D:$D,$A21,'LCIA raw results SC2'!$G:$G,J$2,'LCIA raw results SC2'!$H:$H,$B21)</f>
        <v>10.50234</v>
      </c>
      <c r="K21" s="81">
        <f>SUMIFS('LCIA raw results SC2'!$E:$E,'LCIA raw results SC2'!$D:$D,$A21,'LCIA raw results SC2'!$G:$G,K$2,'LCIA raw results SC2'!$H:$H,$B21)</f>
        <v>0.32706000000000002</v>
      </c>
      <c r="L21" s="81">
        <f>SUMIFS('LCIA raw results SC2'!$E:$E,'LCIA raw results SC2'!$D:$D,$A21,'LCIA raw results SC2'!$G:$G,L$2,'LCIA raw results SC2'!$H:$H,$B21)</f>
        <v>0.46135999999999999</v>
      </c>
      <c r="M21" s="81">
        <f>SUMIFS('LCIA raw results SC2'!$E:$E,'LCIA raw results SC2'!$D:$D,$A21,'LCIA raw results SC2'!$G:$G,M$2,'LCIA raw results SC2'!$H:$H,$B21)</f>
        <v>34.200299999999999</v>
      </c>
      <c r="N21" s="81">
        <f>SUMIFS('LCIA raw results SC2'!$E:$E,'LCIA raw results SC2'!$D:$D,$A21,'LCIA raw results SC2'!$G:$G,N$2,'LCIA raw results SC2'!$H:$H,$B21)</f>
        <v>2.8289999999999999E-2</v>
      </c>
      <c r="O21" s="81">
        <f>SUMIFS('LCIA raw results SC2'!$E:$E,'LCIA raw results SC2'!$D:$D,$A21,'LCIA raw results SC2'!$G:$G,O$2,'LCIA raw results SC2'!$H:$H,$B21)</f>
        <v>3.7799999999999999E-3</v>
      </c>
      <c r="P21" s="81">
        <f>SUMIFS('LCIA raw results SC2'!$E:$E,'LCIA raw results SC2'!$D:$D,$A21,'LCIA raw results SC2'!$G:$G,P$2,'LCIA raw results SC2'!$H:$H,$B21)</f>
        <v>2.3700000000000001E-3</v>
      </c>
      <c r="Q21" s="81">
        <f>SUMIFS('LCIA raw results SC2'!$E:$E,'LCIA raw results SC2'!$D:$D,$A21,'LCIA raw results SC2'!$G:$G,Q$2,'LCIA raw results SC2'!$H:$H,$B21)</f>
        <v>0.10216</v>
      </c>
      <c r="R21" s="81">
        <f>SUMIFS('LCIA raw results SC2'!$E:$E,'LCIA raw results SC2'!$D:$D,$A21,'LCIA raw results SC2'!$G:$G,R$2,'LCIA raw results SC2'!$H:$H,$B21)</f>
        <v>2.36422</v>
      </c>
      <c r="S21" s="81">
        <f>SUMIFS('LCIA raw results SC2'!$E:$E,'LCIA raw results SC2'!$D:$D,$A21,'LCIA raw results SC2'!$G:$G,S$2,'LCIA raw results SC2'!$H:$H,$B21)</f>
        <v>3.2539999999999999E-2</v>
      </c>
      <c r="T21" s="82">
        <f>SUMIFS('LCIA raw results SC2'!$E:$E,'LCIA raw results SC2'!$D:$D,$A21,'LCIA raw results SC2'!$G:$G,T$2,'LCIA raw results SC2'!$H:$H,$B21)</f>
        <v>6.4399999999999999E-2</v>
      </c>
    </row>
    <row r="22" spans="1:20" ht="12.5" x14ac:dyDescent="0.25">
      <c r="A22" s="79" t="s">
        <v>321</v>
      </c>
      <c r="B22" s="81" t="s">
        <v>567</v>
      </c>
      <c r="C22" s="81" t="s">
        <v>108</v>
      </c>
      <c r="D22" s="81">
        <f>SUMIFS('LCIA raw results SC2'!$E:$E,'LCIA raw results SC2'!$D:$D,$A22,'LCIA raw results SC2'!$G:$G,D$2,'LCIA raw results SC2'!$H:$H,$B22)</f>
        <v>6.9591599999999998</v>
      </c>
      <c r="E22" s="81">
        <f>SUMIFS('LCIA raw results SC2'!$E:$E,'LCIA raw results SC2'!$D:$D,$A22,'LCIA raw results SC2'!$G:$G,E$2,'LCIA raw results SC2'!$H:$H,$B22)</f>
        <v>3.2736599999999998E-6</v>
      </c>
      <c r="F22" s="81">
        <f>SUMIFS('LCIA raw results SC2'!$E:$E,'LCIA raw results SC2'!$D:$D,$A22,'LCIA raw results SC2'!$G:$G,F$2,'LCIA raw results SC2'!$H:$H,$B22)</f>
        <v>8.9899999999999994E-2</v>
      </c>
      <c r="G22" s="81">
        <f>SUMIFS('LCIA raw results SC2'!$E:$E,'LCIA raw results SC2'!$D:$D,$A22,'LCIA raw results SC2'!$G:$G,G$2,'LCIA raw results SC2'!$H:$H,$B22)</f>
        <v>3.8030000000000001E-2</v>
      </c>
      <c r="H22" s="81">
        <f>SUMIFS('LCIA raw results SC2'!$E:$E,'LCIA raw results SC2'!$D:$D,$A22,'LCIA raw results SC2'!$G:$G,H$2,'LCIA raw results SC2'!$H:$H,$B22)</f>
        <v>0.27904000000000001</v>
      </c>
      <c r="I22" s="81">
        <f>SUMIFS('LCIA raw results SC2'!$E:$E,'LCIA raw results SC2'!$D:$D,$A22,'LCIA raw results SC2'!$G:$G,I$2,'LCIA raw results SC2'!$H:$H,$B22)</f>
        <v>0.14407</v>
      </c>
      <c r="J22" s="81">
        <f>SUMIFS('LCIA raw results SC2'!$E:$E,'LCIA raw results SC2'!$D:$D,$A22,'LCIA raw results SC2'!$G:$G,J$2,'LCIA raw results SC2'!$H:$H,$B22)</f>
        <v>1.2124600000000001</v>
      </c>
      <c r="K22" s="81">
        <f>SUMIFS('LCIA raw results SC2'!$E:$E,'LCIA raw results SC2'!$D:$D,$A22,'LCIA raw results SC2'!$G:$G,K$2,'LCIA raw results SC2'!$H:$H,$B22)</f>
        <v>4.6879999999999998E-2</v>
      </c>
      <c r="L22" s="81">
        <f>SUMIFS('LCIA raw results SC2'!$E:$E,'LCIA raw results SC2'!$D:$D,$A22,'LCIA raw results SC2'!$G:$G,L$2,'LCIA raw results SC2'!$H:$H,$B22)</f>
        <v>7.2739999999999999E-2</v>
      </c>
      <c r="M22" s="81">
        <f>SUMIFS('LCIA raw results SC2'!$E:$E,'LCIA raw results SC2'!$D:$D,$A22,'LCIA raw results SC2'!$G:$G,M$2,'LCIA raw results SC2'!$H:$H,$B22)</f>
        <v>13.09013</v>
      </c>
      <c r="N22" s="81">
        <f>SUMIFS('LCIA raw results SC2'!$E:$E,'LCIA raw results SC2'!$D:$D,$A22,'LCIA raw results SC2'!$G:$G,N$2,'LCIA raw results SC2'!$H:$H,$B22)</f>
        <v>0.11606</v>
      </c>
      <c r="O22" s="81">
        <f>SUMIFS('LCIA raw results SC2'!$E:$E,'LCIA raw results SC2'!$D:$D,$A22,'LCIA raw results SC2'!$G:$G,O$2,'LCIA raw results SC2'!$H:$H,$B22)</f>
        <v>9.3999999999999997E-4</v>
      </c>
      <c r="P22" s="81">
        <f>SUMIFS('LCIA raw results SC2'!$E:$E,'LCIA raw results SC2'!$D:$D,$A22,'LCIA raw results SC2'!$G:$G,P$2,'LCIA raw results SC2'!$H:$H,$B22)</f>
        <v>6.8462199999999996E-5</v>
      </c>
      <c r="Q22" s="81">
        <f>SUMIFS('LCIA raw results SC2'!$E:$E,'LCIA raw results SC2'!$D:$D,$A22,'LCIA raw results SC2'!$G:$G,Q$2,'LCIA raw results SC2'!$H:$H,$B22)</f>
        <v>1.6449999999999999E-2</v>
      </c>
      <c r="R22" s="81">
        <f>SUMIFS('LCIA raw results SC2'!$E:$E,'LCIA raw results SC2'!$D:$D,$A22,'LCIA raw results SC2'!$G:$G,R$2,'LCIA raw results SC2'!$H:$H,$B22)</f>
        <v>2.20581</v>
      </c>
      <c r="S22" s="81">
        <f>SUMIFS('LCIA raw results SC2'!$E:$E,'LCIA raw results SC2'!$D:$D,$A22,'LCIA raw results SC2'!$G:$G,S$2,'LCIA raw results SC2'!$H:$H,$B22)</f>
        <v>8.4700000000000001E-3</v>
      </c>
      <c r="T22" s="82">
        <f>SUMIFS('LCIA raw results SC2'!$E:$E,'LCIA raw results SC2'!$D:$D,$A22,'LCIA raw results SC2'!$G:$G,T$2,'LCIA raw results SC2'!$H:$H,$B22)</f>
        <v>2.061E-2</v>
      </c>
    </row>
    <row r="23" spans="1:20" ht="12.5" x14ac:dyDescent="0.25">
      <c r="A23" s="79" t="s">
        <v>325</v>
      </c>
      <c r="B23" s="81" t="s">
        <v>567</v>
      </c>
      <c r="C23" s="81" t="s">
        <v>819</v>
      </c>
      <c r="D23" s="81">
        <f>SUMIFS('LCIA raw results SC2'!$E:$E,'LCIA raw results SC2'!$D:$D,$A23,'LCIA raw results SC2'!$G:$G,D$2,'LCIA raw results SC2'!$H:$H,$B23)</f>
        <v>6.3085800000000001</v>
      </c>
      <c r="E23" s="81">
        <f>SUMIFS('LCIA raw results SC2'!$E:$E,'LCIA raw results SC2'!$D:$D,$A23,'LCIA raw results SC2'!$G:$G,E$2,'LCIA raw results SC2'!$H:$H,$B23)</f>
        <v>5.5352400000000002E-6</v>
      </c>
      <c r="F23" s="81">
        <f>SUMIFS('LCIA raw results SC2'!$E:$E,'LCIA raw results SC2'!$D:$D,$A23,'LCIA raw results SC2'!$G:$G,F$2,'LCIA raw results SC2'!$H:$H,$B23)</f>
        <v>4.15E-3</v>
      </c>
      <c r="G23" s="81">
        <f>SUMIFS('LCIA raw results SC2'!$E:$E,'LCIA raw results SC2'!$D:$D,$A23,'LCIA raw results SC2'!$G:$G,G$2,'LCIA raw results SC2'!$H:$H,$B23)</f>
        <v>1.08E-3</v>
      </c>
      <c r="H23" s="81">
        <f>SUMIFS('LCIA raw results SC2'!$E:$E,'LCIA raw results SC2'!$D:$D,$A23,'LCIA raw results SC2'!$G:$G,H$2,'LCIA raw results SC2'!$H:$H,$B23)</f>
        <v>1.478E-2</v>
      </c>
      <c r="I23" s="81">
        <f>SUMIFS('LCIA raw results SC2'!$E:$E,'LCIA raw results SC2'!$D:$D,$A23,'LCIA raw results SC2'!$G:$G,I$2,'LCIA raw results SC2'!$H:$H,$B23)</f>
        <v>0.12764</v>
      </c>
      <c r="J23" s="81">
        <f>SUMIFS('LCIA raw results SC2'!$E:$E,'LCIA raw results SC2'!$D:$D,$A23,'LCIA raw results SC2'!$G:$G,J$2,'LCIA raw results SC2'!$H:$H,$B23)</f>
        <v>8.1967599999999994</v>
      </c>
      <c r="K23" s="81">
        <f>SUMIFS('LCIA raw results SC2'!$E:$E,'LCIA raw results SC2'!$D:$D,$A23,'LCIA raw results SC2'!$G:$G,K$2,'LCIA raw results SC2'!$H:$H,$B23)</f>
        <v>0.32562000000000002</v>
      </c>
      <c r="L23" s="81">
        <f>SUMIFS('LCIA raw results SC2'!$E:$E,'LCIA raw results SC2'!$D:$D,$A23,'LCIA raw results SC2'!$G:$G,L$2,'LCIA raw results SC2'!$H:$H,$B23)</f>
        <v>0.43481999999999998</v>
      </c>
      <c r="M23" s="81">
        <f>SUMIFS('LCIA raw results SC2'!$E:$E,'LCIA raw results SC2'!$D:$D,$A23,'LCIA raw results SC2'!$G:$G,M$2,'LCIA raw results SC2'!$H:$H,$B23)</f>
        <v>2.5173700000000001</v>
      </c>
      <c r="N23" s="81">
        <f>SUMIFS('LCIA raw results SC2'!$E:$E,'LCIA raw results SC2'!$D:$D,$A23,'LCIA raw results SC2'!$G:$G,N$2,'LCIA raw results SC2'!$H:$H,$B23)</f>
        <v>2.5400000000000002E-3</v>
      </c>
      <c r="O23" s="81">
        <f>SUMIFS('LCIA raw results SC2'!$E:$E,'LCIA raw results SC2'!$D:$D,$A23,'LCIA raw results SC2'!$G:$G,O$2,'LCIA raw results SC2'!$H:$H,$B23)</f>
        <v>1.6000000000000001E-4</v>
      </c>
      <c r="P23" s="81">
        <f>SUMIFS('LCIA raw results SC2'!$E:$E,'LCIA raw results SC2'!$D:$D,$A23,'LCIA raw results SC2'!$G:$G,P$2,'LCIA raw results SC2'!$H:$H,$B23)</f>
        <v>3.65E-3</v>
      </c>
      <c r="Q23" s="81">
        <f>SUMIFS('LCIA raw results SC2'!$E:$E,'LCIA raw results SC2'!$D:$D,$A23,'LCIA raw results SC2'!$G:$G,Q$2,'LCIA raw results SC2'!$H:$H,$B23)</f>
        <v>-3.6700000000000001E-3</v>
      </c>
      <c r="R23" s="81">
        <f>SUMIFS('LCIA raw results SC2'!$E:$E,'LCIA raw results SC2'!$D:$D,$A23,'LCIA raw results SC2'!$G:$G,R$2,'LCIA raw results SC2'!$H:$H,$B23)</f>
        <v>0.12892999999999999</v>
      </c>
      <c r="S23" s="81">
        <f>SUMIFS('LCIA raw results SC2'!$E:$E,'LCIA raw results SC2'!$D:$D,$A23,'LCIA raw results SC2'!$G:$G,S$2,'LCIA raw results SC2'!$H:$H,$B23)</f>
        <v>1.67E-3</v>
      </c>
      <c r="T23" s="82">
        <f>SUMIFS('LCIA raw results SC2'!$E:$E,'LCIA raw results SC2'!$D:$D,$A23,'LCIA raw results SC2'!$G:$G,T$2,'LCIA raw results SC2'!$H:$H,$B23)</f>
        <v>3.9500000000000004E-3</v>
      </c>
    </row>
    <row r="24" spans="1:20" ht="12.5" x14ac:dyDescent="0.25">
      <c r="A24" s="79" t="s">
        <v>327</v>
      </c>
      <c r="B24" s="81" t="s">
        <v>567</v>
      </c>
      <c r="C24" s="81" t="s">
        <v>90</v>
      </c>
      <c r="D24" s="81">
        <f>SUMIFS('LCIA raw results SC2'!$E:$E,'LCIA raw results SC2'!$D:$D,$A24,'LCIA raw results SC2'!$G:$G,D$2,'LCIA raw results SC2'!$H:$H,$B24)</f>
        <v>4.0967000000000002</v>
      </c>
      <c r="E24" s="81">
        <f>SUMIFS('LCIA raw results SC2'!$E:$E,'LCIA raw results SC2'!$D:$D,$A24,'LCIA raw results SC2'!$G:$G,E$2,'LCIA raw results SC2'!$H:$H,$B24)</f>
        <v>2.8536999999999999E-6</v>
      </c>
      <c r="F24" s="81">
        <f>SUMIFS('LCIA raw results SC2'!$E:$E,'LCIA raw results SC2'!$D:$D,$A24,'LCIA raw results SC2'!$G:$G,F$2,'LCIA raw results SC2'!$H:$H,$B24)</f>
        <v>9.8899999999999995E-3</v>
      </c>
      <c r="G24" s="81">
        <f>SUMIFS('LCIA raw results SC2'!$E:$E,'LCIA raw results SC2'!$D:$D,$A24,'LCIA raw results SC2'!$G:$G,G$2,'LCIA raw results SC2'!$H:$H,$B24)</f>
        <v>9.2599999999999991E-3</v>
      </c>
      <c r="H24" s="81">
        <f>SUMIFS('LCIA raw results SC2'!$E:$E,'LCIA raw results SC2'!$D:$D,$A24,'LCIA raw results SC2'!$G:$G,H$2,'LCIA raw results SC2'!$H:$H,$B24)</f>
        <v>0.29125000000000001</v>
      </c>
      <c r="I24" s="81">
        <f>SUMIFS('LCIA raw results SC2'!$E:$E,'LCIA raw results SC2'!$D:$D,$A24,'LCIA raw results SC2'!$G:$G,I$2,'LCIA raw results SC2'!$H:$H,$B24)</f>
        <v>0.75658999999999998</v>
      </c>
      <c r="J24" s="81">
        <f>SUMIFS('LCIA raw results SC2'!$E:$E,'LCIA raw results SC2'!$D:$D,$A24,'LCIA raw results SC2'!$G:$G,J$2,'LCIA raw results SC2'!$H:$H,$B24)</f>
        <v>2.47505</v>
      </c>
      <c r="K24" s="81">
        <f>SUMIFS('LCIA raw results SC2'!$E:$E,'LCIA raw results SC2'!$D:$D,$A24,'LCIA raw results SC2'!$G:$G,K$2,'LCIA raw results SC2'!$H:$H,$B24)</f>
        <v>0.11106000000000001</v>
      </c>
      <c r="L24" s="81">
        <f>SUMIFS('LCIA raw results SC2'!$E:$E,'LCIA raw results SC2'!$D:$D,$A24,'LCIA raw results SC2'!$G:$G,L$2,'LCIA raw results SC2'!$H:$H,$B24)</f>
        <v>0.15442</v>
      </c>
      <c r="M24" s="81">
        <f>SUMIFS('LCIA raw results SC2'!$E:$E,'LCIA raw results SC2'!$D:$D,$A24,'LCIA raw results SC2'!$G:$G,M$2,'LCIA raw results SC2'!$H:$H,$B24)</f>
        <v>7.1344599999999998</v>
      </c>
      <c r="N24" s="81">
        <f>SUMIFS('LCIA raw results SC2'!$E:$E,'LCIA raw results SC2'!$D:$D,$A24,'LCIA raw results SC2'!$G:$G,N$2,'LCIA raw results SC2'!$H:$H,$B24)</f>
        <v>1.4489999999999999E-2</v>
      </c>
      <c r="O24" s="81">
        <f>SUMIFS('LCIA raw results SC2'!$E:$E,'LCIA raw results SC2'!$D:$D,$A24,'LCIA raw results SC2'!$G:$G,O$2,'LCIA raw results SC2'!$H:$H,$B24)</f>
        <v>1.8500000000000001E-3</v>
      </c>
      <c r="P24" s="81">
        <f>SUMIFS('LCIA raw results SC2'!$E:$E,'LCIA raw results SC2'!$D:$D,$A24,'LCIA raw results SC2'!$G:$G,P$2,'LCIA raw results SC2'!$H:$H,$B24)</f>
        <v>1.3999999999999999E-4</v>
      </c>
      <c r="Q24" s="81">
        <f>SUMIFS('LCIA raw results SC2'!$E:$E,'LCIA raw results SC2'!$D:$D,$A24,'LCIA raw results SC2'!$G:$G,Q$2,'LCIA raw results SC2'!$H:$H,$B24)</f>
        <v>1.9970000000000002E-2</v>
      </c>
      <c r="R24" s="81">
        <f>SUMIFS('LCIA raw results SC2'!$E:$E,'LCIA raw results SC2'!$D:$D,$A24,'LCIA raw results SC2'!$G:$G,R$2,'LCIA raw results SC2'!$H:$H,$B24)</f>
        <v>1.00848</v>
      </c>
      <c r="S24" s="81">
        <f>SUMIFS('LCIA raw results SC2'!$E:$E,'LCIA raw results SC2'!$D:$D,$A24,'LCIA raw results SC2'!$G:$G,S$2,'LCIA raw results SC2'!$H:$H,$B24)</f>
        <v>2.4340000000000001E-2</v>
      </c>
      <c r="T24" s="82">
        <f>SUMIFS('LCIA raw results SC2'!$E:$E,'LCIA raw results SC2'!$D:$D,$A24,'LCIA raw results SC2'!$G:$G,T$2,'LCIA raw results SC2'!$H:$H,$B24)</f>
        <v>5.7723000000000004</v>
      </c>
    </row>
    <row r="25" spans="1:20" ht="12.5" x14ac:dyDescent="0.25">
      <c r="A25" s="79" t="s">
        <v>329</v>
      </c>
      <c r="B25" s="81" t="s">
        <v>567</v>
      </c>
      <c r="C25" s="81" t="s">
        <v>90</v>
      </c>
      <c r="D25" s="81">
        <f>SUMIFS('LCIA raw results SC2'!$E:$E,'LCIA raw results SC2'!$D:$D,$A25,'LCIA raw results SC2'!$G:$G,D$2,'LCIA raw results SC2'!$H:$H,$B25)</f>
        <v>1.76573</v>
      </c>
      <c r="E25" s="81">
        <f>SUMIFS('LCIA raw results SC2'!$E:$E,'LCIA raw results SC2'!$D:$D,$A25,'LCIA raw results SC2'!$G:$G,E$2,'LCIA raw results SC2'!$H:$H,$B25)</f>
        <v>5.0020699999999997E-7</v>
      </c>
      <c r="F25" s="81">
        <f>SUMIFS('LCIA raw results SC2'!$E:$E,'LCIA raw results SC2'!$D:$D,$A25,'LCIA raw results SC2'!$G:$G,F$2,'LCIA raw results SC2'!$H:$H,$B25)</f>
        <v>4.5500000000000002E-3</v>
      </c>
      <c r="G25" s="81">
        <f>SUMIFS('LCIA raw results SC2'!$E:$E,'LCIA raw results SC2'!$D:$D,$A25,'LCIA raw results SC2'!$G:$G,G$2,'LCIA raw results SC2'!$H:$H,$B25)</f>
        <v>3.14E-3</v>
      </c>
      <c r="H25" s="81">
        <f>SUMIFS('LCIA raw results SC2'!$E:$E,'LCIA raw results SC2'!$D:$D,$A25,'LCIA raw results SC2'!$G:$G,H$2,'LCIA raw results SC2'!$H:$H,$B25)</f>
        <v>5.747E-2</v>
      </c>
      <c r="I25" s="81">
        <f>SUMIFS('LCIA raw results SC2'!$E:$E,'LCIA raw results SC2'!$D:$D,$A25,'LCIA raw results SC2'!$G:$G,I$2,'LCIA raw results SC2'!$H:$H,$B25)</f>
        <v>0.24127999999999999</v>
      </c>
      <c r="J25" s="81">
        <f>SUMIFS('LCIA raw results SC2'!$E:$E,'LCIA raw results SC2'!$D:$D,$A25,'LCIA raw results SC2'!$G:$G,J$2,'LCIA raw results SC2'!$H:$H,$B25)</f>
        <v>2.24634</v>
      </c>
      <c r="K25" s="81">
        <f>SUMIFS('LCIA raw results SC2'!$E:$E,'LCIA raw results SC2'!$D:$D,$A25,'LCIA raw results SC2'!$G:$G,K$2,'LCIA raw results SC2'!$H:$H,$B25)</f>
        <v>8.5779999999999995E-2</v>
      </c>
      <c r="L25" s="81">
        <f>SUMIFS('LCIA raw results SC2'!$E:$E,'LCIA raw results SC2'!$D:$D,$A25,'LCIA raw results SC2'!$G:$G,L$2,'LCIA raw results SC2'!$H:$H,$B25)</f>
        <v>0.12101000000000001</v>
      </c>
      <c r="M25" s="81">
        <f>SUMIFS('LCIA raw results SC2'!$E:$E,'LCIA raw results SC2'!$D:$D,$A25,'LCIA raw results SC2'!$G:$G,M$2,'LCIA raw results SC2'!$H:$H,$B25)</f>
        <v>9.1625099999999993</v>
      </c>
      <c r="N25" s="81">
        <f>SUMIFS('LCIA raw results SC2'!$E:$E,'LCIA raw results SC2'!$D:$D,$A25,'LCIA raw results SC2'!$G:$G,N$2,'LCIA raw results SC2'!$H:$H,$B25)</f>
        <v>5.0299999999999997E-3</v>
      </c>
      <c r="O25" s="81">
        <f>SUMIFS('LCIA raw results SC2'!$E:$E,'LCIA raw results SC2'!$D:$D,$A25,'LCIA raw results SC2'!$G:$G,O$2,'LCIA raw results SC2'!$H:$H,$B25)</f>
        <v>5.4000000000000001E-4</v>
      </c>
      <c r="P25" s="81">
        <f>SUMIFS('LCIA raw results SC2'!$E:$E,'LCIA raw results SC2'!$D:$D,$A25,'LCIA raw results SC2'!$G:$G,P$2,'LCIA raw results SC2'!$H:$H,$B25)</f>
        <v>7.6552300000000002E-5</v>
      </c>
      <c r="Q25" s="81">
        <f>SUMIFS('LCIA raw results SC2'!$E:$E,'LCIA raw results SC2'!$D:$D,$A25,'LCIA raw results SC2'!$G:$G,Q$2,'LCIA raw results SC2'!$H:$H,$B25)</f>
        <v>1.43E-2</v>
      </c>
      <c r="R25" s="81">
        <f>SUMIFS('LCIA raw results SC2'!$E:$E,'LCIA raw results SC2'!$D:$D,$A25,'LCIA raw results SC2'!$G:$G,R$2,'LCIA raw results SC2'!$H:$H,$B25)</f>
        <v>0.37580999999999998</v>
      </c>
      <c r="S25" s="81">
        <f>SUMIFS('LCIA raw results SC2'!$E:$E,'LCIA raw results SC2'!$D:$D,$A25,'LCIA raw results SC2'!$G:$G,S$2,'LCIA raw results SC2'!$H:$H,$B25)</f>
        <v>3.6020000000000003E-2</v>
      </c>
      <c r="T25" s="82">
        <f>SUMIFS('LCIA raw results SC2'!$E:$E,'LCIA raw results SC2'!$D:$D,$A25,'LCIA raw results SC2'!$G:$G,T$2,'LCIA raw results SC2'!$H:$H,$B25)</f>
        <v>-5.1635</v>
      </c>
    </row>
    <row r="26" spans="1:20" ht="12.5" x14ac:dyDescent="0.25">
      <c r="A26" s="79" t="s">
        <v>584</v>
      </c>
      <c r="B26" s="81" t="s">
        <v>567</v>
      </c>
      <c r="C26" s="81" t="s">
        <v>0</v>
      </c>
      <c r="D26" s="81">
        <f>SUMIFS('LCIA raw results SC2'!$E:$E,'LCIA raw results SC2'!$D:$D,$A26,'LCIA raw results SC2'!$G:$G,D$2,'LCIA raw results SC2'!$H:$H,$B26)</f>
        <v>1.7357199999999999</v>
      </c>
      <c r="E26" s="81">
        <f>SUMIFS('LCIA raw results SC2'!$E:$E,'LCIA raw results SC2'!$D:$D,$A26,'LCIA raw results SC2'!$G:$G,E$2,'LCIA raw results SC2'!$H:$H,$B26)</f>
        <v>2.0615000000000001E-6</v>
      </c>
      <c r="F26" s="81">
        <f>SUMIFS('LCIA raw results SC2'!$E:$E,'LCIA raw results SC2'!$D:$D,$A26,'LCIA raw results SC2'!$G:$G,F$2,'LCIA raw results SC2'!$H:$H,$B26)</f>
        <v>1.172E-2</v>
      </c>
      <c r="G26" s="81">
        <f>SUMIFS('LCIA raw results SC2'!$E:$E,'LCIA raw results SC2'!$D:$D,$A26,'LCIA raw results SC2'!$G:$G,G$2,'LCIA raw results SC2'!$H:$H,$B26)</f>
        <v>5.5100000000000001E-3</v>
      </c>
      <c r="H26" s="81">
        <f>SUMIFS('LCIA raw results SC2'!$E:$E,'LCIA raw results SC2'!$D:$D,$A26,'LCIA raw results SC2'!$G:$G,H$2,'LCIA raw results SC2'!$H:$H,$B26)</f>
        <v>0.15711</v>
      </c>
      <c r="I26" s="81">
        <f>SUMIFS('LCIA raw results SC2'!$E:$E,'LCIA raw results SC2'!$D:$D,$A26,'LCIA raw results SC2'!$G:$G,I$2,'LCIA raw results SC2'!$H:$H,$B26)</f>
        <v>0.26450000000000001</v>
      </c>
      <c r="J26" s="81">
        <f>SUMIFS('LCIA raw results SC2'!$E:$E,'LCIA raw results SC2'!$D:$D,$A26,'LCIA raw results SC2'!$G:$G,J$2,'LCIA raw results SC2'!$H:$H,$B26)</f>
        <v>35.393880000000003</v>
      </c>
      <c r="K26" s="81">
        <f>SUMIFS('LCIA raw results SC2'!$E:$E,'LCIA raw results SC2'!$D:$D,$A26,'LCIA raw results SC2'!$G:$G,K$2,'LCIA raw results SC2'!$H:$H,$B26)</f>
        <v>1.01298</v>
      </c>
      <c r="L26" s="81">
        <f>SUMIFS('LCIA raw results SC2'!$E:$E,'LCIA raw results SC2'!$D:$D,$A26,'LCIA raw results SC2'!$G:$G,L$2,'LCIA raw results SC2'!$H:$H,$B26)</f>
        <v>1.92893</v>
      </c>
      <c r="M26" s="81">
        <f>SUMIFS('LCIA raw results SC2'!$E:$E,'LCIA raw results SC2'!$D:$D,$A26,'LCIA raw results SC2'!$G:$G,M$2,'LCIA raw results SC2'!$H:$H,$B26)</f>
        <v>9.24742</v>
      </c>
      <c r="N26" s="81">
        <f>SUMIFS('LCIA raw results SC2'!$E:$E,'LCIA raw results SC2'!$D:$D,$A26,'LCIA raw results SC2'!$G:$G,N$2,'LCIA raw results SC2'!$H:$H,$B26)</f>
        <v>1.239E-2</v>
      </c>
      <c r="O26" s="81">
        <f>SUMIFS('LCIA raw results SC2'!$E:$E,'LCIA raw results SC2'!$D:$D,$A26,'LCIA raw results SC2'!$G:$G,O$2,'LCIA raw results SC2'!$H:$H,$B26)</f>
        <v>6.0099999999999997E-3</v>
      </c>
      <c r="P26" s="81">
        <f>SUMIFS('LCIA raw results SC2'!$E:$E,'LCIA raw results SC2'!$D:$D,$A26,'LCIA raw results SC2'!$G:$G,P$2,'LCIA raw results SC2'!$H:$H,$B26)</f>
        <v>1.6000000000000001E-4</v>
      </c>
      <c r="Q26" s="81">
        <f>SUMIFS('LCIA raw results SC2'!$E:$E,'LCIA raw results SC2'!$D:$D,$A26,'LCIA raw results SC2'!$G:$G,Q$2,'LCIA raw results SC2'!$H:$H,$B26)</f>
        <v>7.8229999999999994E-2</v>
      </c>
      <c r="R26" s="81">
        <f>SUMIFS('LCIA raw results SC2'!$E:$E,'LCIA raw results SC2'!$D:$D,$A26,'LCIA raw results SC2'!$G:$G,R$2,'LCIA raw results SC2'!$H:$H,$B26)</f>
        <v>0.45346999999999998</v>
      </c>
      <c r="S26" s="81">
        <f>SUMIFS('LCIA raw results SC2'!$E:$E,'LCIA raw results SC2'!$D:$D,$A26,'LCIA raw results SC2'!$G:$G,S$2,'LCIA raw results SC2'!$H:$H,$B26)</f>
        <v>0.23282</v>
      </c>
      <c r="T26" s="82">
        <f>SUMIFS('LCIA raw results SC2'!$E:$E,'LCIA raw results SC2'!$D:$D,$A26,'LCIA raw results SC2'!$G:$G,T$2,'LCIA raw results SC2'!$H:$H,$B26)</f>
        <v>1.383E-2</v>
      </c>
    </row>
    <row r="27" spans="1:20" ht="12.5" x14ac:dyDescent="0.25">
      <c r="A27" s="79" t="s">
        <v>299</v>
      </c>
      <c r="B27" s="81" t="s">
        <v>587</v>
      </c>
      <c r="C27" s="81" t="s">
        <v>0</v>
      </c>
      <c r="D27" s="81">
        <f>SUMIFS('LCIA raw results SC2'!$E:$E,'LCIA raw results SC2'!$D:$D,$A27,'LCIA raw results SC2'!$G:$G,D$2,'LCIA raw results SC2'!$H:$H,$B27)</f>
        <v>1430.1189375000001</v>
      </c>
      <c r="E27" s="81">
        <f>SUMIFS('LCIA raw results SC2'!$E:$E,'LCIA raw results SC2'!$D:$D,$A27,'LCIA raw results SC2'!$G:$G,E$2,'LCIA raw results SC2'!$H:$H,$B27)</f>
        <v>9.525E-4</v>
      </c>
      <c r="F27" s="81">
        <f>SUMIFS('LCIA raw results SC2'!$E:$E,'LCIA raw results SC2'!$D:$D,$A27,'LCIA raw results SC2'!$G:$G,F$2,'LCIA raw results SC2'!$H:$H,$B27)</f>
        <v>5.0598375000000004</v>
      </c>
      <c r="G27" s="81">
        <f>SUMIFS('LCIA raw results SC2'!$E:$E,'LCIA raw results SC2'!$D:$D,$A27,'LCIA raw results SC2'!$G:$G,G$2,'LCIA raw results SC2'!$H:$H,$B27)</f>
        <v>4.2484500000000001</v>
      </c>
      <c r="H27" s="81">
        <f>SUMIFS('LCIA raw results SC2'!$E:$E,'LCIA raw results SC2'!$D:$D,$A27,'LCIA raw results SC2'!$G:$G,H$2,'LCIA raw results SC2'!$H:$H,$B27)</f>
        <v>142.760895</v>
      </c>
      <c r="I27" s="81">
        <f>SUMIFS('LCIA raw results SC2'!$E:$E,'LCIA raw results SC2'!$D:$D,$A27,'LCIA raw results SC2'!$G:$G,I$2,'LCIA raw results SC2'!$H:$H,$B27)</f>
        <v>232.03462500000001</v>
      </c>
      <c r="J27" s="81">
        <f>SUMIFS('LCIA raw results SC2'!$E:$E,'LCIA raw results SC2'!$D:$D,$A27,'LCIA raw results SC2'!$G:$G,J$2,'LCIA raw results SC2'!$H:$H,$B27)</f>
        <v>31631.699999999997</v>
      </c>
      <c r="K27" s="81">
        <f>SUMIFS('LCIA raw results SC2'!$E:$E,'LCIA raw results SC2'!$D:$D,$A27,'LCIA raw results SC2'!$G:$G,K$2,'LCIA raw results SC2'!$H:$H,$B27)</f>
        <v>919.04649749999999</v>
      </c>
      <c r="L27" s="81">
        <f>SUMIFS('LCIA raw results SC2'!$E:$E,'LCIA raw results SC2'!$D:$D,$A27,'LCIA raw results SC2'!$G:$G,L$2,'LCIA raw results SC2'!$H:$H,$B27)</f>
        <v>1318.51593</v>
      </c>
      <c r="M27" s="81">
        <f>SUMIFS('LCIA raw results SC2'!$E:$E,'LCIA raw results SC2'!$D:$D,$A27,'LCIA raw results SC2'!$G:$G,M$2,'LCIA raw results SC2'!$H:$H,$B27)</f>
        <v>14997.224999999999</v>
      </c>
      <c r="N27" s="81">
        <f>SUMIFS('LCIA raw results SC2'!$E:$E,'LCIA raw results SC2'!$D:$D,$A27,'LCIA raw results SC2'!$G:$G,N$2,'LCIA raw results SC2'!$H:$H,$B27)</f>
        <v>9.4629224999999995</v>
      </c>
      <c r="O27" s="81">
        <f>SUMIFS('LCIA raw results SC2'!$E:$E,'LCIA raw results SC2'!$D:$D,$A27,'LCIA raw results SC2'!$G:$G,O$2,'LCIA raw results SC2'!$H:$H,$B27)</f>
        <v>5.5279425</v>
      </c>
      <c r="P27" s="81">
        <f>SUMIFS('LCIA raw results SC2'!$E:$E,'LCIA raw results SC2'!$D:$D,$A27,'LCIA raw results SC2'!$G:$G,P$2,'LCIA raw results SC2'!$H:$H,$B27)</f>
        <v>0.14753250000000001</v>
      </c>
      <c r="Q27" s="81">
        <f>SUMIFS('LCIA raw results SC2'!$E:$E,'LCIA raw results SC2'!$D:$D,$A27,'LCIA raw results SC2'!$G:$G,Q$2,'LCIA raw results SC2'!$H:$H,$B27)</f>
        <v>30.193845</v>
      </c>
      <c r="R27" s="81">
        <f>SUMIFS('LCIA raw results SC2'!$E:$E,'LCIA raw results SC2'!$D:$D,$A27,'LCIA raw results SC2'!$G:$G,R$2,'LCIA raw results SC2'!$H:$H,$B27)</f>
        <v>371.75801999999999</v>
      </c>
      <c r="S27" s="81">
        <f>SUMIFS('LCIA raw results SC2'!$E:$E,'LCIA raw results SC2'!$D:$D,$A27,'LCIA raw results SC2'!$G:$G,S$2,'LCIA raw results SC2'!$H:$H,$B27)</f>
        <v>56.946487500000003</v>
      </c>
      <c r="T27" s="82">
        <f>SUMIFS('LCIA raw results SC2'!$E:$E,'LCIA raw results SC2'!$D:$D,$A27,'LCIA raw results SC2'!$G:$G,T$2,'LCIA raw results SC2'!$H:$H,$B27)</f>
        <v>12.649485</v>
      </c>
    </row>
    <row r="28" spans="1:20" ht="12.5" x14ac:dyDescent="0.25">
      <c r="A28" s="79" t="s">
        <v>301</v>
      </c>
      <c r="B28" s="81" t="s">
        <v>587</v>
      </c>
      <c r="C28" s="81" t="s">
        <v>0</v>
      </c>
      <c r="D28" s="81">
        <f>SUMIFS('LCIA raw results SC2'!$E:$E,'LCIA raw results SC2'!$D:$D,$A28,'LCIA raw results SC2'!$G:$G,D$2,'LCIA raw results SC2'!$H:$H,$B28)</f>
        <v>497.12679750000001</v>
      </c>
      <c r="E28" s="81">
        <f>SUMIFS('LCIA raw results SC2'!$E:$E,'LCIA raw results SC2'!$D:$D,$A28,'LCIA raw results SC2'!$G:$G,E$2,'LCIA raw results SC2'!$H:$H,$B28)</f>
        <v>2.9250000000000001E-4</v>
      </c>
      <c r="F28" s="81">
        <f>SUMIFS('LCIA raw results SC2'!$E:$E,'LCIA raw results SC2'!$D:$D,$A28,'LCIA raw results SC2'!$G:$G,F$2,'LCIA raw results SC2'!$H:$H,$B28)</f>
        <v>1.6019399999999999</v>
      </c>
      <c r="G28" s="81">
        <f>SUMIFS('LCIA raw results SC2'!$E:$E,'LCIA raw results SC2'!$D:$D,$A28,'LCIA raw results SC2'!$G:$G,G$2,'LCIA raw results SC2'!$H:$H,$B28)</f>
        <v>1.3773149999999998</v>
      </c>
      <c r="H28" s="81">
        <f>SUMIFS('LCIA raw results SC2'!$E:$E,'LCIA raw results SC2'!$D:$D,$A28,'LCIA raw results SC2'!$G:$G,H$2,'LCIA raw results SC2'!$H:$H,$B28)</f>
        <v>49.366207500000002</v>
      </c>
      <c r="I28" s="81">
        <f>SUMIFS('LCIA raw results SC2'!$E:$E,'LCIA raw results SC2'!$D:$D,$A28,'LCIA raw results SC2'!$G:$G,I$2,'LCIA raw results SC2'!$H:$H,$B28)</f>
        <v>69.902737500000001</v>
      </c>
      <c r="J28" s="81">
        <f>SUMIFS('LCIA raw results SC2'!$E:$E,'LCIA raw results SC2'!$D:$D,$A28,'LCIA raw results SC2'!$G:$G,J$2,'LCIA raw results SC2'!$H:$H,$B28)</f>
        <v>3173.7263924999997</v>
      </c>
      <c r="K28" s="81">
        <f>SUMIFS('LCIA raw results SC2'!$E:$E,'LCIA raw results SC2'!$D:$D,$A28,'LCIA raw results SC2'!$G:$G,K$2,'LCIA raw results SC2'!$H:$H,$B28)</f>
        <v>91.078244999999995</v>
      </c>
      <c r="L28" s="81">
        <f>SUMIFS('LCIA raw results SC2'!$E:$E,'LCIA raw results SC2'!$D:$D,$A28,'LCIA raw results SC2'!$G:$G,L$2,'LCIA raw results SC2'!$H:$H,$B28)</f>
        <v>135.22674750000002</v>
      </c>
      <c r="M28" s="81">
        <f>SUMIFS('LCIA raw results SC2'!$E:$E,'LCIA raw results SC2'!$D:$D,$A28,'LCIA raw results SC2'!$G:$G,M$2,'LCIA raw results SC2'!$H:$H,$B28)</f>
        <v>9624.8250000000007</v>
      </c>
      <c r="N28" s="81">
        <f>SUMIFS('LCIA raw results SC2'!$E:$E,'LCIA raw results SC2'!$D:$D,$A28,'LCIA raw results SC2'!$G:$G,N$2,'LCIA raw results SC2'!$H:$H,$B28)</f>
        <v>2.8431899999999999</v>
      </c>
      <c r="O28" s="81">
        <f>SUMIFS('LCIA raw results SC2'!$E:$E,'LCIA raw results SC2'!$D:$D,$A28,'LCIA raw results SC2'!$G:$G,O$2,'LCIA raw results SC2'!$H:$H,$B28)</f>
        <v>0.64453500000000008</v>
      </c>
      <c r="P28" s="81">
        <f>SUMIFS('LCIA raw results SC2'!$E:$E,'LCIA raw results SC2'!$D:$D,$A28,'LCIA raw results SC2'!$G:$G,P$2,'LCIA raw results SC2'!$H:$H,$B28)</f>
        <v>3.7380000000000004E-2</v>
      </c>
      <c r="Q28" s="81">
        <f>SUMIFS('LCIA raw results SC2'!$E:$E,'LCIA raw results SC2'!$D:$D,$A28,'LCIA raw results SC2'!$G:$G,Q$2,'LCIA raw results SC2'!$H:$H,$B28)</f>
        <v>9.2010000000000005</v>
      </c>
      <c r="R28" s="81">
        <f>SUMIFS('LCIA raw results SC2'!$E:$E,'LCIA raw results SC2'!$D:$D,$A28,'LCIA raw results SC2'!$G:$G,R$2,'LCIA raw results SC2'!$H:$H,$B28)</f>
        <v>132.18545999999998</v>
      </c>
      <c r="S28" s="81">
        <f>SUMIFS('LCIA raw results SC2'!$E:$E,'LCIA raw results SC2'!$D:$D,$A28,'LCIA raw results SC2'!$G:$G,S$2,'LCIA raw results SC2'!$H:$H,$B28)</f>
        <v>21.609179999999999</v>
      </c>
      <c r="T28" s="82">
        <f>SUMIFS('LCIA raw results SC2'!$E:$E,'LCIA raw results SC2'!$D:$D,$A28,'LCIA raw results SC2'!$G:$G,T$2,'LCIA raw results SC2'!$H:$H,$B28)</f>
        <v>5.1880725000000005</v>
      </c>
    </row>
    <row r="29" spans="1:20" ht="12.5" x14ac:dyDescent="0.25">
      <c r="A29" s="79" t="s">
        <v>592</v>
      </c>
      <c r="B29" s="81" t="s">
        <v>587</v>
      </c>
      <c r="C29" s="81" t="s">
        <v>61</v>
      </c>
      <c r="D29" s="81">
        <f>SUMIFS('LCIA raw results SC2'!$E:$E,'LCIA raw results SC2'!$D:$D,$A29,'LCIA raw results SC2'!$G:$G,D$2,'LCIA raw results SC2'!$H:$H,$B29)</f>
        <v>354.51203249999998</v>
      </c>
      <c r="E29" s="81">
        <f>SUMIFS('LCIA raw results SC2'!$E:$E,'LCIA raw results SC2'!$D:$D,$A29,'LCIA raw results SC2'!$G:$G,E$2,'LCIA raw results SC2'!$H:$H,$B29)</f>
        <v>1.35E-4</v>
      </c>
      <c r="F29" s="81">
        <f>SUMIFS('LCIA raw results SC2'!$E:$E,'LCIA raw results SC2'!$D:$D,$A29,'LCIA raw results SC2'!$G:$G,F$2,'LCIA raw results SC2'!$H:$H,$B29)</f>
        <v>0.91174500000000003</v>
      </c>
      <c r="G29" s="81">
        <f>SUMIFS('LCIA raw results SC2'!$E:$E,'LCIA raw results SC2'!$D:$D,$A29,'LCIA raw results SC2'!$G:$G,G$2,'LCIA raw results SC2'!$H:$H,$B29)</f>
        <v>0.85319999999999996</v>
      </c>
      <c r="H29" s="81">
        <f>SUMIFS('LCIA raw results SC2'!$E:$E,'LCIA raw results SC2'!$D:$D,$A29,'LCIA raw results SC2'!$G:$G,H$2,'LCIA raw results SC2'!$H:$H,$B29)</f>
        <v>21.5791875</v>
      </c>
      <c r="I29" s="81">
        <f>SUMIFS('LCIA raw results SC2'!$E:$E,'LCIA raw results SC2'!$D:$D,$A29,'LCIA raw results SC2'!$G:$G,I$2,'LCIA raw results SC2'!$H:$H,$B29)</f>
        <v>150.77924999999999</v>
      </c>
      <c r="J29" s="81">
        <f>SUMIFS('LCIA raw results SC2'!$E:$E,'LCIA raw results SC2'!$D:$D,$A29,'LCIA raw results SC2'!$G:$G,J$2,'LCIA raw results SC2'!$H:$H,$B29)</f>
        <v>1624.8491325</v>
      </c>
      <c r="K29" s="81">
        <f>SUMIFS('LCIA raw results SC2'!$E:$E,'LCIA raw results SC2'!$D:$D,$A29,'LCIA raw results SC2'!$G:$G,K$2,'LCIA raw results SC2'!$H:$H,$B29)</f>
        <v>50.321504999999995</v>
      </c>
      <c r="L29" s="81">
        <f>SUMIFS('LCIA raw results SC2'!$E:$E,'LCIA raw results SC2'!$D:$D,$A29,'LCIA raw results SC2'!$G:$G,L$2,'LCIA raw results SC2'!$H:$H,$B29)</f>
        <v>71.9266425</v>
      </c>
      <c r="M29" s="81">
        <f>SUMIFS('LCIA raw results SC2'!$E:$E,'LCIA raw results SC2'!$D:$D,$A29,'LCIA raw results SC2'!$G:$G,M$2,'LCIA raw results SC2'!$H:$H,$B29)</f>
        <v>5189.9506275000003</v>
      </c>
      <c r="N29" s="81">
        <f>SUMIFS('LCIA raw results SC2'!$E:$E,'LCIA raw results SC2'!$D:$D,$A29,'LCIA raw results SC2'!$G:$G,N$2,'LCIA raw results SC2'!$H:$H,$B29)</f>
        <v>1.7225099999999998</v>
      </c>
      <c r="O29" s="81">
        <f>SUMIFS('LCIA raw results SC2'!$E:$E,'LCIA raw results SC2'!$D:$D,$A29,'LCIA raw results SC2'!$G:$G,O$2,'LCIA raw results SC2'!$H:$H,$B29)</f>
        <v>0.33417000000000002</v>
      </c>
      <c r="P29" s="81">
        <f>SUMIFS('LCIA raw results SC2'!$E:$E,'LCIA raw results SC2'!$D:$D,$A29,'LCIA raw results SC2'!$G:$G,P$2,'LCIA raw results SC2'!$H:$H,$B29)</f>
        <v>1.7902499999999998E-2</v>
      </c>
      <c r="Q29" s="81">
        <f>SUMIFS('LCIA raw results SC2'!$E:$E,'LCIA raw results SC2'!$D:$D,$A29,'LCIA raw results SC2'!$G:$G,Q$2,'LCIA raw results SC2'!$H:$H,$B29)</f>
        <v>2.4255</v>
      </c>
      <c r="R29" s="81">
        <f>SUMIFS('LCIA raw results SC2'!$E:$E,'LCIA raw results SC2'!$D:$D,$A29,'LCIA raw results SC2'!$G:$G,R$2,'LCIA raw results SC2'!$H:$H,$B29)</f>
        <v>91.005757500000001</v>
      </c>
      <c r="S29" s="81">
        <f>SUMIFS('LCIA raw results SC2'!$E:$E,'LCIA raw results SC2'!$D:$D,$A29,'LCIA raw results SC2'!$G:$G,S$2,'LCIA raw results SC2'!$H:$H,$B29)</f>
        <v>11.2892475</v>
      </c>
      <c r="T29" s="82">
        <f>SUMIFS('LCIA raw results SC2'!$E:$E,'LCIA raw results SC2'!$D:$D,$A29,'LCIA raw results SC2'!$G:$G,T$2,'LCIA raw results SC2'!$H:$H,$B29)</f>
        <v>4.1097299999999999</v>
      </c>
    </row>
    <row r="30" spans="1:20" ht="12.5" x14ac:dyDescent="0.25">
      <c r="A30" s="79" t="s">
        <v>311</v>
      </c>
      <c r="B30" s="81" t="s">
        <v>587</v>
      </c>
      <c r="C30" s="81" t="s">
        <v>0</v>
      </c>
      <c r="D30" s="81">
        <f>SUMIFS('LCIA raw results SC2'!$E:$E,'LCIA raw results SC2'!$D:$D,$A30,'LCIA raw results SC2'!$G:$G,D$2,'LCIA raw results SC2'!$H:$H,$B30)</f>
        <v>308.90693249999998</v>
      </c>
      <c r="E30" s="81">
        <f>SUMIFS('LCIA raw results SC2'!$E:$E,'LCIA raw results SC2'!$D:$D,$A30,'LCIA raw results SC2'!$G:$G,E$2,'LCIA raw results SC2'!$H:$H,$B30)</f>
        <v>1.5000000000000001E-4</v>
      </c>
      <c r="F30" s="81">
        <f>SUMIFS('LCIA raw results SC2'!$E:$E,'LCIA raw results SC2'!$D:$D,$A30,'LCIA raw results SC2'!$G:$G,F$2,'LCIA raw results SC2'!$H:$H,$B30)</f>
        <v>0.78875999999999991</v>
      </c>
      <c r="G30" s="81">
        <f>SUMIFS('LCIA raw results SC2'!$E:$E,'LCIA raw results SC2'!$D:$D,$A30,'LCIA raw results SC2'!$G:$G,G$2,'LCIA raw results SC2'!$H:$H,$B30)</f>
        <v>0.74865000000000004</v>
      </c>
      <c r="H30" s="81">
        <f>SUMIFS('LCIA raw results SC2'!$E:$E,'LCIA raw results SC2'!$D:$D,$A30,'LCIA raw results SC2'!$G:$G,H$2,'LCIA raw results SC2'!$H:$H,$B30)</f>
        <v>33.999367499999998</v>
      </c>
      <c r="I30" s="81">
        <f>SUMIFS('LCIA raw results SC2'!$E:$E,'LCIA raw results SC2'!$D:$D,$A30,'LCIA raw results SC2'!$G:$G,I$2,'LCIA raw results SC2'!$H:$H,$B30)</f>
        <v>22.257570000000001</v>
      </c>
      <c r="J30" s="81">
        <f>SUMIFS('LCIA raw results SC2'!$E:$E,'LCIA raw results SC2'!$D:$D,$A30,'LCIA raw results SC2'!$G:$G,J$2,'LCIA raw results SC2'!$H:$H,$B30)</f>
        <v>1898.928735</v>
      </c>
      <c r="K30" s="81">
        <f>SUMIFS('LCIA raw results SC2'!$E:$E,'LCIA raw results SC2'!$D:$D,$A30,'LCIA raw results SC2'!$G:$G,K$2,'LCIA raw results SC2'!$H:$H,$B30)</f>
        <v>56.084414999999993</v>
      </c>
      <c r="L30" s="81">
        <f>SUMIFS('LCIA raw results SC2'!$E:$E,'LCIA raw results SC2'!$D:$D,$A30,'LCIA raw results SC2'!$G:$G,L$2,'LCIA raw results SC2'!$H:$H,$B30)</f>
        <v>79.806952500000008</v>
      </c>
      <c r="M30" s="81">
        <f>SUMIFS('LCIA raw results SC2'!$E:$E,'LCIA raw results SC2'!$D:$D,$A30,'LCIA raw results SC2'!$G:$G,M$2,'LCIA raw results SC2'!$H:$H,$B30)</f>
        <v>3100.5514425000001</v>
      </c>
      <c r="N30" s="81">
        <f>SUMIFS('LCIA raw results SC2'!$E:$E,'LCIA raw results SC2'!$D:$D,$A30,'LCIA raw results SC2'!$G:$G,N$2,'LCIA raw results SC2'!$H:$H,$B30)</f>
        <v>1.3657575</v>
      </c>
      <c r="O30" s="81">
        <f>SUMIFS('LCIA raw results SC2'!$E:$E,'LCIA raw results SC2'!$D:$D,$A30,'LCIA raw results SC2'!$G:$G,O$2,'LCIA raw results SC2'!$H:$H,$B30)</f>
        <v>0.42706500000000003</v>
      </c>
      <c r="P30" s="81">
        <f>SUMIFS('LCIA raw results SC2'!$E:$E,'LCIA raw results SC2'!$D:$D,$A30,'LCIA raw results SC2'!$G:$G,P$2,'LCIA raw results SC2'!$H:$H,$B30)</f>
        <v>1.8120000000000001E-2</v>
      </c>
      <c r="Q30" s="81">
        <f>SUMIFS('LCIA raw results SC2'!$E:$E,'LCIA raw results SC2'!$D:$D,$A30,'LCIA raw results SC2'!$G:$G,Q$2,'LCIA raw results SC2'!$H:$H,$B30)</f>
        <v>2.6137350000000001</v>
      </c>
      <c r="R30" s="81">
        <f>SUMIFS('LCIA raw results SC2'!$E:$E,'LCIA raw results SC2'!$D:$D,$A30,'LCIA raw results SC2'!$G:$G,R$2,'LCIA raw results SC2'!$H:$H,$B30)</f>
        <v>76.811520000000002</v>
      </c>
      <c r="S30" s="81">
        <f>SUMIFS('LCIA raw results SC2'!$E:$E,'LCIA raw results SC2'!$D:$D,$A30,'LCIA raw results SC2'!$G:$G,S$2,'LCIA raw results SC2'!$H:$H,$B30)</f>
        <v>3.1231949999999999</v>
      </c>
      <c r="T30" s="82">
        <f>SUMIFS('LCIA raw results SC2'!$E:$E,'LCIA raw results SC2'!$D:$D,$A30,'LCIA raw results SC2'!$G:$G,T$2,'LCIA raw results SC2'!$H:$H,$B30)</f>
        <v>2.2268775000000001</v>
      </c>
    </row>
    <row r="31" spans="1:20" ht="12.5" x14ac:dyDescent="0.25">
      <c r="A31" s="79" t="s">
        <v>313</v>
      </c>
      <c r="B31" s="81" t="s">
        <v>587</v>
      </c>
      <c r="C31" s="81" t="s">
        <v>0</v>
      </c>
      <c r="D31" s="81">
        <f>SUMIFS('LCIA raw results SC2'!$E:$E,'LCIA raw results SC2'!$D:$D,$A31,'LCIA raw results SC2'!$G:$G,D$2,'LCIA raw results SC2'!$H:$H,$B31)</f>
        <v>1284.4668375000001</v>
      </c>
      <c r="E31" s="81">
        <f>SUMIFS('LCIA raw results SC2'!$E:$E,'LCIA raw results SC2'!$D:$D,$A31,'LCIA raw results SC2'!$G:$G,E$2,'LCIA raw results SC2'!$H:$H,$B31)</f>
        <v>8.0250000000000004E-4</v>
      </c>
      <c r="F31" s="81">
        <f>SUMIFS('LCIA raw results SC2'!$E:$E,'LCIA raw results SC2'!$D:$D,$A31,'LCIA raw results SC2'!$G:$G,F$2,'LCIA raw results SC2'!$H:$H,$B31)</f>
        <v>4.3512900000000005</v>
      </c>
      <c r="G31" s="81">
        <f>SUMIFS('LCIA raw results SC2'!$E:$E,'LCIA raw results SC2'!$D:$D,$A31,'LCIA raw results SC2'!$G:$G,G$2,'LCIA raw results SC2'!$H:$H,$B31)</f>
        <v>2.8653975000000003</v>
      </c>
      <c r="H31" s="81">
        <f>SUMIFS('LCIA raw results SC2'!$E:$E,'LCIA raw results SC2'!$D:$D,$A31,'LCIA raw results SC2'!$G:$G,H$2,'LCIA raw results SC2'!$H:$H,$B31)</f>
        <v>129.60942749999998</v>
      </c>
      <c r="I31" s="81">
        <f>SUMIFS('LCIA raw results SC2'!$E:$E,'LCIA raw results SC2'!$D:$D,$A31,'LCIA raw results SC2'!$G:$G,I$2,'LCIA raw results SC2'!$H:$H,$B31)</f>
        <v>228.13518000000002</v>
      </c>
      <c r="J31" s="81">
        <f>SUMIFS('LCIA raw results SC2'!$E:$E,'LCIA raw results SC2'!$D:$D,$A31,'LCIA raw results SC2'!$G:$G,J$2,'LCIA raw results SC2'!$H:$H,$B31)</f>
        <v>33452.550000000003</v>
      </c>
      <c r="K31" s="81">
        <f>SUMIFS('LCIA raw results SC2'!$E:$E,'LCIA raw results SC2'!$D:$D,$A31,'LCIA raw results SC2'!$G:$G,K$2,'LCIA raw results SC2'!$H:$H,$B31)</f>
        <v>974.82944250000003</v>
      </c>
      <c r="L31" s="81">
        <f>SUMIFS('LCIA raw results SC2'!$E:$E,'LCIA raw results SC2'!$D:$D,$A31,'LCIA raw results SC2'!$G:$G,L$2,'LCIA raw results SC2'!$H:$H,$B31)</f>
        <v>1370.1405075</v>
      </c>
      <c r="M31" s="81">
        <f>SUMIFS('LCIA raw results SC2'!$E:$E,'LCIA raw results SC2'!$D:$D,$A31,'LCIA raw results SC2'!$G:$G,M$2,'LCIA raw results SC2'!$H:$H,$B31)</f>
        <v>3017.4447975000003</v>
      </c>
      <c r="N31" s="81">
        <f>SUMIFS('LCIA raw results SC2'!$E:$E,'LCIA raw results SC2'!$D:$D,$A31,'LCIA raw results SC2'!$G:$G,N$2,'LCIA raw results SC2'!$H:$H,$B31)</f>
        <v>5.1976575</v>
      </c>
      <c r="O31" s="81">
        <f>SUMIFS('LCIA raw results SC2'!$E:$E,'LCIA raw results SC2'!$D:$D,$A31,'LCIA raw results SC2'!$G:$G,O$2,'LCIA raw results SC2'!$H:$H,$B31)</f>
        <v>5.8010699999999993</v>
      </c>
      <c r="P31" s="81">
        <f>SUMIFS('LCIA raw results SC2'!$E:$E,'LCIA raw results SC2'!$D:$D,$A31,'LCIA raw results SC2'!$G:$G,P$2,'LCIA raw results SC2'!$H:$H,$B31)</f>
        <v>0.13381499999999999</v>
      </c>
      <c r="Q31" s="81">
        <f>SUMIFS('LCIA raw results SC2'!$E:$E,'LCIA raw results SC2'!$D:$D,$A31,'LCIA raw results SC2'!$G:$G,Q$2,'LCIA raw results SC2'!$H:$H,$B31)</f>
        <v>28.342642500000004</v>
      </c>
      <c r="R31" s="81">
        <f>SUMIFS('LCIA raw results SC2'!$E:$E,'LCIA raw results SC2'!$D:$D,$A31,'LCIA raw results SC2'!$G:$G,R$2,'LCIA raw results SC2'!$H:$H,$B31)</f>
        <v>332.2124475</v>
      </c>
      <c r="S31" s="81">
        <f>SUMIFS('LCIA raw results SC2'!$E:$E,'LCIA raw results SC2'!$D:$D,$A31,'LCIA raw results SC2'!$G:$G,S$2,'LCIA raw results SC2'!$H:$H,$B31)</f>
        <v>45.006682499999997</v>
      </c>
      <c r="T31" s="82">
        <f>SUMIFS('LCIA raw results SC2'!$E:$E,'LCIA raw results SC2'!$D:$D,$A31,'LCIA raw results SC2'!$G:$G,T$2,'LCIA raw results SC2'!$H:$H,$B31)</f>
        <v>10.873485000000001</v>
      </c>
    </row>
    <row r="32" spans="1:20" ht="12.5" x14ac:dyDescent="0.25">
      <c r="A32" s="79" t="s">
        <v>303</v>
      </c>
      <c r="B32" s="81" t="s">
        <v>587</v>
      </c>
      <c r="C32" s="81" t="s">
        <v>0</v>
      </c>
      <c r="D32" s="81">
        <f>SUMIFS('LCIA raw results SC2'!$E:$E,'LCIA raw results SC2'!$D:$D,$A32,'LCIA raw results SC2'!$G:$G,D$2,'LCIA raw results SC2'!$H:$H,$B32)</f>
        <v>342.80656499999998</v>
      </c>
      <c r="E32" s="81">
        <f>SUMIFS('LCIA raw results SC2'!$E:$E,'LCIA raw results SC2'!$D:$D,$A32,'LCIA raw results SC2'!$G:$G,E$2,'LCIA raw results SC2'!$H:$H,$B32)</f>
        <v>2.0999999999999998E-4</v>
      </c>
      <c r="F32" s="81">
        <f>SUMIFS('LCIA raw results SC2'!$E:$E,'LCIA raw results SC2'!$D:$D,$A32,'LCIA raw results SC2'!$G:$G,F$2,'LCIA raw results SC2'!$H:$H,$B32)</f>
        <v>1.1014275</v>
      </c>
      <c r="G32" s="81">
        <f>SUMIFS('LCIA raw results SC2'!$E:$E,'LCIA raw results SC2'!$D:$D,$A32,'LCIA raw results SC2'!$G:$G,G$2,'LCIA raw results SC2'!$H:$H,$B32)</f>
        <v>0.99192750000000007</v>
      </c>
      <c r="H32" s="81">
        <f>SUMIFS('LCIA raw results SC2'!$E:$E,'LCIA raw results SC2'!$D:$D,$A32,'LCIA raw results SC2'!$G:$G,H$2,'LCIA raw results SC2'!$H:$H,$B32)</f>
        <v>35.03895</v>
      </c>
      <c r="I32" s="81">
        <f>SUMIFS('LCIA raw results SC2'!$E:$E,'LCIA raw results SC2'!$D:$D,$A32,'LCIA raw results SC2'!$G:$G,I$2,'LCIA raw results SC2'!$H:$H,$B32)</f>
        <v>42.818062499999996</v>
      </c>
      <c r="J32" s="81">
        <f>SUMIFS('LCIA raw results SC2'!$E:$E,'LCIA raw results SC2'!$D:$D,$A32,'LCIA raw results SC2'!$G:$G,J$2,'LCIA raw results SC2'!$H:$H,$B32)</f>
        <v>5324.1807749999998</v>
      </c>
      <c r="K32" s="81">
        <f>SUMIFS('LCIA raw results SC2'!$E:$E,'LCIA raw results SC2'!$D:$D,$A32,'LCIA raw results SC2'!$G:$G,K$2,'LCIA raw results SC2'!$H:$H,$B32)</f>
        <v>155.43836999999999</v>
      </c>
      <c r="L32" s="81">
        <f>SUMIFS('LCIA raw results SC2'!$E:$E,'LCIA raw results SC2'!$D:$D,$A32,'LCIA raw results SC2'!$G:$G,L$2,'LCIA raw results SC2'!$H:$H,$B32)</f>
        <v>223.90725749999999</v>
      </c>
      <c r="M32" s="81">
        <f>SUMIFS('LCIA raw results SC2'!$E:$E,'LCIA raw results SC2'!$D:$D,$A32,'LCIA raw results SC2'!$G:$G,M$2,'LCIA raw results SC2'!$H:$H,$B32)</f>
        <v>2528.1941775</v>
      </c>
      <c r="N32" s="81">
        <f>SUMIFS('LCIA raw results SC2'!$E:$E,'LCIA raw results SC2'!$D:$D,$A32,'LCIA raw results SC2'!$G:$G,N$2,'LCIA raw results SC2'!$H:$H,$B32)</f>
        <v>2.1534675000000001</v>
      </c>
      <c r="O32" s="81">
        <f>SUMIFS('LCIA raw results SC2'!$E:$E,'LCIA raw results SC2'!$D:$D,$A32,'LCIA raw results SC2'!$G:$G,O$2,'LCIA raw results SC2'!$H:$H,$B32)</f>
        <v>0.97555499999999995</v>
      </c>
      <c r="P32" s="81">
        <f>SUMIFS('LCIA raw results SC2'!$E:$E,'LCIA raw results SC2'!$D:$D,$A32,'LCIA raw results SC2'!$G:$G,P$2,'LCIA raw results SC2'!$H:$H,$B32)</f>
        <v>2.9010000000000001E-2</v>
      </c>
      <c r="Q32" s="81">
        <f>SUMIFS('LCIA raw results SC2'!$E:$E,'LCIA raw results SC2'!$D:$D,$A32,'LCIA raw results SC2'!$G:$G,Q$2,'LCIA raw results SC2'!$H:$H,$B32)</f>
        <v>5.7135899999999999</v>
      </c>
      <c r="R32" s="81">
        <f>SUMIFS('LCIA raw results SC2'!$E:$E,'LCIA raw results SC2'!$D:$D,$A32,'LCIA raw results SC2'!$G:$G,R$2,'LCIA raw results SC2'!$H:$H,$B32)</f>
        <v>88.288402500000004</v>
      </c>
      <c r="S32" s="81">
        <f>SUMIFS('LCIA raw results SC2'!$E:$E,'LCIA raw results SC2'!$D:$D,$A32,'LCIA raw results SC2'!$G:$G,S$2,'LCIA raw results SC2'!$H:$H,$B32)</f>
        <v>10.2415275</v>
      </c>
      <c r="T32" s="82">
        <f>SUMIFS('LCIA raw results SC2'!$E:$E,'LCIA raw results SC2'!$D:$D,$A32,'LCIA raw results SC2'!$G:$G,T$2,'LCIA raw results SC2'!$H:$H,$B32)</f>
        <v>2.9093024999999999</v>
      </c>
    </row>
    <row r="33" spans="1:20" ht="12.5" x14ac:dyDescent="0.25">
      <c r="A33" s="79" t="s">
        <v>309</v>
      </c>
      <c r="B33" s="81" t="s">
        <v>587</v>
      </c>
      <c r="C33" s="81" t="s">
        <v>0</v>
      </c>
      <c r="D33" s="81">
        <f>SUMIFS('LCIA raw results SC2'!$E:$E,'LCIA raw results SC2'!$D:$D,$A33,'LCIA raw results SC2'!$G:$G,D$2,'LCIA raw results SC2'!$H:$H,$B33)</f>
        <v>290.6948625</v>
      </c>
      <c r="E33" s="81">
        <f>SUMIFS('LCIA raw results SC2'!$E:$E,'LCIA raw results SC2'!$D:$D,$A33,'LCIA raw results SC2'!$G:$G,E$2,'LCIA raw results SC2'!$H:$H,$B33)</f>
        <v>1.5000000000000001E-4</v>
      </c>
      <c r="F33" s="81">
        <f>SUMIFS('LCIA raw results SC2'!$E:$E,'LCIA raw results SC2'!$D:$D,$A33,'LCIA raw results SC2'!$G:$G,F$2,'LCIA raw results SC2'!$H:$H,$B33)</f>
        <v>0.85169250000000007</v>
      </c>
      <c r="G33" s="81">
        <f>SUMIFS('LCIA raw results SC2'!$E:$E,'LCIA raw results SC2'!$D:$D,$A33,'LCIA raw results SC2'!$G:$G,G$2,'LCIA raw results SC2'!$H:$H,$B33)</f>
        <v>0.68186999999999998</v>
      </c>
      <c r="H33" s="81">
        <f>SUMIFS('LCIA raw results SC2'!$E:$E,'LCIA raw results SC2'!$D:$D,$A33,'LCIA raw results SC2'!$G:$G,H$2,'LCIA raw results SC2'!$H:$H,$B33)</f>
        <v>30.069105</v>
      </c>
      <c r="I33" s="81">
        <f>SUMIFS('LCIA raw results SC2'!$E:$E,'LCIA raw results SC2'!$D:$D,$A33,'LCIA raw results SC2'!$G:$G,I$2,'LCIA raw results SC2'!$H:$H,$B33)</f>
        <v>42.853177500000001</v>
      </c>
      <c r="J33" s="81">
        <f>SUMIFS('LCIA raw results SC2'!$E:$E,'LCIA raw results SC2'!$D:$D,$A33,'LCIA raw results SC2'!$G:$G,J$2,'LCIA raw results SC2'!$H:$H,$B33)</f>
        <v>3239.4045974999999</v>
      </c>
      <c r="K33" s="81">
        <f>SUMIFS('LCIA raw results SC2'!$E:$E,'LCIA raw results SC2'!$D:$D,$A33,'LCIA raw results SC2'!$G:$G,K$2,'LCIA raw results SC2'!$H:$H,$B33)</f>
        <v>95.736914999999996</v>
      </c>
      <c r="L33" s="81">
        <f>SUMIFS('LCIA raw results SC2'!$E:$E,'LCIA raw results SC2'!$D:$D,$A33,'LCIA raw results SC2'!$G:$G,L$2,'LCIA raw results SC2'!$H:$H,$B33)</f>
        <v>135.45693</v>
      </c>
      <c r="M33" s="81">
        <f>SUMIFS('LCIA raw results SC2'!$E:$E,'LCIA raw results SC2'!$D:$D,$A33,'LCIA raw results SC2'!$G:$G,M$2,'LCIA raw results SC2'!$H:$H,$B33)</f>
        <v>2265.4103700000001</v>
      </c>
      <c r="N33" s="81">
        <f>SUMIFS('LCIA raw results SC2'!$E:$E,'LCIA raw results SC2'!$D:$D,$A33,'LCIA raw results SC2'!$G:$G,N$2,'LCIA raw results SC2'!$H:$H,$B33)</f>
        <v>1.38354</v>
      </c>
      <c r="O33" s="81">
        <f>SUMIFS('LCIA raw results SC2'!$E:$E,'LCIA raw results SC2'!$D:$D,$A33,'LCIA raw results SC2'!$G:$G,O$2,'LCIA raw results SC2'!$H:$H,$B33)</f>
        <v>0.61203750000000001</v>
      </c>
      <c r="P33" s="81">
        <f>SUMIFS('LCIA raw results SC2'!$E:$E,'LCIA raw results SC2'!$D:$D,$A33,'LCIA raw results SC2'!$G:$G,P$2,'LCIA raw results SC2'!$H:$H,$B33)</f>
        <v>2.0827499999999999E-2</v>
      </c>
      <c r="Q33" s="81">
        <f>SUMIFS('LCIA raw results SC2'!$E:$E,'LCIA raw results SC2'!$D:$D,$A33,'LCIA raw results SC2'!$G:$G,Q$2,'LCIA raw results SC2'!$H:$H,$B33)</f>
        <v>3.7876875000000001</v>
      </c>
      <c r="R33" s="81">
        <f>SUMIFS('LCIA raw results SC2'!$E:$E,'LCIA raw results SC2'!$D:$D,$A33,'LCIA raw results SC2'!$G:$G,R$2,'LCIA raw results SC2'!$H:$H,$B33)</f>
        <v>70.862362499999989</v>
      </c>
      <c r="S33" s="81">
        <f>SUMIFS('LCIA raw results SC2'!$E:$E,'LCIA raw results SC2'!$D:$D,$A33,'LCIA raw results SC2'!$G:$G,S$2,'LCIA raw results SC2'!$H:$H,$B33)</f>
        <v>6.5247824999999997</v>
      </c>
      <c r="T33" s="82">
        <f>SUMIFS('LCIA raw results SC2'!$E:$E,'LCIA raw results SC2'!$D:$D,$A33,'LCIA raw results SC2'!$G:$G,T$2,'LCIA raw results SC2'!$H:$H,$B33)</f>
        <v>2.6334600000000004</v>
      </c>
    </row>
    <row r="34" spans="1:20" ht="12.5" x14ac:dyDescent="0.25">
      <c r="A34" s="79" t="s">
        <v>317</v>
      </c>
      <c r="B34" s="81" t="s">
        <v>587</v>
      </c>
      <c r="C34" s="81" t="s">
        <v>108</v>
      </c>
      <c r="D34" s="81">
        <f>SUMIFS('LCIA raw results SC2'!$E:$E,'LCIA raw results SC2'!$D:$D,$A34,'LCIA raw results SC2'!$G:$G,D$2,'LCIA raw results SC2'!$H:$H,$B34)</f>
        <v>60.262214999999998</v>
      </c>
      <c r="E34" s="81">
        <f>SUMIFS('LCIA raw results SC2'!$E:$E,'LCIA raw results SC2'!$D:$D,$A34,'LCIA raw results SC2'!$G:$G,E$2,'LCIA raw results SC2'!$H:$H,$B34)</f>
        <v>4.3707599999999995E-5</v>
      </c>
      <c r="F34" s="81">
        <f>SUMIFS('LCIA raw results SC2'!$E:$E,'LCIA raw results SC2'!$D:$D,$A34,'LCIA raw results SC2'!$G:$G,F$2,'LCIA raw results SC2'!$H:$H,$B34)</f>
        <v>0.19013250000000001</v>
      </c>
      <c r="G34" s="81">
        <f>SUMIFS('LCIA raw results SC2'!$E:$E,'LCIA raw results SC2'!$D:$D,$A34,'LCIA raw results SC2'!$G:$G,G$2,'LCIA raw results SC2'!$H:$H,$B34)</f>
        <v>6.7072499999999993E-2</v>
      </c>
      <c r="H34" s="81">
        <f>SUMIFS('LCIA raw results SC2'!$E:$E,'LCIA raw results SC2'!$D:$D,$A34,'LCIA raw results SC2'!$G:$G,H$2,'LCIA raw results SC2'!$H:$H,$B34)</f>
        <v>1.0718775</v>
      </c>
      <c r="I34" s="81">
        <f>SUMIFS('LCIA raw results SC2'!$E:$E,'LCIA raw results SC2'!$D:$D,$A34,'LCIA raw results SC2'!$G:$G,I$2,'LCIA raw results SC2'!$H:$H,$B34)</f>
        <v>1.2229800000000002</v>
      </c>
      <c r="J34" s="81">
        <f>SUMIFS('LCIA raw results SC2'!$E:$E,'LCIA raw results SC2'!$D:$D,$A34,'LCIA raw results SC2'!$G:$G,J$2,'LCIA raw results SC2'!$H:$H,$B34)</f>
        <v>34.483942499999998</v>
      </c>
      <c r="K34" s="81">
        <f>SUMIFS('LCIA raw results SC2'!$E:$E,'LCIA raw results SC2'!$D:$D,$A34,'LCIA raw results SC2'!$G:$G,K$2,'LCIA raw results SC2'!$H:$H,$B34)</f>
        <v>0.86602500000000004</v>
      </c>
      <c r="L34" s="81">
        <f>SUMIFS('LCIA raw results SC2'!$E:$E,'LCIA raw results SC2'!$D:$D,$A34,'LCIA raw results SC2'!$G:$G,L$2,'LCIA raw results SC2'!$H:$H,$B34)</f>
        <v>1.5701475</v>
      </c>
      <c r="M34" s="81">
        <f>SUMIFS('LCIA raw results SC2'!$E:$E,'LCIA raw results SC2'!$D:$D,$A34,'LCIA raw results SC2'!$G:$G,M$2,'LCIA raw results SC2'!$H:$H,$B34)</f>
        <v>782.98268250000001</v>
      </c>
      <c r="N34" s="81">
        <f>SUMIFS('LCIA raw results SC2'!$E:$E,'LCIA raw results SC2'!$D:$D,$A34,'LCIA raw results SC2'!$G:$G,N$2,'LCIA raw results SC2'!$H:$H,$B34)</f>
        <v>0.15015000000000001</v>
      </c>
      <c r="O34" s="81">
        <f>SUMIFS('LCIA raw results SC2'!$E:$E,'LCIA raw results SC2'!$D:$D,$A34,'LCIA raw results SC2'!$G:$G,O$2,'LCIA raw results SC2'!$H:$H,$B34)</f>
        <v>4.6800000000000001E-3</v>
      </c>
      <c r="P34" s="81">
        <f>SUMIFS('LCIA raw results SC2'!$E:$E,'LCIA raw results SC2'!$D:$D,$A34,'LCIA raw results SC2'!$G:$G,P$2,'LCIA raw results SC2'!$H:$H,$B34)</f>
        <v>3.9749999999999996E-4</v>
      </c>
      <c r="Q34" s="81">
        <f>SUMIFS('LCIA raw results SC2'!$E:$E,'LCIA raw results SC2'!$D:$D,$A34,'LCIA raw results SC2'!$G:$G,Q$2,'LCIA raw results SC2'!$H:$H,$B34)</f>
        <v>1.9078724999999999</v>
      </c>
      <c r="R34" s="81">
        <f>SUMIFS('LCIA raw results SC2'!$E:$E,'LCIA raw results SC2'!$D:$D,$A34,'LCIA raw results SC2'!$G:$G,R$2,'LCIA raw results SC2'!$H:$H,$B34)</f>
        <v>20.867062499999999</v>
      </c>
      <c r="S34" s="81">
        <f>SUMIFS('LCIA raw results SC2'!$E:$E,'LCIA raw results SC2'!$D:$D,$A34,'LCIA raw results SC2'!$G:$G,S$2,'LCIA raw results SC2'!$H:$H,$B34)</f>
        <v>0.10870500000000001</v>
      </c>
      <c r="T34" s="82">
        <f>SUMIFS('LCIA raw results SC2'!$E:$E,'LCIA raw results SC2'!$D:$D,$A34,'LCIA raw results SC2'!$G:$G,T$2,'LCIA raw results SC2'!$H:$H,$B34)</f>
        <v>0.16642499999999999</v>
      </c>
    </row>
    <row r="35" spans="1:20" ht="12.5" x14ac:dyDescent="0.25">
      <c r="A35" s="79" t="s">
        <v>315</v>
      </c>
      <c r="B35" s="81" t="s">
        <v>587</v>
      </c>
      <c r="C35" s="81" t="s">
        <v>819</v>
      </c>
      <c r="D35" s="81">
        <f>SUMIFS('LCIA raw results SC2'!$E:$E,'LCIA raw results SC2'!$D:$D,$A35,'LCIA raw results SC2'!$G:$G,D$2,'LCIA raw results SC2'!$H:$H,$B35)</f>
        <v>89.974927500000007</v>
      </c>
      <c r="E35" s="81">
        <f>SUMIFS('LCIA raw results SC2'!$E:$E,'LCIA raw results SC2'!$D:$D,$A35,'LCIA raw results SC2'!$G:$G,E$2,'LCIA raw results SC2'!$H:$H,$B35)</f>
        <v>5.3113575000000004E-5</v>
      </c>
      <c r="F35" s="81">
        <f>SUMIFS('LCIA raw results SC2'!$E:$E,'LCIA raw results SC2'!$D:$D,$A35,'LCIA raw results SC2'!$G:$G,F$2,'LCIA raw results SC2'!$H:$H,$B35)</f>
        <v>0.1085325</v>
      </c>
      <c r="G35" s="81">
        <f>SUMIFS('LCIA raw results SC2'!$E:$E,'LCIA raw results SC2'!$D:$D,$A35,'LCIA raw results SC2'!$G:$G,G$2,'LCIA raw results SC2'!$H:$H,$B35)</f>
        <v>6.1619999999999994E-2</v>
      </c>
      <c r="H35" s="81">
        <f>SUMIFS('LCIA raw results SC2'!$E:$E,'LCIA raw results SC2'!$D:$D,$A35,'LCIA raw results SC2'!$G:$G,H$2,'LCIA raw results SC2'!$H:$H,$B35)</f>
        <v>1.7313975000000001</v>
      </c>
      <c r="I35" s="81">
        <f>SUMIFS('LCIA raw results SC2'!$E:$E,'LCIA raw results SC2'!$D:$D,$A35,'LCIA raw results SC2'!$G:$G,I$2,'LCIA raw results SC2'!$H:$H,$B35)</f>
        <v>3.8357625</v>
      </c>
      <c r="J35" s="81">
        <f>SUMIFS('LCIA raw results SC2'!$E:$E,'LCIA raw results SC2'!$D:$D,$A35,'LCIA raw results SC2'!$G:$G,J$2,'LCIA raw results SC2'!$H:$H,$B35)</f>
        <v>149.23823999999999</v>
      </c>
      <c r="K35" s="81">
        <f>SUMIFS('LCIA raw results SC2'!$E:$E,'LCIA raw results SC2'!$D:$D,$A35,'LCIA raw results SC2'!$G:$G,K$2,'LCIA raw results SC2'!$H:$H,$B35)</f>
        <v>101.68302750000001</v>
      </c>
      <c r="L35" s="81">
        <f>SUMIFS('LCIA raw results SC2'!$E:$E,'LCIA raw results SC2'!$D:$D,$A35,'LCIA raw results SC2'!$G:$G,L$2,'LCIA raw results SC2'!$H:$H,$B35)</f>
        <v>121.85804999999999</v>
      </c>
      <c r="M35" s="81">
        <f>SUMIFS('LCIA raw results SC2'!$E:$E,'LCIA raw results SC2'!$D:$D,$A35,'LCIA raw results SC2'!$G:$G,M$2,'LCIA raw results SC2'!$H:$H,$B35)</f>
        <v>560.21856749999995</v>
      </c>
      <c r="N35" s="81">
        <f>SUMIFS('LCIA raw results SC2'!$E:$E,'LCIA raw results SC2'!$D:$D,$A35,'LCIA raw results SC2'!$G:$G,N$2,'LCIA raw results SC2'!$H:$H,$B35)</f>
        <v>0.13891500000000001</v>
      </c>
      <c r="O35" s="81">
        <f>SUMIFS('LCIA raw results SC2'!$E:$E,'LCIA raw results SC2'!$D:$D,$A35,'LCIA raw results SC2'!$G:$G,O$2,'LCIA raw results SC2'!$H:$H,$B35)</f>
        <v>1.7565000000000001E-2</v>
      </c>
      <c r="P35" s="81">
        <f>SUMIFS('LCIA raw results SC2'!$E:$E,'LCIA raw results SC2'!$D:$D,$A35,'LCIA raw results SC2'!$G:$G,P$2,'LCIA raw results SC2'!$H:$H,$B35)</f>
        <v>1.725E-3</v>
      </c>
      <c r="Q35" s="81">
        <f>SUMIFS('LCIA raw results SC2'!$E:$E,'LCIA raw results SC2'!$D:$D,$A35,'LCIA raw results SC2'!$G:$G,Q$2,'LCIA raw results SC2'!$H:$H,$B35)</f>
        <v>0.39697499999999997</v>
      </c>
      <c r="R35" s="81">
        <f>SUMIFS('LCIA raw results SC2'!$E:$E,'LCIA raw results SC2'!$D:$D,$A35,'LCIA raw results SC2'!$G:$G,R$2,'LCIA raw results SC2'!$H:$H,$B35)</f>
        <v>7.6932074999999998</v>
      </c>
      <c r="S35" s="81">
        <f>SUMIFS('LCIA raw results SC2'!$E:$E,'LCIA raw results SC2'!$D:$D,$A35,'LCIA raw results SC2'!$G:$G,S$2,'LCIA raw results SC2'!$H:$H,$B35)</f>
        <v>0.32055</v>
      </c>
      <c r="T35" s="82">
        <f>SUMIFS('LCIA raw results SC2'!$E:$E,'LCIA raw results SC2'!$D:$D,$A35,'LCIA raw results SC2'!$G:$G,T$2,'LCIA raw results SC2'!$H:$H,$B35)</f>
        <v>0.41897249999999997</v>
      </c>
    </row>
    <row r="36" spans="1:20" ht="12.5" x14ac:dyDescent="0.25">
      <c r="A36" s="79" t="s">
        <v>333</v>
      </c>
      <c r="B36" s="81" t="s">
        <v>587</v>
      </c>
      <c r="C36" s="81" t="s">
        <v>100</v>
      </c>
      <c r="D36" s="81">
        <f>SUMIFS('LCIA raw results SC2'!$E:$E,'LCIA raw results SC2'!$D:$D,$A36,'LCIA raw results SC2'!$G:$G,D$2,'LCIA raw results SC2'!$H:$H,$B36)</f>
        <v>21.649455</v>
      </c>
      <c r="E36" s="81">
        <f>SUMIFS('LCIA raw results SC2'!$E:$E,'LCIA raw results SC2'!$D:$D,$A36,'LCIA raw results SC2'!$G:$G,E$2,'LCIA raw results SC2'!$H:$H,$B36)</f>
        <v>1.6824899999999999E-6</v>
      </c>
      <c r="F36" s="81">
        <f>SUMIFS('LCIA raw results SC2'!$E:$E,'LCIA raw results SC2'!$D:$D,$A36,'LCIA raw results SC2'!$G:$G,F$2,'LCIA raw results SC2'!$H:$H,$B36)</f>
        <v>4.4549999999999998E-3</v>
      </c>
      <c r="G36" s="81">
        <f>SUMIFS('LCIA raw results SC2'!$E:$E,'LCIA raw results SC2'!$D:$D,$A36,'LCIA raw results SC2'!$G:$G,G$2,'LCIA raw results SC2'!$H:$H,$B36)</f>
        <v>8.7000000000000001E-4</v>
      </c>
      <c r="H36" s="81">
        <f>SUMIFS('LCIA raw results SC2'!$E:$E,'LCIA raw results SC2'!$D:$D,$A36,'LCIA raw results SC2'!$G:$G,H$2,'LCIA raw results SC2'!$H:$H,$B36)</f>
        <v>7.4025000000000002E-3</v>
      </c>
      <c r="I36" s="81">
        <f>SUMIFS('LCIA raw results SC2'!$E:$E,'LCIA raw results SC2'!$D:$D,$A36,'LCIA raw results SC2'!$G:$G,I$2,'LCIA raw results SC2'!$H:$H,$B36)</f>
        <v>9.8085000000000006E-2</v>
      </c>
      <c r="J36" s="81">
        <f>SUMIFS('LCIA raw results SC2'!$E:$E,'LCIA raw results SC2'!$D:$D,$A36,'LCIA raw results SC2'!$G:$G,J$2,'LCIA raw results SC2'!$H:$H,$B36)</f>
        <v>22.741364999999998</v>
      </c>
      <c r="K36" s="81">
        <f>SUMIFS('LCIA raw results SC2'!$E:$E,'LCIA raw results SC2'!$D:$D,$A36,'LCIA raw results SC2'!$G:$G,K$2,'LCIA raw results SC2'!$H:$H,$B36)</f>
        <v>2.2365000000000004</v>
      </c>
      <c r="L36" s="81">
        <f>SUMIFS('LCIA raw results SC2'!$E:$E,'LCIA raw results SC2'!$D:$D,$A36,'LCIA raw results SC2'!$G:$G,L$2,'LCIA raw results SC2'!$H:$H,$B36)</f>
        <v>3.1978124999999999</v>
      </c>
      <c r="M36" s="81">
        <f>SUMIFS('LCIA raw results SC2'!$E:$E,'LCIA raw results SC2'!$D:$D,$A36,'LCIA raw results SC2'!$G:$G,M$2,'LCIA raw results SC2'!$H:$H,$B36)</f>
        <v>64.108792500000007</v>
      </c>
      <c r="N36" s="81">
        <f>SUMIFS('LCIA raw results SC2'!$E:$E,'LCIA raw results SC2'!$D:$D,$A36,'LCIA raw results SC2'!$G:$G,N$2,'LCIA raw results SC2'!$H:$H,$B36)</f>
        <v>2.1825E-3</v>
      </c>
      <c r="O36" s="81">
        <f>SUMIFS('LCIA raw results SC2'!$E:$E,'LCIA raw results SC2'!$D:$D,$A36,'LCIA raw results SC2'!$G:$G,O$2,'LCIA raw results SC2'!$H:$H,$B36)</f>
        <v>4.5796724999999996E-5</v>
      </c>
      <c r="P36" s="81">
        <f>SUMIFS('LCIA raw results SC2'!$E:$E,'LCIA raw results SC2'!$D:$D,$A36,'LCIA raw results SC2'!$G:$G,P$2,'LCIA raw results SC2'!$H:$H,$B36)</f>
        <v>5.8500000000000002E-4</v>
      </c>
      <c r="Q36" s="81">
        <f>SUMIFS('LCIA raw results SC2'!$E:$E,'LCIA raw results SC2'!$D:$D,$A36,'LCIA raw results SC2'!$G:$G,Q$2,'LCIA raw results SC2'!$H:$H,$B36)</f>
        <v>2.0902499999999997E-2</v>
      </c>
      <c r="R36" s="81">
        <f>SUMIFS('LCIA raw results SC2'!$E:$E,'LCIA raw results SC2'!$D:$D,$A36,'LCIA raw results SC2'!$G:$G,R$2,'LCIA raw results SC2'!$H:$H,$B36)</f>
        <v>0.12439500000000001</v>
      </c>
      <c r="S36" s="81">
        <f>SUMIFS('LCIA raw results SC2'!$E:$E,'LCIA raw results SC2'!$D:$D,$A36,'LCIA raw results SC2'!$G:$G,S$2,'LCIA raw results SC2'!$H:$H,$B36)</f>
        <v>1.6949999999999999E-3</v>
      </c>
      <c r="T36" s="82">
        <f>SUMIFS('LCIA raw results SC2'!$E:$E,'LCIA raw results SC2'!$D:$D,$A36,'LCIA raw results SC2'!$G:$G,T$2,'LCIA raw results SC2'!$H:$H,$B36)</f>
        <v>3.1049999999999997E-3</v>
      </c>
    </row>
    <row r="37" spans="1:20" ht="12.5" x14ac:dyDescent="0.25">
      <c r="A37" s="79" t="s">
        <v>321</v>
      </c>
      <c r="B37" s="81" t="s">
        <v>587</v>
      </c>
      <c r="C37" s="81" t="s">
        <v>108</v>
      </c>
      <c r="D37" s="81">
        <f>SUMIFS('LCIA raw results SC2'!$E:$E,'LCIA raw results SC2'!$D:$D,$A37,'LCIA raw results SC2'!$G:$G,D$2,'LCIA raw results SC2'!$H:$H,$B37)</f>
        <v>30.702157500000002</v>
      </c>
      <c r="E37" s="81">
        <f>SUMIFS('LCIA raw results SC2'!$E:$E,'LCIA raw results SC2'!$D:$D,$A37,'LCIA raw results SC2'!$G:$G,E$2,'LCIA raw results SC2'!$H:$H,$B37)</f>
        <v>1.44426E-5</v>
      </c>
      <c r="F37" s="81">
        <f>SUMIFS('LCIA raw results SC2'!$E:$E,'LCIA raw results SC2'!$D:$D,$A37,'LCIA raw results SC2'!$G:$G,F$2,'LCIA raw results SC2'!$H:$H,$B37)</f>
        <v>0.39661499999999994</v>
      </c>
      <c r="G37" s="81">
        <f>SUMIFS('LCIA raw results SC2'!$E:$E,'LCIA raw results SC2'!$D:$D,$A37,'LCIA raw results SC2'!$G:$G,G$2,'LCIA raw results SC2'!$H:$H,$B37)</f>
        <v>0.16778999999999999</v>
      </c>
      <c r="H37" s="81">
        <f>SUMIFS('LCIA raw results SC2'!$E:$E,'LCIA raw results SC2'!$D:$D,$A37,'LCIA raw results SC2'!$G:$G,H$2,'LCIA raw results SC2'!$H:$H,$B37)</f>
        <v>1.2310350000000001</v>
      </c>
      <c r="I37" s="81">
        <f>SUMIFS('LCIA raw results SC2'!$E:$E,'LCIA raw results SC2'!$D:$D,$A37,'LCIA raw results SC2'!$G:$G,I$2,'LCIA raw results SC2'!$H:$H,$B37)</f>
        <v>0.63561749999999995</v>
      </c>
      <c r="J37" s="81">
        <f>SUMIFS('LCIA raw results SC2'!$E:$E,'LCIA raw results SC2'!$D:$D,$A37,'LCIA raw results SC2'!$G:$G,J$2,'LCIA raw results SC2'!$H:$H,$B37)</f>
        <v>5.3490824999999997</v>
      </c>
      <c r="K37" s="81">
        <f>SUMIFS('LCIA raw results SC2'!$E:$E,'LCIA raw results SC2'!$D:$D,$A37,'LCIA raw results SC2'!$G:$G,K$2,'LCIA raw results SC2'!$H:$H,$B37)</f>
        <v>0.2068275</v>
      </c>
      <c r="L37" s="81">
        <f>SUMIFS('LCIA raw results SC2'!$E:$E,'LCIA raw results SC2'!$D:$D,$A37,'LCIA raw results SC2'!$G:$G,L$2,'LCIA raw results SC2'!$H:$H,$B37)</f>
        <v>0.32090999999999997</v>
      </c>
      <c r="M37" s="81">
        <f>SUMIFS('LCIA raw results SC2'!$E:$E,'LCIA raw results SC2'!$D:$D,$A37,'LCIA raw results SC2'!$G:$G,M$2,'LCIA raw results SC2'!$H:$H,$B37)</f>
        <v>57.750554999999991</v>
      </c>
      <c r="N37" s="81">
        <f>SUMIFS('LCIA raw results SC2'!$E:$E,'LCIA raw results SC2'!$D:$D,$A37,'LCIA raw results SC2'!$G:$G,N$2,'LCIA raw results SC2'!$H:$H,$B37)</f>
        <v>0.51204749999999999</v>
      </c>
      <c r="O37" s="81">
        <f>SUMIFS('LCIA raw results SC2'!$E:$E,'LCIA raw results SC2'!$D:$D,$A37,'LCIA raw results SC2'!$G:$G,O$2,'LCIA raw results SC2'!$H:$H,$B37)</f>
        <v>4.1250000000000002E-3</v>
      </c>
      <c r="P37" s="81">
        <f>SUMIFS('LCIA raw results SC2'!$E:$E,'LCIA raw results SC2'!$D:$D,$A37,'LCIA raw results SC2'!$G:$G,P$2,'LCIA raw results SC2'!$H:$H,$B37)</f>
        <v>3.0000000000000003E-4</v>
      </c>
      <c r="Q37" s="81">
        <f>SUMIFS('LCIA raw results SC2'!$E:$E,'LCIA raw results SC2'!$D:$D,$A37,'LCIA raw results SC2'!$G:$G,Q$2,'LCIA raw results SC2'!$H:$H,$B37)</f>
        <v>7.2569999999999996E-2</v>
      </c>
      <c r="R37" s="81">
        <f>SUMIFS('LCIA raw results SC2'!$E:$E,'LCIA raw results SC2'!$D:$D,$A37,'LCIA raw results SC2'!$G:$G,R$2,'LCIA raw results SC2'!$H:$H,$B37)</f>
        <v>9.7315349999999992</v>
      </c>
      <c r="S37" s="81">
        <f>SUMIFS('LCIA raw results SC2'!$E:$E,'LCIA raw results SC2'!$D:$D,$A37,'LCIA raw results SC2'!$G:$G,S$2,'LCIA raw results SC2'!$H:$H,$B37)</f>
        <v>3.7349999999999994E-2</v>
      </c>
      <c r="T37" s="82">
        <f>SUMIFS('LCIA raw results SC2'!$E:$E,'LCIA raw results SC2'!$D:$D,$A37,'LCIA raw results SC2'!$G:$G,T$2,'LCIA raw results SC2'!$H:$H,$B37)</f>
        <v>9.0914999999999996E-2</v>
      </c>
    </row>
    <row r="38" spans="1:20" ht="12.5" x14ac:dyDescent="0.25">
      <c r="A38" s="79" t="s">
        <v>598</v>
      </c>
      <c r="B38" s="81" t="s">
        <v>587</v>
      </c>
      <c r="C38" s="81" t="s">
        <v>90</v>
      </c>
      <c r="D38" s="81">
        <f>SUMIFS('LCIA raw results SC2'!$E:$E,'LCIA raw results SC2'!$D:$D,$A38,'LCIA raw results SC2'!$G:$G,D$2,'LCIA raw results SC2'!$H:$H,$B38)</f>
        <v>9.1964925000000015</v>
      </c>
      <c r="E38" s="81">
        <f>SUMIFS('LCIA raw results SC2'!$E:$E,'LCIA raw results SC2'!$D:$D,$A38,'LCIA raw results SC2'!$G:$G,E$2,'LCIA raw results SC2'!$H:$H,$B38)</f>
        <v>2.6052449999999998E-6</v>
      </c>
      <c r="F38" s="81">
        <f>SUMIFS('LCIA raw results SC2'!$E:$E,'LCIA raw results SC2'!$D:$D,$A38,'LCIA raw results SC2'!$G:$G,F$2,'LCIA raw results SC2'!$H:$H,$B38)</f>
        <v>2.3722500000000001E-2</v>
      </c>
      <c r="G38" s="81">
        <f>SUMIFS('LCIA raw results SC2'!$E:$E,'LCIA raw results SC2'!$D:$D,$A38,'LCIA raw results SC2'!$G:$G,G$2,'LCIA raw results SC2'!$H:$H,$B38)</f>
        <v>1.6357500000000001E-2</v>
      </c>
      <c r="H38" s="81">
        <f>SUMIFS('LCIA raw results SC2'!$E:$E,'LCIA raw results SC2'!$D:$D,$A38,'LCIA raw results SC2'!$G:$G,H$2,'LCIA raw results SC2'!$H:$H,$B38)</f>
        <v>0.29930249999999997</v>
      </c>
      <c r="I38" s="81">
        <f>SUMIFS('LCIA raw results SC2'!$E:$E,'LCIA raw results SC2'!$D:$D,$A38,'LCIA raw results SC2'!$G:$G,I$2,'LCIA raw results SC2'!$H:$H,$B38)</f>
        <v>1.2566474999999999</v>
      </c>
      <c r="J38" s="81">
        <f>SUMIFS('LCIA raw results SC2'!$E:$E,'LCIA raw results SC2'!$D:$D,$A38,'LCIA raw results SC2'!$G:$G,J$2,'LCIA raw results SC2'!$H:$H,$B38)</f>
        <v>11.699662500000001</v>
      </c>
      <c r="K38" s="81">
        <f>SUMIFS('LCIA raw results SC2'!$E:$E,'LCIA raw results SC2'!$D:$D,$A38,'LCIA raw results SC2'!$G:$G,K$2,'LCIA raw results SC2'!$H:$H,$B38)</f>
        <v>0.44675999999999999</v>
      </c>
      <c r="L38" s="81">
        <f>SUMIFS('LCIA raw results SC2'!$E:$E,'LCIA raw results SC2'!$D:$D,$A38,'LCIA raw results SC2'!$G:$G,L$2,'LCIA raw results SC2'!$H:$H,$B38)</f>
        <v>0.63028499999999998</v>
      </c>
      <c r="M38" s="81">
        <f>SUMIFS('LCIA raw results SC2'!$E:$E,'LCIA raw results SC2'!$D:$D,$A38,'LCIA raw results SC2'!$G:$G,M$2,'LCIA raw results SC2'!$H:$H,$B38)</f>
        <v>47.721420000000002</v>
      </c>
      <c r="N38" s="81">
        <f>SUMIFS('LCIA raw results SC2'!$E:$E,'LCIA raw results SC2'!$D:$D,$A38,'LCIA raw results SC2'!$G:$G,N$2,'LCIA raw results SC2'!$H:$H,$B38)</f>
        <v>2.6175E-2</v>
      </c>
      <c r="O38" s="81">
        <f>SUMIFS('LCIA raw results SC2'!$E:$E,'LCIA raw results SC2'!$D:$D,$A38,'LCIA raw results SC2'!$G:$G,O$2,'LCIA raw results SC2'!$H:$H,$B38)</f>
        <v>2.8275000000000002E-3</v>
      </c>
      <c r="P38" s="81">
        <f>SUMIFS('LCIA raw results SC2'!$E:$E,'LCIA raw results SC2'!$D:$D,$A38,'LCIA raw results SC2'!$G:$G,P$2,'LCIA raw results SC2'!$H:$H,$B38)</f>
        <v>3.9749999999999996E-4</v>
      </c>
      <c r="Q38" s="81">
        <f>SUMIFS('LCIA raw results SC2'!$E:$E,'LCIA raw results SC2'!$D:$D,$A38,'LCIA raw results SC2'!$G:$G,Q$2,'LCIA raw results SC2'!$H:$H,$B38)</f>
        <v>7.4497499999999994E-2</v>
      </c>
      <c r="R38" s="81">
        <f>SUMIFS('LCIA raw results SC2'!$E:$E,'LCIA raw results SC2'!$D:$D,$A38,'LCIA raw results SC2'!$G:$G,R$2,'LCIA raw results SC2'!$H:$H,$B38)</f>
        <v>1.957335</v>
      </c>
      <c r="S38" s="81">
        <f>SUMIFS('LCIA raw results SC2'!$E:$E,'LCIA raw results SC2'!$D:$D,$A38,'LCIA raw results SC2'!$G:$G,S$2,'LCIA raw results SC2'!$H:$H,$B38)</f>
        <v>0.18760499999999997</v>
      </c>
      <c r="T38" s="82">
        <f>SUMIFS('LCIA raw results SC2'!$E:$E,'LCIA raw results SC2'!$D:$D,$A38,'LCIA raw results SC2'!$G:$G,T$2,'LCIA raw results SC2'!$H:$H,$B38)</f>
        <v>-26.893237499999998</v>
      </c>
    </row>
    <row r="39" spans="1:20" ht="12.5" x14ac:dyDescent="0.25">
      <c r="A39" s="79" t="s">
        <v>323</v>
      </c>
      <c r="B39" s="81" t="s">
        <v>587</v>
      </c>
      <c r="C39" s="81" t="s">
        <v>100</v>
      </c>
      <c r="D39" s="81">
        <f>SUMIFS('LCIA raw results SC2'!$E:$E,'LCIA raw results SC2'!$D:$D,$A39,'LCIA raw results SC2'!$G:$G,D$2,'LCIA raw results SC2'!$H:$H,$B39)</f>
        <v>9.1313849999999999</v>
      </c>
      <c r="E39" s="81">
        <f>SUMIFS('LCIA raw results SC2'!$E:$E,'LCIA raw results SC2'!$D:$D,$A39,'LCIA raw results SC2'!$G:$G,E$2,'LCIA raw results SC2'!$H:$H,$B39)</f>
        <v>1.0382625E-5</v>
      </c>
      <c r="F39" s="81">
        <f>SUMIFS('LCIA raw results SC2'!$E:$E,'LCIA raw results SC2'!$D:$D,$A39,'LCIA raw results SC2'!$G:$G,F$2,'LCIA raw results SC2'!$H:$H,$B39)</f>
        <v>2.5425E-2</v>
      </c>
      <c r="G39" s="81">
        <f>SUMIFS('LCIA raw results SC2'!$E:$E,'LCIA raw results SC2'!$D:$D,$A39,'LCIA raw results SC2'!$G:$G,G$2,'LCIA raw results SC2'!$H:$H,$B39)</f>
        <v>1.5404999999999999E-2</v>
      </c>
      <c r="H39" s="81">
        <f>SUMIFS('LCIA raw results SC2'!$E:$E,'LCIA raw results SC2'!$D:$D,$A39,'LCIA raw results SC2'!$G:$G,H$2,'LCIA raw results SC2'!$H:$H,$B39)</f>
        <v>0.41114249999999997</v>
      </c>
      <c r="I39" s="81">
        <f>SUMIFS('LCIA raw results SC2'!$E:$E,'LCIA raw results SC2'!$D:$D,$A39,'LCIA raw results SC2'!$G:$G,I$2,'LCIA raw results SC2'!$H:$H,$B39)</f>
        <v>0.38341500000000001</v>
      </c>
      <c r="J39" s="81">
        <f>SUMIFS('LCIA raw results SC2'!$E:$E,'LCIA raw results SC2'!$D:$D,$A39,'LCIA raw results SC2'!$G:$G,J$2,'LCIA raw results SC2'!$H:$H,$B39)</f>
        <v>11.552579999999999</v>
      </c>
      <c r="K39" s="81">
        <f>SUMIFS('LCIA raw results SC2'!$E:$E,'LCIA raw results SC2'!$D:$D,$A39,'LCIA raw results SC2'!$G:$G,K$2,'LCIA raw results SC2'!$H:$H,$B39)</f>
        <v>0.35976750000000002</v>
      </c>
      <c r="L39" s="81">
        <f>SUMIFS('LCIA raw results SC2'!$E:$E,'LCIA raw results SC2'!$D:$D,$A39,'LCIA raw results SC2'!$G:$G,L$2,'LCIA raw results SC2'!$H:$H,$B39)</f>
        <v>0.50750249999999997</v>
      </c>
      <c r="M39" s="81">
        <f>SUMIFS('LCIA raw results SC2'!$E:$E,'LCIA raw results SC2'!$D:$D,$A39,'LCIA raw results SC2'!$G:$G,M$2,'LCIA raw results SC2'!$H:$H,$B39)</f>
        <v>37.620330000000003</v>
      </c>
      <c r="N39" s="81">
        <f>SUMIFS('LCIA raw results SC2'!$E:$E,'LCIA raw results SC2'!$D:$D,$A39,'LCIA raw results SC2'!$G:$G,N$2,'LCIA raw results SC2'!$H:$H,$B39)</f>
        <v>3.1125E-2</v>
      </c>
      <c r="O39" s="81">
        <f>SUMIFS('LCIA raw results SC2'!$E:$E,'LCIA raw results SC2'!$D:$D,$A39,'LCIA raw results SC2'!$G:$G,O$2,'LCIA raw results SC2'!$H:$H,$B39)</f>
        <v>4.1625000000000004E-3</v>
      </c>
      <c r="P39" s="81">
        <f>SUMIFS('LCIA raw results SC2'!$E:$E,'LCIA raw results SC2'!$D:$D,$A39,'LCIA raw results SC2'!$G:$G,P$2,'LCIA raw results SC2'!$H:$H,$B39)</f>
        <v>2.6099999999999999E-3</v>
      </c>
      <c r="Q39" s="81">
        <f>SUMIFS('LCIA raw results SC2'!$E:$E,'LCIA raw results SC2'!$D:$D,$A39,'LCIA raw results SC2'!$G:$G,Q$2,'LCIA raw results SC2'!$H:$H,$B39)</f>
        <v>0.11238000000000001</v>
      </c>
      <c r="R39" s="81">
        <f>SUMIFS('LCIA raw results SC2'!$E:$E,'LCIA raw results SC2'!$D:$D,$A39,'LCIA raw results SC2'!$G:$G,R$2,'LCIA raw results SC2'!$H:$H,$B39)</f>
        <v>2.6006399999999998</v>
      </c>
      <c r="S39" s="81">
        <f>SUMIFS('LCIA raw results SC2'!$E:$E,'LCIA raw results SC2'!$D:$D,$A39,'LCIA raw results SC2'!$G:$G,S$2,'LCIA raw results SC2'!$H:$H,$B39)</f>
        <v>3.5797500000000003E-2</v>
      </c>
      <c r="T39" s="82">
        <f>SUMIFS('LCIA raw results SC2'!$E:$E,'LCIA raw results SC2'!$D:$D,$A39,'LCIA raw results SC2'!$G:$G,T$2,'LCIA raw results SC2'!$H:$H,$B39)</f>
        <v>7.0845000000000005E-2</v>
      </c>
    </row>
    <row r="40" spans="1:20" ht="12.5" x14ac:dyDescent="0.25">
      <c r="A40" s="79" t="s">
        <v>327</v>
      </c>
      <c r="B40" s="81" t="s">
        <v>587</v>
      </c>
      <c r="C40" s="81" t="s">
        <v>90</v>
      </c>
      <c r="D40" s="81">
        <f>SUMIFS('LCIA raw results SC2'!$E:$E,'LCIA raw results SC2'!$D:$D,$A40,'LCIA raw results SC2'!$G:$G,D$2,'LCIA raw results SC2'!$H:$H,$B40)</f>
        <v>21.3369675</v>
      </c>
      <c r="E40" s="81">
        <f>SUMIFS('LCIA raw results SC2'!$E:$E,'LCIA raw results SC2'!$D:$D,$A40,'LCIA raw results SC2'!$G:$G,E$2,'LCIA raw results SC2'!$H:$H,$B40)</f>
        <v>1.4862975000000001E-5</v>
      </c>
      <c r="F40" s="81">
        <f>SUMIFS('LCIA raw results SC2'!$E:$E,'LCIA raw results SC2'!$D:$D,$A40,'LCIA raw results SC2'!$G:$G,F$2,'LCIA raw results SC2'!$H:$H,$B40)</f>
        <v>5.151E-2</v>
      </c>
      <c r="G40" s="81">
        <f>SUMIFS('LCIA raw results SC2'!$E:$E,'LCIA raw results SC2'!$D:$D,$A40,'LCIA raw results SC2'!$G:$G,G$2,'LCIA raw results SC2'!$H:$H,$B40)</f>
        <v>4.8210000000000003E-2</v>
      </c>
      <c r="H40" s="81">
        <f>SUMIFS('LCIA raw results SC2'!$E:$E,'LCIA raw results SC2'!$D:$D,$A40,'LCIA raw results SC2'!$G:$G,H$2,'LCIA raw results SC2'!$H:$H,$B40)</f>
        <v>1.5169199999999998</v>
      </c>
      <c r="I40" s="81">
        <f>SUMIFS('LCIA raw results SC2'!$E:$E,'LCIA raw results SC2'!$D:$D,$A40,'LCIA raw results SC2'!$G:$G,I$2,'LCIA raw results SC2'!$H:$H,$B40)</f>
        <v>3.9405824999999997</v>
      </c>
      <c r="J40" s="81">
        <f>SUMIFS('LCIA raw results SC2'!$E:$E,'LCIA raw results SC2'!$D:$D,$A40,'LCIA raw results SC2'!$G:$G,J$2,'LCIA raw results SC2'!$H:$H,$B40)</f>
        <v>12.890880000000001</v>
      </c>
      <c r="K40" s="81">
        <f>SUMIFS('LCIA raw results SC2'!$E:$E,'LCIA raw results SC2'!$D:$D,$A40,'LCIA raw results SC2'!$G:$G,K$2,'LCIA raw results SC2'!$H:$H,$B40)</f>
        <v>0.57845250000000004</v>
      </c>
      <c r="L40" s="81">
        <f>SUMIFS('LCIA raw results SC2'!$E:$E,'LCIA raw results SC2'!$D:$D,$A40,'LCIA raw results SC2'!$G:$G,L$2,'LCIA raw results SC2'!$H:$H,$B40)</f>
        <v>0.80425500000000005</v>
      </c>
      <c r="M40" s="81">
        <f>SUMIFS('LCIA raw results SC2'!$E:$E,'LCIA raw results SC2'!$D:$D,$A40,'LCIA raw results SC2'!$G:$G,M$2,'LCIA raw results SC2'!$H:$H,$B40)</f>
        <v>37.158630000000002</v>
      </c>
      <c r="N40" s="81">
        <f>SUMIFS('LCIA raw results SC2'!$E:$E,'LCIA raw results SC2'!$D:$D,$A40,'LCIA raw results SC2'!$G:$G,N$2,'LCIA raw results SC2'!$H:$H,$B40)</f>
        <v>7.5487499999999999E-2</v>
      </c>
      <c r="O40" s="81">
        <f>SUMIFS('LCIA raw results SC2'!$E:$E,'LCIA raw results SC2'!$D:$D,$A40,'LCIA raw results SC2'!$G:$G,O$2,'LCIA raw results SC2'!$H:$H,$B40)</f>
        <v>9.6224999999999991E-3</v>
      </c>
      <c r="P40" s="81">
        <f>SUMIFS('LCIA raw results SC2'!$E:$E,'LCIA raw results SC2'!$D:$D,$A40,'LCIA raw results SC2'!$G:$G,P$2,'LCIA raw results SC2'!$H:$H,$B40)</f>
        <v>7.425E-4</v>
      </c>
      <c r="Q40" s="81">
        <f>SUMIFS('LCIA raw results SC2'!$E:$E,'LCIA raw results SC2'!$D:$D,$A40,'LCIA raw results SC2'!$G:$G,Q$2,'LCIA raw results SC2'!$H:$H,$B40)</f>
        <v>0.103995</v>
      </c>
      <c r="R40" s="81">
        <f>SUMIFS('LCIA raw results SC2'!$E:$E,'LCIA raw results SC2'!$D:$D,$A40,'LCIA raw results SC2'!$G:$G,R$2,'LCIA raw results SC2'!$H:$H,$B40)</f>
        <v>5.2524825000000002</v>
      </c>
      <c r="S40" s="81">
        <f>SUMIFS('LCIA raw results SC2'!$E:$E,'LCIA raw results SC2'!$D:$D,$A40,'LCIA raw results SC2'!$G:$G,S$2,'LCIA raw results SC2'!$H:$H,$B40)</f>
        <v>0.12676500000000002</v>
      </c>
      <c r="T40" s="82">
        <f>SUMIFS('LCIA raw results SC2'!$E:$E,'LCIA raw results SC2'!$D:$D,$A40,'LCIA raw results SC2'!$G:$G,T$2,'LCIA raw results SC2'!$H:$H,$B40)</f>
        <v>30.064079999999997</v>
      </c>
    </row>
    <row r="41" spans="1:20" ht="12.5" x14ac:dyDescent="0.25">
      <c r="A41" s="79" t="s">
        <v>319</v>
      </c>
      <c r="B41" s="81" t="s">
        <v>587</v>
      </c>
      <c r="C41" s="81" t="s">
        <v>90</v>
      </c>
      <c r="D41" s="81">
        <f>SUMIFS('LCIA raw results SC2'!$E:$E,'LCIA raw results SC2'!$D:$D,$A41,'LCIA raw results SC2'!$G:$G,D$2,'LCIA raw results SC2'!$H:$H,$B41)</f>
        <v>63.427507499999997</v>
      </c>
      <c r="E41" s="81">
        <f>SUMIFS('LCIA raw results SC2'!$E:$E,'LCIA raw results SC2'!$D:$D,$A41,'LCIA raw results SC2'!$G:$G,E$2,'LCIA raw results SC2'!$H:$H,$B41)</f>
        <v>1.3503675000000001E-5</v>
      </c>
      <c r="F41" s="81">
        <f>SUMIFS('LCIA raw results SC2'!$E:$E,'LCIA raw results SC2'!$D:$D,$A41,'LCIA raw results SC2'!$G:$G,F$2,'LCIA raw results SC2'!$H:$H,$B41)</f>
        <v>0.17552999999999999</v>
      </c>
      <c r="G41" s="81">
        <f>SUMIFS('LCIA raw results SC2'!$E:$E,'LCIA raw results SC2'!$D:$D,$A41,'LCIA raw results SC2'!$G:$G,G$2,'LCIA raw results SC2'!$H:$H,$B41)</f>
        <v>9.6824999999999994E-2</v>
      </c>
      <c r="H41" s="81">
        <f>SUMIFS('LCIA raw results SC2'!$E:$E,'LCIA raw results SC2'!$D:$D,$A41,'LCIA raw results SC2'!$G:$G,H$2,'LCIA raw results SC2'!$H:$H,$B41)</f>
        <v>0.98804999999999987</v>
      </c>
      <c r="I41" s="81">
        <f>SUMIFS('LCIA raw results SC2'!$E:$E,'LCIA raw results SC2'!$D:$D,$A41,'LCIA raw results SC2'!$G:$G,I$2,'LCIA raw results SC2'!$H:$H,$B41)</f>
        <v>1.776885</v>
      </c>
      <c r="J41" s="81">
        <f>SUMIFS('LCIA raw results SC2'!$E:$E,'LCIA raw results SC2'!$D:$D,$A41,'LCIA raw results SC2'!$G:$G,J$2,'LCIA raw results SC2'!$H:$H,$B41)</f>
        <v>14.683732499999998</v>
      </c>
      <c r="K41" s="81">
        <f>SUMIFS('LCIA raw results SC2'!$E:$E,'LCIA raw results SC2'!$D:$D,$A41,'LCIA raw results SC2'!$G:$G,K$2,'LCIA raw results SC2'!$H:$H,$B41)</f>
        <v>0.79581000000000002</v>
      </c>
      <c r="L41" s="81">
        <f>SUMIFS('LCIA raw results SC2'!$E:$E,'LCIA raw results SC2'!$D:$D,$A41,'LCIA raw results SC2'!$G:$G,L$2,'LCIA raw results SC2'!$H:$H,$B41)</f>
        <v>1.075485</v>
      </c>
      <c r="M41" s="81">
        <f>SUMIFS('LCIA raw results SC2'!$E:$E,'LCIA raw results SC2'!$D:$D,$A41,'LCIA raw results SC2'!$G:$G,M$2,'LCIA raw results SC2'!$H:$H,$B41)</f>
        <v>36.046980000000005</v>
      </c>
      <c r="N41" s="81">
        <f>SUMIFS('LCIA raw results SC2'!$E:$E,'LCIA raw results SC2'!$D:$D,$A41,'LCIA raw results SC2'!$G:$G,N$2,'LCIA raw results SC2'!$H:$H,$B41)</f>
        <v>0.21619500000000003</v>
      </c>
      <c r="O41" s="81">
        <f>SUMIFS('LCIA raw results SC2'!$E:$E,'LCIA raw results SC2'!$D:$D,$A41,'LCIA raw results SC2'!$G:$G,O$2,'LCIA raw results SC2'!$H:$H,$B41)</f>
        <v>1.1707500000000001E-2</v>
      </c>
      <c r="P41" s="81">
        <f>SUMIFS('LCIA raw results SC2'!$E:$E,'LCIA raw results SC2'!$D:$D,$A41,'LCIA raw results SC2'!$G:$G,P$2,'LCIA raw results SC2'!$H:$H,$B41)</f>
        <v>7.3499999999999998E-4</v>
      </c>
      <c r="Q41" s="81">
        <f>SUMIFS('LCIA raw results SC2'!$E:$E,'LCIA raw results SC2'!$D:$D,$A41,'LCIA raw results SC2'!$G:$G,Q$2,'LCIA raw results SC2'!$H:$H,$B41)</f>
        <v>0.391455</v>
      </c>
      <c r="R41" s="81">
        <f>SUMIFS('LCIA raw results SC2'!$E:$E,'LCIA raw results SC2'!$D:$D,$A41,'LCIA raw results SC2'!$G:$G,R$2,'LCIA raw results SC2'!$H:$H,$B41)</f>
        <v>12.327142500000001</v>
      </c>
      <c r="S41" s="81">
        <f>SUMIFS('LCIA raw results SC2'!$E:$E,'LCIA raw results SC2'!$D:$D,$A41,'LCIA raw results SC2'!$G:$G,S$2,'LCIA raw results SC2'!$H:$H,$B41)</f>
        <v>2.0790000000000003E-2</v>
      </c>
      <c r="T41" s="82">
        <f>SUMIFS('LCIA raw results SC2'!$E:$E,'LCIA raw results SC2'!$D:$D,$A41,'LCIA raw results SC2'!$G:$G,T$2,'LCIA raw results SC2'!$H:$H,$B41)</f>
        <v>0.15483749999999999</v>
      </c>
    </row>
    <row r="42" spans="1:20" ht="12.5" x14ac:dyDescent="0.25">
      <c r="A42" s="79" t="s">
        <v>331</v>
      </c>
      <c r="B42" s="81" t="s">
        <v>587</v>
      </c>
      <c r="C42" s="81" t="s">
        <v>100</v>
      </c>
      <c r="D42" s="81">
        <f>SUMIFS('LCIA raw results SC2'!$E:$E,'LCIA raw results SC2'!$D:$D,$A42,'LCIA raw results SC2'!$G:$G,D$2,'LCIA raw results SC2'!$H:$H,$B42)</f>
        <v>2.0972925</v>
      </c>
      <c r="E42" s="81">
        <f>SUMIFS('LCIA raw results SC2'!$E:$E,'LCIA raw results SC2'!$D:$D,$A42,'LCIA raw results SC2'!$G:$G,E$2,'LCIA raw results SC2'!$H:$H,$B42)</f>
        <v>3.8002424999999998E-8</v>
      </c>
      <c r="F42" s="81">
        <f>SUMIFS('LCIA raw results SC2'!$E:$E,'LCIA raw results SC2'!$D:$D,$A42,'LCIA raw results SC2'!$G:$G,F$2,'LCIA raw results SC2'!$H:$H,$B42)</f>
        <v>4.3049999999999998E-3</v>
      </c>
      <c r="G42" s="81">
        <f>SUMIFS('LCIA raw results SC2'!$E:$E,'LCIA raw results SC2'!$D:$D,$A42,'LCIA raw results SC2'!$G:$G,G$2,'LCIA raw results SC2'!$H:$H,$B42)</f>
        <v>1.6949999999999999E-3</v>
      </c>
      <c r="H42" s="81">
        <f>SUMIFS('LCIA raw results SC2'!$E:$E,'LCIA raw results SC2'!$D:$D,$A42,'LCIA raw results SC2'!$G:$G,H$2,'LCIA raw results SC2'!$H:$H,$B42)</f>
        <v>2.2575E-3</v>
      </c>
      <c r="I42" s="81">
        <f>SUMIFS('LCIA raw results SC2'!$E:$E,'LCIA raw results SC2'!$D:$D,$A42,'LCIA raw results SC2'!$G:$G,I$2,'LCIA raw results SC2'!$H:$H,$B42)</f>
        <v>3.7139999999999999E-2</v>
      </c>
      <c r="J42" s="81">
        <f>SUMIFS('LCIA raw results SC2'!$E:$E,'LCIA raw results SC2'!$D:$D,$A42,'LCIA raw results SC2'!$G:$G,J$2,'LCIA raw results SC2'!$H:$H,$B42)</f>
        <v>0.13907250000000002</v>
      </c>
      <c r="K42" s="81">
        <f>SUMIFS('LCIA raw results SC2'!$E:$E,'LCIA raw results SC2'!$D:$D,$A42,'LCIA raw results SC2'!$G:$G,K$2,'LCIA raw results SC2'!$H:$H,$B42)</f>
        <v>5.1525E-3</v>
      </c>
      <c r="L42" s="81">
        <f>SUMIFS('LCIA raw results SC2'!$E:$E,'LCIA raw results SC2'!$D:$D,$A42,'LCIA raw results SC2'!$G:$G,L$2,'LCIA raw results SC2'!$H:$H,$B42)</f>
        <v>7.4625000000000004E-3</v>
      </c>
      <c r="M42" s="81">
        <f>SUMIFS('LCIA raw results SC2'!$E:$E,'LCIA raw results SC2'!$D:$D,$A42,'LCIA raw results SC2'!$G:$G,M$2,'LCIA raw results SC2'!$H:$H,$B42)</f>
        <v>0.90006750000000002</v>
      </c>
      <c r="N42" s="81">
        <f>SUMIFS('LCIA raw results SC2'!$E:$E,'LCIA raw results SC2'!$D:$D,$A42,'LCIA raw results SC2'!$G:$G,N$2,'LCIA raw results SC2'!$H:$H,$B42)</f>
        <v>5.1450000000000003E-3</v>
      </c>
      <c r="O42" s="81">
        <f>SUMIFS('LCIA raw results SC2'!$E:$E,'LCIA raw results SC2'!$D:$D,$A42,'LCIA raw results SC2'!$G:$G,O$2,'LCIA raw results SC2'!$H:$H,$B42)</f>
        <v>7.1822774999999998E-5</v>
      </c>
      <c r="P42" s="81">
        <f>SUMIFS('LCIA raw results SC2'!$E:$E,'LCIA raw results SC2'!$D:$D,$A42,'LCIA raw results SC2'!$G:$G,P$2,'LCIA raw results SC2'!$H:$H,$B42)</f>
        <v>1.0616175E-5</v>
      </c>
      <c r="Q42" s="81">
        <f>SUMIFS('LCIA raw results SC2'!$E:$E,'LCIA raw results SC2'!$D:$D,$A42,'LCIA raw results SC2'!$G:$G,Q$2,'LCIA raw results SC2'!$H:$H,$B42)</f>
        <v>2.7750000000000001E-3</v>
      </c>
      <c r="R42" s="81">
        <f>SUMIFS('LCIA raw results SC2'!$E:$E,'LCIA raw results SC2'!$D:$D,$A42,'LCIA raw results SC2'!$G:$G,R$2,'LCIA raw results SC2'!$H:$H,$B42)</f>
        <v>1.5037574999999999</v>
      </c>
      <c r="S42" s="81">
        <f>SUMIFS('LCIA raw results SC2'!$E:$E,'LCIA raw results SC2'!$D:$D,$A42,'LCIA raw results SC2'!$G:$G,S$2,'LCIA raw results SC2'!$H:$H,$B42)</f>
        <v>4.0499999999999998E-4</v>
      </c>
      <c r="T42" s="82">
        <f>SUMIFS('LCIA raw results SC2'!$E:$E,'LCIA raw results SC2'!$D:$D,$A42,'LCIA raw results SC2'!$G:$G,T$2,'LCIA raw results SC2'!$H:$H,$B42)</f>
        <v>1.51875E-2</v>
      </c>
    </row>
    <row r="43" spans="1:20" ht="12.5" x14ac:dyDescent="0.25">
      <c r="A43" s="79" t="s">
        <v>335</v>
      </c>
      <c r="B43" s="81" t="s">
        <v>587</v>
      </c>
      <c r="C43" s="81" t="s">
        <v>100</v>
      </c>
      <c r="D43" s="81">
        <f>SUMIFS('LCIA raw results SC2'!$E:$E,'LCIA raw results SC2'!$D:$D,$A43,'LCIA raw results SC2'!$G:$G,D$2,'LCIA raw results SC2'!$H:$H,$B43)</f>
        <v>0.80689500000000003</v>
      </c>
      <c r="E43" s="81">
        <f>SUMIFS('LCIA raw results SC2'!$E:$E,'LCIA raw results SC2'!$D:$D,$A43,'LCIA raw results SC2'!$G:$G,E$2,'LCIA raw results SC2'!$H:$H,$B43)</f>
        <v>2.8574775000000002E-7</v>
      </c>
      <c r="F43" s="81">
        <f>SUMIFS('LCIA raw results SC2'!$E:$E,'LCIA raw results SC2'!$D:$D,$A43,'LCIA raw results SC2'!$G:$G,F$2,'LCIA raw results SC2'!$H:$H,$B43)</f>
        <v>3.9225000000000006E-3</v>
      </c>
      <c r="G43" s="81">
        <f>SUMIFS('LCIA raw results SC2'!$E:$E,'LCIA raw results SC2'!$D:$D,$A43,'LCIA raw results SC2'!$G:$G,G$2,'LCIA raw results SC2'!$H:$H,$B43)</f>
        <v>1.74E-3</v>
      </c>
      <c r="H43" s="81">
        <f>SUMIFS('LCIA raw results SC2'!$E:$E,'LCIA raw results SC2'!$D:$D,$A43,'LCIA raw results SC2'!$G:$G,H$2,'LCIA raw results SC2'!$H:$H,$B43)</f>
        <v>9.3524999999999997E-2</v>
      </c>
      <c r="I43" s="81">
        <f>SUMIFS('LCIA raw results SC2'!$E:$E,'LCIA raw results SC2'!$D:$D,$A43,'LCIA raw results SC2'!$G:$G,I$2,'LCIA raw results SC2'!$H:$H,$B43)</f>
        <v>2.7952499999999998E-2</v>
      </c>
      <c r="J43" s="81">
        <f>SUMIFS('LCIA raw results SC2'!$E:$E,'LCIA raw results SC2'!$D:$D,$A43,'LCIA raw results SC2'!$G:$G,J$2,'LCIA raw results SC2'!$H:$H,$B43)</f>
        <v>0.40075500000000003</v>
      </c>
      <c r="K43" s="81">
        <f>SUMIFS('LCIA raw results SC2'!$E:$E,'LCIA raw results SC2'!$D:$D,$A43,'LCIA raw results SC2'!$G:$G,K$2,'LCIA raw results SC2'!$H:$H,$B43)</f>
        <v>1.6065000000000003E-2</v>
      </c>
      <c r="L43" s="81">
        <f>SUMIFS('LCIA raw results SC2'!$E:$E,'LCIA raw results SC2'!$D:$D,$A43,'LCIA raw results SC2'!$G:$G,L$2,'LCIA raw results SC2'!$H:$H,$B43)</f>
        <v>2.2095E-2</v>
      </c>
      <c r="M43" s="81">
        <f>SUMIFS('LCIA raw results SC2'!$E:$E,'LCIA raw results SC2'!$D:$D,$A43,'LCIA raw results SC2'!$G:$G,M$2,'LCIA raw results SC2'!$H:$H,$B43)</f>
        <v>0.76283250000000002</v>
      </c>
      <c r="N43" s="81">
        <f>SUMIFS('LCIA raw results SC2'!$E:$E,'LCIA raw results SC2'!$D:$D,$A43,'LCIA raw results SC2'!$G:$G,N$2,'LCIA raw results SC2'!$H:$H,$B43)</f>
        <v>3.5100000000000001E-3</v>
      </c>
      <c r="O43" s="81">
        <f>SUMIFS('LCIA raw results SC2'!$E:$E,'LCIA raw results SC2'!$D:$D,$A43,'LCIA raw results SC2'!$G:$G,O$2,'LCIA raw results SC2'!$H:$H,$B43)</f>
        <v>3.9749999999999996E-4</v>
      </c>
      <c r="P43" s="81">
        <f>SUMIFS('LCIA raw results SC2'!$E:$E,'LCIA raw results SC2'!$D:$D,$A43,'LCIA raw results SC2'!$G:$G,P$2,'LCIA raw results SC2'!$H:$H,$B43)</f>
        <v>2.75322E-5</v>
      </c>
      <c r="Q43" s="81">
        <f>SUMIFS('LCIA raw results SC2'!$E:$E,'LCIA raw results SC2'!$D:$D,$A43,'LCIA raw results SC2'!$G:$G,Q$2,'LCIA raw results SC2'!$H:$H,$B43)</f>
        <v>3.1725E-3</v>
      </c>
      <c r="R43" s="81">
        <f>SUMIFS('LCIA raw results SC2'!$E:$E,'LCIA raw results SC2'!$D:$D,$A43,'LCIA raw results SC2'!$G:$G,R$2,'LCIA raw results SC2'!$H:$H,$B43)</f>
        <v>0.18884250000000002</v>
      </c>
      <c r="S43" s="81">
        <f>SUMIFS('LCIA raw results SC2'!$E:$E,'LCIA raw results SC2'!$D:$D,$A43,'LCIA raw results SC2'!$G:$G,S$2,'LCIA raw results SC2'!$H:$H,$B43)</f>
        <v>4.4999999999999999E-4</v>
      </c>
      <c r="T43" s="82">
        <f>SUMIFS('LCIA raw results SC2'!$E:$E,'LCIA raw results SC2'!$D:$D,$A43,'LCIA raw results SC2'!$G:$G,T$2,'LCIA raw results SC2'!$H:$H,$B43)</f>
        <v>5.0474999999999999E-3</v>
      </c>
    </row>
    <row r="44" spans="1:20" ht="12.5" x14ac:dyDescent="0.25">
      <c r="A44" s="83" t="s">
        <v>325</v>
      </c>
      <c r="B44" s="84" t="s">
        <v>587</v>
      </c>
      <c r="C44" s="84" t="s">
        <v>819</v>
      </c>
      <c r="D44" s="84">
        <f>SUMIFS('LCIA raw results SC2'!$E:$E,'LCIA raw results SC2'!$D:$D,$A44,'LCIA raw results SC2'!$G:$G,D$2,'LCIA raw results SC2'!$H:$H,$B44)</f>
        <v>0.50468999999999997</v>
      </c>
      <c r="E44" s="84">
        <f>SUMIFS('LCIA raw results SC2'!$E:$E,'LCIA raw results SC2'!$D:$D,$A44,'LCIA raw results SC2'!$G:$G,E$2,'LCIA raw results SC2'!$H:$H,$B44)</f>
        <v>4.4281949999999998E-7</v>
      </c>
      <c r="F44" s="84">
        <f>SUMIFS('LCIA raw results SC2'!$E:$E,'LCIA raw results SC2'!$D:$D,$A44,'LCIA raw results SC2'!$G:$G,F$2,'LCIA raw results SC2'!$H:$H,$B44)</f>
        <v>3.3E-4</v>
      </c>
      <c r="G44" s="84">
        <f>SUMIFS('LCIA raw results SC2'!$E:$E,'LCIA raw results SC2'!$D:$D,$A44,'LCIA raw results SC2'!$G:$G,G$2,'LCIA raw results SC2'!$H:$H,$B44)</f>
        <v>9.0000000000000006E-5</v>
      </c>
      <c r="H44" s="84">
        <f>SUMIFS('LCIA raw results SC2'!$E:$E,'LCIA raw results SC2'!$D:$D,$A44,'LCIA raw results SC2'!$G:$G,H$2,'LCIA raw results SC2'!$H:$H,$B44)</f>
        <v>1.1850000000000001E-3</v>
      </c>
      <c r="I44" s="84">
        <f>SUMIFS('LCIA raw results SC2'!$E:$E,'LCIA raw results SC2'!$D:$D,$A44,'LCIA raw results SC2'!$G:$G,I$2,'LCIA raw results SC2'!$H:$H,$B44)</f>
        <v>1.0215E-2</v>
      </c>
      <c r="J44" s="84">
        <f>SUMIFS('LCIA raw results SC2'!$E:$E,'LCIA raw results SC2'!$D:$D,$A44,'LCIA raw results SC2'!$G:$G,J$2,'LCIA raw results SC2'!$H:$H,$B44)</f>
        <v>0.65573999999999999</v>
      </c>
      <c r="K44" s="84">
        <f>SUMIFS('LCIA raw results SC2'!$E:$E,'LCIA raw results SC2'!$D:$D,$A44,'LCIA raw results SC2'!$G:$G,K$2,'LCIA raw results SC2'!$H:$H,$B44)</f>
        <v>2.6047499999999998E-2</v>
      </c>
      <c r="L44" s="84">
        <f>SUMIFS('LCIA raw results SC2'!$E:$E,'LCIA raw results SC2'!$D:$D,$A44,'LCIA raw results SC2'!$G:$G,L$2,'LCIA raw results SC2'!$H:$H,$B44)</f>
        <v>3.4784999999999996E-2</v>
      </c>
      <c r="M44" s="84">
        <f>SUMIFS('LCIA raw results SC2'!$E:$E,'LCIA raw results SC2'!$D:$D,$A44,'LCIA raw results SC2'!$G:$G,M$2,'LCIA raw results SC2'!$H:$H,$B44)</f>
        <v>0.20138999999999999</v>
      </c>
      <c r="N44" s="84">
        <f>SUMIFS('LCIA raw results SC2'!$E:$E,'LCIA raw results SC2'!$D:$D,$A44,'LCIA raw results SC2'!$G:$G,N$2,'LCIA raw results SC2'!$H:$H,$B44)</f>
        <v>2.0249999999999999E-4</v>
      </c>
      <c r="O44" s="84">
        <f>SUMIFS('LCIA raw results SC2'!$E:$E,'LCIA raw results SC2'!$D:$D,$A44,'LCIA raw results SC2'!$G:$G,O$2,'LCIA raw results SC2'!$H:$H,$B44)</f>
        <v>1.2750375000000001E-5</v>
      </c>
      <c r="P44" s="84">
        <f>SUMIFS('LCIA raw results SC2'!$E:$E,'LCIA raw results SC2'!$D:$D,$A44,'LCIA raw results SC2'!$G:$G,P$2,'LCIA raw results SC2'!$H:$H,$B44)</f>
        <v>2.9250000000000001E-4</v>
      </c>
      <c r="Q44" s="84">
        <f>SUMIFS('LCIA raw results SC2'!$E:$E,'LCIA raw results SC2'!$D:$D,$A44,'LCIA raw results SC2'!$G:$G,Q$2,'LCIA raw results SC2'!$H:$H,$B44)</f>
        <v>-2.9250000000000001E-4</v>
      </c>
      <c r="R44" s="84">
        <f>SUMIFS('LCIA raw results SC2'!$E:$E,'LCIA raw results SC2'!$D:$D,$A44,'LCIA raw results SC2'!$G:$G,R$2,'LCIA raw results SC2'!$H:$H,$B44)</f>
        <v>1.03125E-2</v>
      </c>
      <c r="S44" s="84">
        <f>SUMIFS('LCIA raw results SC2'!$E:$E,'LCIA raw results SC2'!$D:$D,$A44,'LCIA raw results SC2'!$G:$G,S$2,'LCIA raw results SC2'!$H:$H,$B44)</f>
        <v>1.35E-4</v>
      </c>
      <c r="T44" s="86">
        <f>SUMIFS('LCIA raw results SC2'!$E:$E,'LCIA raw results SC2'!$D:$D,$A44,'LCIA raw results SC2'!$G:$G,T$2,'LCIA raw results SC2'!$H:$H,$B44)</f>
        <v>3.1500000000000001E-4</v>
      </c>
    </row>
    <row r="47" spans="1:20" ht="15.75" customHeight="1" x14ac:dyDescent="0.3">
      <c r="B47" s="265" t="s">
        <v>842</v>
      </c>
    </row>
    <row r="48" spans="1:20" ht="13" x14ac:dyDescent="0.3">
      <c r="B48" s="76" t="s">
        <v>815</v>
      </c>
      <c r="C48" s="77"/>
      <c r="D48" s="77" t="s">
        <v>295</v>
      </c>
      <c r="E48" s="77" t="s">
        <v>822</v>
      </c>
      <c r="F48" s="77" t="s">
        <v>494</v>
      </c>
      <c r="G48" s="77" t="s">
        <v>339</v>
      </c>
      <c r="H48" s="77" t="s">
        <v>430</v>
      </c>
      <c r="I48" s="77" t="s">
        <v>403</v>
      </c>
      <c r="J48" s="77" t="s">
        <v>417</v>
      </c>
      <c r="K48" s="77" t="s">
        <v>377</v>
      </c>
      <c r="L48" s="77" t="s">
        <v>455</v>
      </c>
      <c r="M48" s="77" t="s">
        <v>536</v>
      </c>
      <c r="N48" s="77" t="s">
        <v>524</v>
      </c>
      <c r="O48" s="77" t="s">
        <v>390</v>
      </c>
      <c r="P48" s="77" t="s">
        <v>468</v>
      </c>
      <c r="Q48" s="77" t="s">
        <v>442</v>
      </c>
      <c r="R48" s="77" t="s">
        <v>359</v>
      </c>
      <c r="S48" s="77" t="s">
        <v>482</v>
      </c>
      <c r="T48" s="78" t="s">
        <v>548</v>
      </c>
    </row>
    <row r="49" spans="1:20" ht="12.5" x14ac:dyDescent="0.25">
      <c r="B49" s="79" t="s">
        <v>840</v>
      </c>
      <c r="C49" s="80"/>
      <c r="D49" s="81">
        <f t="shared" ref="D49:T51" si="1">SUMIF($B$4:$B$6,$B49,D$4:D$6)</f>
        <v>8630.6396999999997</v>
      </c>
      <c r="E49" s="81">
        <f t="shared" si="1"/>
        <v>5.2900000000000004E-3</v>
      </c>
      <c r="F49" s="81">
        <f t="shared" si="1"/>
        <v>27.740449999999999</v>
      </c>
      <c r="G49" s="81">
        <f t="shared" si="1"/>
        <v>24.638770000000001</v>
      </c>
      <c r="H49" s="81">
        <f t="shared" si="1"/>
        <v>856.53961000000004</v>
      </c>
      <c r="I49" s="81">
        <f t="shared" si="1"/>
        <v>1292.3961400000001</v>
      </c>
      <c r="J49" s="81">
        <f t="shared" si="1"/>
        <v>151401</v>
      </c>
      <c r="K49" s="81">
        <f t="shared" si="1"/>
        <v>4332.6068999999998</v>
      </c>
      <c r="L49" s="81">
        <f t="shared" si="1"/>
        <v>6158.6920899999996</v>
      </c>
      <c r="M49" s="81">
        <f t="shared" si="1"/>
        <v>173055</v>
      </c>
      <c r="N49" s="81">
        <f t="shared" si="1"/>
        <v>53.815280000000001</v>
      </c>
      <c r="O49" s="81">
        <f t="shared" si="1"/>
        <v>26.352250000000002</v>
      </c>
      <c r="P49" s="81">
        <f t="shared" si="1"/>
        <v>0.86528000000000005</v>
      </c>
      <c r="Q49" s="81">
        <f t="shared" si="1"/>
        <v>134.51428000000001</v>
      </c>
      <c r="R49" s="81">
        <f t="shared" si="1"/>
        <v>2244.8558800000001</v>
      </c>
      <c r="S49" s="81">
        <f t="shared" si="1"/>
        <v>270.13308000000001</v>
      </c>
      <c r="T49" s="82">
        <f t="shared" si="1"/>
        <v>80.714320000000001</v>
      </c>
    </row>
    <row r="50" spans="1:20" ht="12.5" x14ac:dyDescent="0.25">
      <c r="B50" s="79" t="s">
        <v>841</v>
      </c>
      <c r="C50" s="80"/>
      <c r="D50" s="81">
        <f t="shared" si="1"/>
        <v>4817.7229575000001</v>
      </c>
      <c r="E50" s="81">
        <f t="shared" si="1"/>
        <v>2.8425E-3</v>
      </c>
      <c r="F50" s="81">
        <f t="shared" si="1"/>
        <v>15.651165000000001</v>
      </c>
      <c r="G50" s="81">
        <f t="shared" si="1"/>
        <v>12.244485000000001</v>
      </c>
      <c r="H50" s="81">
        <f t="shared" si="1"/>
        <v>449.77721999999994</v>
      </c>
      <c r="I50" s="81">
        <f t="shared" si="1"/>
        <v>802.00589250000007</v>
      </c>
      <c r="J50" s="81">
        <f t="shared" si="1"/>
        <v>80609.25</v>
      </c>
      <c r="K50" s="81">
        <f t="shared" si="1"/>
        <v>2449.7558250000002</v>
      </c>
      <c r="L50" s="81">
        <f t="shared" si="1"/>
        <v>3465.0097425000004</v>
      </c>
      <c r="M50" s="81">
        <f t="shared" si="1"/>
        <v>42349.05</v>
      </c>
      <c r="N50" s="81">
        <f t="shared" si="1"/>
        <v>25.290179999999999</v>
      </c>
      <c r="O50" s="81">
        <f t="shared" si="1"/>
        <v>14.3775975</v>
      </c>
      <c r="P50" s="81">
        <f t="shared" si="1"/>
        <v>0.41239500000000001</v>
      </c>
      <c r="Q50" s="81">
        <f t="shared" si="1"/>
        <v>85.364302499999994</v>
      </c>
      <c r="R50" s="81">
        <f t="shared" si="1"/>
        <v>1225.3806749999999</v>
      </c>
      <c r="S50" s="81">
        <f t="shared" si="1"/>
        <v>155.58134999999999</v>
      </c>
      <c r="T50" s="82">
        <f t="shared" si="1"/>
        <v>44.686927499999996</v>
      </c>
    </row>
    <row r="51" spans="1:20" ht="12.5" x14ac:dyDescent="0.25">
      <c r="B51" s="83" t="s">
        <v>820</v>
      </c>
      <c r="C51" s="85"/>
      <c r="D51" s="84">
        <f t="shared" si="1"/>
        <v>2978.857409786372</v>
      </c>
      <c r="E51" s="84">
        <f t="shared" si="1"/>
        <v>5.7828322280450368E-3</v>
      </c>
      <c r="F51" s="84">
        <f t="shared" si="1"/>
        <v>7.4180599387553743</v>
      </c>
      <c r="G51" s="84">
        <f t="shared" si="1"/>
        <v>6.3479359727484139</v>
      </c>
      <c r="H51" s="84">
        <f t="shared" si="1"/>
        <v>32541.828004998981</v>
      </c>
      <c r="I51" s="84">
        <f t="shared" si="1"/>
        <v>361.04170590010324</v>
      </c>
      <c r="J51" s="84">
        <f t="shared" si="1"/>
        <v>8245.6252931929812</v>
      </c>
      <c r="K51" s="84">
        <f t="shared" si="1"/>
        <v>1348.9458805366824</v>
      </c>
      <c r="L51" s="84">
        <f t="shared" si="1"/>
        <v>1669.2446057667369</v>
      </c>
      <c r="M51" s="84">
        <f t="shared" si="1"/>
        <v>35377.277889408397</v>
      </c>
      <c r="N51" s="84">
        <f t="shared" si="1"/>
        <v>14.593582307588536</v>
      </c>
      <c r="O51" s="84">
        <f t="shared" si="1"/>
        <v>2.1043612683303996</v>
      </c>
      <c r="P51" s="84">
        <f t="shared" si="1"/>
        <v>0.7036641290726714</v>
      </c>
      <c r="Q51" s="84">
        <f t="shared" si="1"/>
        <v>20.743795073942277</v>
      </c>
      <c r="R51" s="84">
        <f t="shared" si="1"/>
        <v>769.18245958098441</v>
      </c>
      <c r="S51" s="84">
        <f t="shared" si="1"/>
        <v>55.391701610509315</v>
      </c>
      <c r="T51" s="86">
        <f t="shared" si="1"/>
        <v>182.08834186750752</v>
      </c>
    </row>
    <row r="52" spans="1:20" s="1" customFormat="1" ht="12.5" x14ac:dyDescent="0.25">
      <c r="B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</row>
    <row r="53" spans="1:20" ht="15.75" customHeight="1" x14ac:dyDescent="0.3">
      <c r="B53" s="265" t="s">
        <v>843</v>
      </c>
    </row>
    <row r="54" spans="1:20" ht="13" x14ac:dyDescent="0.3">
      <c r="A54" s="107" t="s">
        <v>816</v>
      </c>
      <c r="B54" s="76"/>
      <c r="C54" s="90"/>
      <c r="D54" s="77" t="s">
        <v>295</v>
      </c>
      <c r="E54" s="77" t="s">
        <v>822</v>
      </c>
      <c r="F54" s="77" t="s">
        <v>494</v>
      </c>
      <c r="G54" s="77" t="s">
        <v>339</v>
      </c>
      <c r="H54" s="77" t="s">
        <v>430</v>
      </c>
      <c r="I54" s="77" t="s">
        <v>403</v>
      </c>
      <c r="J54" s="77" t="s">
        <v>417</v>
      </c>
      <c r="K54" s="77" t="s">
        <v>377</v>
      </c>
      <c r="L54" s="77" t="s">
        <v>455</v>
      </c>
      <c r="M54" s="77" t="s">
        <v>536</v>
      </c>
      <c r="N54" s="77" t="s">
        <v>524</v>
      </c>
      <c r="O54" s="77" t="s">
        <v>390</v>
      </c>
      <c r="P54" s="77" t="s">
        <v>468</v>
      </c>
      <c r="Q54" s="77" t="s">
        <v>442</v>
      </c>
      <c r="R54" s="77" t="s">
        <v>359</v>
      </c>
      <c r="S54" s="77" t="s">
        <v>482</v>
      </c>
      <c r="T54" s="78" t="s">
        <v>548</v>
      </c>
    </row>
    <row r="55" spans="1:20" ht="12.5" x14ac:dyDescent="0.25">
      <c r="A55" s="108" t="str">
        <f t="shared" ref="A55:A62" si="2">CONCATENATE(B55," ",C55)</f>
        <v>Raspberry Components</v>
      </c>
      <c r="B55" s="79" t="s">
        <v>567</v>
      </c>
      <c r="C55" s="81" t="s">
        <v>0</v>
      </c>
      <c r="D55" s="81">
        <f t="shared" ref="D55:T58" si="3">SUMIFS(D$3:D$44,$C$3:$C$44,$C55,$B$3:$B$44,$B55)</f>
        <v>6942.5557400000007</v>
      </c>
      <c r="E55" s="81">
        <f t="shared" si="3"/>
        <v>4.0973278000000007E-3</v>
      </c>
      <c r="F55" s="81">
        <f t="shared" si="3"/>
        <v>21.823420000000002</v>
      </c>
      <c r="G55" s="81">
        <f t="shared" si="3"/>
        <v>17.68608</v>
      </c>
      <c r="H55" s="81">
        <f t="shared" si="3"/>
        <v>723.06203000000005</v>
      </c>
      <c r="I55" s="81">
        <f t="shared" si="3"/>
        <v>963.77741000000003</v>
      </c>
      <c r="J55" s="81">
        <f t="shared" si="3"/>
        <v>125576.26373999999</v>
      </c>
      <c r="K55" s="81">
        <f t="shared" si="3"/>
        <v>3655.8667399999999</v>
      </c>
      <c r="L55" s="81">
        <f t="shared" si="3"/>
        <v>5162.9351199999992</v>
      </c>
      <c r="M55" s="81">
        <f t="shared" si="3"/>
        <v>60079.901969999999</v>
      </c>
      <c r="N55" s="81">
        <f t="shared" si="3"/>
        <v>34.947019999999995</v>
      </c>
      <c r="O55" s="81">
        <f t="shared" si="3"/>
        <v>22.561770000000003</v>
      </c>
      <c r="P55" s="81">
        <f t="shared" si="3"/>
        <v>0.62742999999999993</v>
      </c>
      <c r="Q55" s="81">
        <f t="shared" si="3"/>
        <v>117.39710000000001</v>
      </c>
      <c r="R55" s="81">
        <f t="shared" si="3"/>
        <v>1781.6447399999997</v>
      </c>
      <c r="S55" s="81">
        <f t="shared" si="3"/>
        <v>191.05961000000002</v>
      </c>
      <c r="T55" s="82">
        <f t="shared" si="3"/>
        <v>58.611019999999996</v>
      </c>
    </row>
    <row r="56" spans="1:20" ht="12.5" x14ac:dyDescent="0.25">
      <c r="A56" s="108" t="str">
        <f t="shared" si="2"/>
        <v>Raspberry Chassis</v>
      </c>
      <c r="B56" s="79" t="s">
        <v>567</v>
      </c>
      <c r="C56" s="81" t="s">
        <v>61</v>
      </c>
      <c r="D56" s="81">
        <f t="shared" si="3"/>
        <v>1620.86436</v>
      </c>
      <c r="E56" s="81">
        <f t="shared" si="3"/>
        <v>1.1299999999999999E-3</v>
      </c>
      <c r="F56" s="81">
        <f t="shared" si="3"/>
        <v>5.6944100000000004</v>
      </c>
      <c r="G56" s="81">
        <f t="shared" si="3"/>
        <v>6.8452400000000004</v>
      </c>
      <c r="H56" s="81">
        <f t="shared" si="3"/>
        <v>131.75404</v>
      </c>
      <c r="I56" s="81">
        <f t="shared" si="3"/>
        <v>325.76301000000001</v>
      </c>
      <c r="J56" s="81">
        <f t="shared" si="3"/>
        <v>25764.6</v>
      </c>
      <c r="K56" s="81">
        <f t="shared" si="3"/>
        <v>657.85725000000002</v>
      </c>
      <c r="L56" s="81">
        <f t="shared" si="3"/>
        <v>972.81659000000002</v>
      </c>
      <c r="M56" s="81">
        <f t="shared" si="3"/>
        <v>112628</v>
      </c>
      <c r="N56" s="81">
        <f t="shared" si="3"/>
        <v>18.607890000000001</v>
      </c>
      <c r="O56" s="81">
        <f t="shared" si="3"/>
        <v>3.7771599999999999</v>
      </c>
      <c r="P56" s="81">
        <f t="shared" si="3"/>
        <v>0.23102</v>
      </c>
      <c r="Q56" s="81">
        <f t="shared" si="3"/>
        <v>16.40175</v>
      </c>
      <c r="R56" s="81">
        <f t="shared" si="3"/>
        <v>449.02064000000001</v>
      </c>
      <c r="S56" s="81">
        <f t="shared" si="3"/>
        <v>78.886679999999998</v>
      </c>
      <c r="T56" s="82">
        <f t="shared" si="3"/>
        <v>21.26942</v>
      </c>
    </row>
    <row r="57" spans="1:20" ht="12.5" x14ac:dyDescent="0.25">
      <c r="A57" s="108" t="str">
        <f t="shared" si="2"/>
        <v>Server Components</v>
      </c>
      <c r="B57" s="79" t="s">
        <v>587</v>
      </c>
      <c r="C57" s="81" t="s">
        <v>0</v>
      </c>
      <c r="D57" s="81">
        <f t="shared" si="3"/>
        <v>4154.1209325</v>
      </c>
      <c r="E57" s="81">
        <f t="shared" si="3"/>
        <v>2.5574999999999999E-3</v>
      </c>
      <c r="F57" s="81">
        <f t="shared" si="3"/>
        <v>13.754947500000002</v>
      </c>
      <c r="G57" s="81">
        <f t="shared" si="3"/>
        <v>10.913609999999998</v>
      </c>
      <c r="H57" s="81">
        <f t="shared" si="3"/>
        <v>420.84395249999994</v>
      </c>
      <c r="I57" s="81">
        <f t="shared" si="3"/>
        <v>638.00135250000005</v>
      </c>
      <c r="J57" s="81">
        <f t="shared" si="3"/>
        <v>78720.490500000014</v>
      </c>
      <c r="K57" s="81">
        <f t="shared" si="3"/>
        <v>2292.2138849999997</v>
      </c>
      <c r="L57" s="81">
        <f t="shared" si="3"/>
        <v>3263.0543250000001</v>
      </c>
      <c r="M57" s="81">
        <f t="shared" si="3"/>
        <v>35533.650787499995</v>
      </c>
      <c r="N57" s="81">
        <f t="shared" si="3"/>
        <v>22.406534999999998</v>
      </c>
      <c r="O57" s="81">
        <f t="shared" si="3"/>
        <v>13.988204999999999</v>
      </c>
      <c r="P57" s="81">
        <f t="shared" si="3"/>
        <v>0.38668499999999995</v>
      </c>
      <c r="Q57" s="81">
        <f t="shared" si="3"/>
        <v>79.852500000000006</v>
      </c>
      <c r="R57" s="81">
        <f t="shared" si="3"/>
        <v>1072.1182124999998</v>
      </c>
      <c r="S57" s="81">
        <f t="shared" si="3"/>
        <v>143.45185499999997</v>
      </c>
      <c r="T57" s="82">
        <f t="shared" si="3"/>
        <v>36.480682500000007</v>
      </c>
    </row>
    <row r="58" spans="1:20" ht="12.5" x14ac:dyDescent="0.25">
      <c r="A58" s="108" t="str">
        <f t="shared" si="2"/>
        <v>Server Chassis</v>
      </c>
      <c r="B58" s="79" t="s">
        <v>587</v>
      </c>
      <c r="C58" s="81" t="s">
        <v>61</v>
      </c>
      <c r="D58" s="81">
        <f t="shared" si="3"/>
        <v>354.51203249999998</v>
      </c>
      <c r="E58" s="81">
        <f t="shared" si="3"/>
        <v>1.35E-4</v>
      </c>
      <c r="F58" s="81">
        <f t="shared" si="3"/>
        <v>0.91174500000000003</v>
      </c>
      <c r="G58" s="81">
        <f t="shared" si="3"/>
        <v>0.85319999999999996</v>
      </c>
      <c r="H58" s="81">
        <f t="shared" si="3"/>
        <v>21.5791875</v>
      </c>
      <c r="I58" s="81">
        <f t="shared" si="3"/>
        <v>150.77924999999999</v>
      </c>
      <c r="J58" s="81">
        <f t="shared" si="3"/>
        <v>1624.8491325</v>
      </c>
      <c r="K58" s="81">
        <f t="shared" si="3"/>
        <v>50.321504999999995</v>
      </c>
      <c r="L58" s="81">
        <f t="shared" si="3"/>
        <v>71.9266425</v>
      </c>
      <c r="M58" s="81">
        <f t="shared" si="3"/>
        <v>5189.9506275000003</v>
      </c>
      <c r="N58" s="81">
        <f t="shared" si="3"/>
        <v>1.7225099999999998</v>
      </c>
      <c r="O58" s="81">
        <f t="shared" si="3"/>
        <v>0.33417000000000002</v>
      </c>
      <c r="P58" s="81">
        <f t="shared" si="3"/>
        <v>1.7902499999999998E-2</v>
      </c>
      <c r="Q58" s="81">
        <f t="shared" si="3"/>
        <v>2.4255</v>
      </c>
      <c r="R58" s="81">
        <f t="shared" si="3"/>
        <v>91.005757500000001</v>
      </c>
      <c r="S58" s="81">
        <f t="shared" si="3"/>
        <v>11.2892475</v>
      </c>
      <c r="T58" s="82">
        <f t="shared" si="3"/>
        <v>4.1097299999999999</v>
      </c>
    </row>
    <row r="59" spans="1:20" ht="12.5" x14ac:dyDescent="0.25">
      <c r="A59" s="108" t="str">
        <f t="shared" si="2"/>
        <v xml:space="preserve"> Assembly</v>
      </c>
      <c r="B59" s="93"/>
      <c r="C59" s="81" t="s">
        <v>90</v>
      </c>
      <c r="D59" s="81">
        <f t="shared" ref="D59:T62" si="4">SUMIF($C$3:$C$44,$C59,D$3:D$44)</f>
        <v>110.3269975</v>
      </c>
      <c r="E59" s="81">
        <f t="shared" si="4"/>
        <v>3.6562011999999999E-5</v>
      </c>
      <c r="F59" s="81">
        <f t="shared" si="4"/>
        <v>0.29427249999999999</v>
      </c>
      <c r="G59" s="81">
        <f t="shared" si="4"/>
        <v>0.18982250000000001</v>
      </c>
      <c r="H59" s="81">
        <f t="shared" si="4"/>
        <v>3.3166124999999997</v>
      </c>
      <c r="I59" s="81">
        <f t="shared" si="4"/>
        <v>8.266235</v>
      </c>
      <c r="J59" s="81">
        <f t="shared" si="4"/>
        <v>46.427295000000001</v>
      </c>
      <c r="K59" s="81">
        <f t="shared" si="4"/>
        <v>2.1496525000000002</v>
      </c>
      <c r="L59" s="81">
        <f t="shared" si="4"/>
        <v>2.9635549999999999</v>
      </c>
      <c r="M59" s="81">
        <f t="shared" si="4"/>
        <v>143.19337999999999</v>
      </c>
      <c r="N59" s="81">
        <f t="shared" si="4"/>
        <v>0.37317750000000005</v>
      </c>
      <c r="O59" s="81">
        <f t="shared" si="4"/>
        <v>2.8487499999999999E-2</v>
      </c>
      <c r="P59" s="81">
        <f t="shared" si="4"/>
        <v>2.2115523E-3</v>
      </c>
      <c r="Q59" s="81">
        <f t="shared" si="4"/>
        <v>0.66904750000000002</v>
      </c>
      <c r="R59" s="81">
        <f t="shared" si="4"/>
        <v>22.962620000000001</v>
      </c>
      <c r="S59" s="81">
        <f t="shared" si="4"/>
        <v>0.39895999999999998</v>
      </c>
      <c r="T59" s="82">
        <f t="shared" si="4"/>
        <v>3.9601200000000008</v>
      </c>
    </row>
    <row r="60" spans="1:20" ht="12.5" x14ac:dyDescent="0.25">
      <c r="A60" s="108" t="str">
        <f t="shared" si="2"/>
        <v xml:space="preserve"> Packaging</v>
      </c>
      <c r="B60" s="93"/>
      <c r="C60" s="81" t="s">
        <v>100</v>
      </c>
      <c r="D60" s="81">
        <f t="shared" si="4"/>
        <v>41.986287499999996</v>
      </c>
      <c r="E60" s="81">
        <f t="shared" si="4"/>
        <v>2.1827635174999999E-5</v>
      </c>
      <c r="F60" s="81">
        <f t="shared" si="4"/>
        <v>6.1217500000000001E-2</v>
      </c>
      <c r="G60" s="81">
        <f t="shared" si="4"/>
        <v>3.372E-2</v>
      </c>
      <c r="H60" s="81">
        <f t="shared" si="4"/>
        <v>0.88808749999999992</v>
      </c>
      <c r="I60" s="81">
        <f t="shared" si="4"/>
        <v>0.89515250000000002</v>
      </c>
      <c r="J60" s="81">
        <f t="shared" si="4"/>
        <v>45.336112499999992</v>
      </c>
      <c r="K60" s="81">
        <f t="shared" si="4"/>
        <v>2.9445450000000002</v>
      </c>
      <c r="L60" s="81">
        <f t="shared" si="4"/>
        <v>4.1962324999999998</v>
      </c>
      <c r="M60" s="81">
        <f t="shared" si="4"/>
        <v>137.59232250000002</v>
      </c>
      <c r="N60" s="81">
        <f t="shared" si="4"/>
        <v>7.0252499999999996E-2</v>
      </c>
      <c r="O60" s="81">
        <f t="shared" si="4"/>
        <v>8.457619500000001E-3</v>
      </c>
      <c r="P60" s="81">
        <f t="shared" si="4"/>
        <v>5.6031483750000012E-3</v>
      </c>
      <c r="Q60" s="81">
        <f t="shared" si="4"/>
        <v>0.24138999999999999</v>
      </c>
      <c r="R60" s="81">
        <f t="shared" si="4"/>
        <v>6.7818549999999993</v>
      </c>
      <c r="S60" s="81">
        <f t="shared" si="4"/>
        <v>7.0887500000000006E-2</v>
      </c>
      <c r="T60" s="82">
        <f t="shared" si="4"/>
        <v>0.158585</v>
      </c>
    </row>
    <row r="61" spans="1:20" ht="12.5" x14ac:dyDescent="0.25">
      <c r="A61" s="108" t="str">
        <f t="shared" si="2"/>
        <v xml:space="preserve"> Transport</v>
      </c>
      <c r="B61" s="93"/>
      <c r="C61" s="81" t="s">
        <v>108</v>
      </c>
      <c r="D61" s="81">
        <f t="shared" si="4"/>
        <v>111.5829725</v>
      </c>
      <c r="E61" s="81">
        <f t="shared" si="4"/>
        <v>7.1330919999999993E-5</v>
      </c>
      <c r="F61" s="81">
        <f t="shared" si="4"/>
        <v>0.71974749999999998</v>
      </c>
      <c r="G61" s="81">
        <f t="shared" si="4"/>
        <v>0.28809249999999997</v>
      </c>
      <c r="H61" s="81">
        <f t="shared" si="4"/>
        <v>2.8249124999999999</v>
      </c>
      <c r="I61" s="81">
        <f t="shared" si="4"/>
        <v>2.2798775</v>
      </c>
      <c r="J61" s="81">
        <f t="shared" si="4"/>
        <v>48.861844999999995</v>
      </c>
      <c r="K61" s="81">
        <f t="shared" si="4"/>
        <v>1.3160324999999999</v>
      </c>
      <c r="L61" s="81">
        <f t="shared" si="4"/>
        <v>2.3196975000000002</v>
      </c>
      <c r="M61" s="81">
        <f t="shared" si="4"/>
        <v>1031.2994475</v>
      </c>
      <c r="N61" s="81">
        <f t="shared" si="4"/>
        <v>0.81228750000000005</v>
      </c>
      <c r="O61" s="81">
        <f t="shared" si="4"/>
        <v>1.0805E-2</v>
      </c>
      <c r="P61" s="81">
        <f t="shared" si="4"/>
        <v>8.5569119999999996E-4</v>
      </c>
      <c r="Q61" s="81">
        <f t="shared" si="4"/>
        <v>2.4293424999999997</v>
      </c>
      <c r="R61" s="81">
        <f t="shared" si="4"/>
        <v>37.534277500000002</v>
      </c>
      <c r="S61" s="81">
        <f t="shared" si="4"/>
        <v>0.17916500000000002</v>
      </c>
      <c r="T61" s="82">
        <f t="shared" si="4"/>
        <v>0.31567000000000001</v>
      </c>
    </row>
    <row r="62" spans="1:20" ht="12.5" x14ac:dyDescent="0.25">
      <c r="A62" s="108" t="str">
        <f t="shared" si="2"/>
        <v xml:space="preserve"> Use - electricity</v>
      </c>
      <c r="B62" s="105"/>
      <c r="C62" s="84" t="s">
        <v>820</v>
      </c>
      <c r="D62" s="84">
        <f t="shared" si="4"/>
        <v>2978.857409786372</v>
      </c>
      <c r="E62" s="84">
        <f t="shared" si="4"/>
        <v>5.7828322280450368E-3</v>
      </c>
      <c r="F62" s="84">
        <f t="shared" si="4"/>
        <v>7.4180599387553743</v>
      </c>
      <c r="G62" s="84">
        <f t="shared" si="4"/>
        <v>6.3479359727484139</v>
      </c>
      <c r="H62" s="84">
        <f t="shared" si="4"/>
        <v>32541.828004998981</v>
      </c>
      <c r="I62" s="84">
        <f t="shared" si="4"/>
        <v>361.04170590010324</v>
      </c>
      <c r="J62" s="84">
        <f t="shared" si="4"/>
        <v>8245.6252931929812</v>
      </c>
      <c r="K62" s="84">
        <f t="shared" si="4"/>
        <v>1348.9458805366824</v>
      </c>
      <c r="L62" s="84">
        <f t="shared" si="4"/>
        <v>1669.2446057667369</v>
      </c>
      <c r="M62" s="84">
        <f t="shared" si="4"/>
        <v>35377.277889408397</v>
      </c>
      <c r="N62" s="84">
        <f t="shared" si="4"/>
        <v>14.593582307588536</v>
      </c>
      <c r="O62" s="84">
        <f t="shared" si="4"/>
        <v>2.1043612683303996</v>
      </c>
      <c r="P62" s="84">
        <f t="shared" si="4"/>
        <v>0.7036641290726714</v>
      </c>
      <c r="Q62" s="84">
        <f t="shared" si="4"/>
        <v>20.743795073942277</v>
      </c>
      <c r="R62" s="84">
        <f t="shared" si="4"/>
        <v>769.18245958098441</v>
      </c>
      <c r="S62" s="84">
        <f t="shared" si="4"/>
        <v>55.391701610509315</v>
      </c>
      <c r="T62" s="86">
        <f t="shared" si="4"/>
        <v>182.08834186750752</v>
      </c>
    </row>
    <row r="63" spans="1:20" ht="15.75" customHeight="1" x14ac:dyDescent="0.25">
      <c r="D63" s="74"/>
    </row>
    <row r="64" spans="1:20" ht="15.75" customHeight="1" x14ac:dyDescent="0.25">
      <c r="B64" s="109" t="s">
        <v>567</v>
      </c>
      <c r="C64" s="90" t="s">
        <v>0</v>
      </c>
      <c r="D64" s="110">
        <f t="shared" ref="D64:S76" si="5">SUMIFS(D$3:D$44,$C$3:$C$44,$C64,$B$3:$B$44,$B64)</f>
        <v>6942.5557400000007</v>
      </c>
      <c r="E64" s="110">
        <f t="shared" si="5"/>
        <v>4.0973278000000007E-3</v>
      </c>
      <c r="F64" s="110">
        <f t="shared" si="5"/>
        <v>21.823420000000002</v>
      </c>
      <c r="G64" s="110">
        <f t="shared" si="5"/>
        <v>17.68608</v>
      </c>
      <c r="H64" s="110">
        <f t="shared" si="5"/>
        <v>723.06203000000005</v>
      </c>
      <c r="I64" s="110">
        <f t="shared" si="5"/>
        <v>963.77741000000003</v>
      </c>
      <c r="J64" s="110">
        <f t="shared" si="5"/>
        <v>125576.26373999999</v>
      </c>
      <c r="K64" s="110">
        <f t="shared" si="5"/>
        <v>3655.8667399999999</v>
      </c>
      <c r="L64" s="110">
        <f t="shared" si="5"/>
        <v>5162.9351199999992</v>
      </c>
      <c r="M64" s="110">
        <f t="shared" si="5"/>
        <v>60079.901969999999</v>
      </c>
      <c r="N64" s="110">
        <f t="shared" si="5"/>
        <v>34.947019999999995</v>
      </c>
      <c r="O64" s="110">
        <f t="shared" si="5"/>
        <v>22.561770000000003</v>
      </c>
      <c r="P64" s="110">
        <f t="shared" si="5"/>
        <v>0.62742999999999993</v>
      </c>
      <c r="Q64" s="110">
        <f t="shared" si="5"/>
        <v>117.39710000000001</v>
      </c>
      <c r="R64" s="110">
        <f t="shared" si="5"/>
        <v>1781.6447399999997</v>
      </c>
      <c r="S64" s="110">
        <f t="shared" si="5"/>
        <v>191.05961000000002</v>
      </c>
      <c r="T64" s="111">
        <f t="shared" ref="E64:T76" si="6">SUMIFS(T$3:T$44,$C$3:$C$44,$C64,$B$3:$B$44,$B64)</f>
        <v>58.611019999999996</v>
      </c>
    </row>
    <row r="65" spans="2:20" ht="15.75" customHeight="1" x14ac:dyDescent="0.25">
      <c r="B65" s="93" t="s">
        <v>567</v>
      </c>
      <c r="C65" s="80" t="s">
        <v>61</v>
      </c>
      <c r="D65" s="81">
        <f t="shared" si="5"/>
        <v>1620.86436</v>
      </c>
      <c r="E65" s="81">
        <f t="shared" si="6"/>
        <v>1.1299999999999999E-3</v>
      </c>
      <c r="F65" s="81">
        <f t="shared" si="6"/>
        <v>5.6944100000000004</v>
      </c>
      <c r="G65" s="81">
        <f t="shared" si="6"/>
        <v>6.8452400000000004</v>
      </c>
      <c r="H65" s="81">
        <f t="shared" si="6"/>
        <v>131.75404</v>
      </c>
      <c r="I65" s="81">
        <f t="shared" si="6"/>
        <v>325.76301000000001</v>
      </c>
      <c r="J65" s="81">
        <f t="shared" si="6"/>
        <v>25764.6</v>
      </c>
      <c r="K65" s="81">
        <f t="shared" si="6"/>
        <v>657.85725000000002</v>
      </c>
      <c r="L65" s="81">
        <f t="shared" si="6"/>
        <v>972.81659000000002</v>
      </c>
      <c r="M65" s="81">
        <f t="shared" si="6"/>
        <v>112628</v>
      </c>
      <c r="N65" s="81">
        <f t="shared" si="6"/>
        <v>18.607890000000001</v>
      </c>
      <c r="O65" s="81">
        <f t="shared" si="6"/>
        <v>3.7771599999999999</v>
      </c>
      <c r="P65" s="81">
        <f t="shared" si="6"/>
        <v>0.23102</v>
      </c>
      <c r="Q65" s="81">
        <f t="shared" si="6"/>
        <v>16.40175</v>
      </c>
      <c r="R65" s="81">
        <f t="shared" si="6"/>
        <v>449.02064000000001</v>
      </c>
      <c r="S65" s="81">
        <f t="shared" si="6"/>
        <v>78.886679999999998</v>
      </c>
      <c r="T65" s="82">
        <f t="shared" si="6"/>
        <v>21.26942</v>
      </c>
    </row>
    <row r="66" spans="2:20" ht="15.75" customHeight="1" x14ac:dyDescent="0.25">
      <c r="B66" s="93" t="s">
        <v>567</v>
      </c>
      <c r="C66" s="80" t="s">
        <v>90</v>
      </c>
      <c r="D66" s="81">
        <f t="shared" si="5"/>
        <v>16.366030000000002</v>
      </c>
      <c r="E66" s="81">
        <f t="shared" si="6"/>
        <v>5.5901169999999999E-6</v>
      </c>
      <c r="F66" s="81">
        <f t="shared" si="6"/>
        <v>4.3509999999999993E-2</v>
      </c>
      <c r="G66" s="81">
        <f t="shared" si="6"/>
        <v>2.843E-2</v>
      </c>
      <c r="H66" s="81">
        <f t="shared" si="6"/>
        <v>0.51234000000000002</v>
      </c>
      <c r="I66" s="81">
        <f t="shared" si="6"/>
        <v>1.2921199999999999</v>
      </c>
      <c r="J66" s="81">
        <f t="shared" si="6"/>
        <v>7.1530199999999997</v>
      </c>
      <c r="K66" s="81">
        <f t="shared" si="6"/>
        <v>0.32862999999999998</v>
      </c>
      <c r="L66" s="81">
        <f t="shared" si="6"/>
        <v>0.45353000000000004</v>
      </c>
      <c r="M66" s="81">
        <f t="shared" si="6"/>
        <v>22.266349999999999</v>
      </c>
      <c r="N66" s="81">
        <f t="shared" si="6"/>
        <v>5.5320000000000001E-2</v>
      </c>
      <c r="O66" s="81">
        <f t="shared" si="6"/>
        <v>4.3299999999999996E-3</v>
      </c>
      <c r="P66" s="81">
        <f t="shared" si="6"/>
        <v>3.3655229999999999E-4</v>
      </c>
      <c r="Q66" s="81">
        <f t="shared" si="6"/>
        <v>9.9099999999999994E-2</v>
      </c>
      <c r="R66" s="81">
        <f t="shared" si="6"/>
        <v>3.4256600000000001</v>
      </c>
      <c r="S66" s="81">
        <f t="shared" si="6"/>
        <v>6.3799999999999996E-2</v>
      </c>
      <c r="T66" s="82">
        <f t="shared" si="6"/>
        <v>0.63444000000000056</v>
      </c>
    </row>
    <row r="67" spans="2:20" ht="15.75" customHeight="1" x14ac:dyDescent="0.25">
      <c r="B67" s="93" t="s">
        <v>567</v>
      </c>
      <c r="C67" s="80" t="s">
        <v>100</v>
      </c>
      <c r="D67" s="81">
        <f t="shared" si="5"/>
        <v>8.3012599999999992</v>
      </c>
      <c r="E67" s="81">
        <f t="shared" si="6"/>
        <v>9.4387699999999998E-6</v>
      </c>
      <c r="F67" s="81">
        <f t="shared" si="6"/>
        <v>2.3109999999999999E-2</v>
      </c>
      <c r="G67" s="81">
        <f t="shared" si="6"/>
        <v>1.401E-2</v>
      </c>
      <c r="H67" s="81">
        <f t="shared" si="6"/>
        <v>0.37375999999999998</v>
      </c>
      <c r="I67" s="81">
        <f t="shared" si="6"/>
        <v>0.34855999999999998</v>
      </c>
      <c r="J67" s="81">
        <f t="shared" si="6"/>
        <v>10.50234</v>
      </c>
      <c r="K67" s="81">
        <f t="shared" si="6"/>
        <v>0.32706000000000002</v>
      </c>
      <c r="L67" s="81">
        <f t="shared" si="6"/>
        <v>0.46135999999999999</v>
      </c>
      <c r="M67" s="81">
        <f t="shared" si="6"/>
        <v>34.200299999999999</v>
      </c>
      <c r="N67" s="81">
        <f t="shared" si="6"/>
        <v>2.8289999999999999E-2</v>
      </c>
      <c r="O67" s="81">
        <f t="shared" si="6"/>
        <v>3.7799999999999999E-3</v>
      </c>
      <c r="P67" s="81">
        <f t="shared" si="6"/>
        <v>2.3700000000000001E-3</v>
      </c>
      <c r="Q67" s="81">
        <f t="shared" si="6"/>
        <v>0.10216</v>
      </c>
      <c r="R67" s="81">
        <f t="shared" si="6"/>
        <v>2.36422</v>
      </c>
      <c r="S67" s="81">
        <f t="shared" si="6"/>
        <v>3.2539999999999999E-2</v>
      </c>
      <c r="T67" s="82">
        <f t="shared" si="6"/>
        <v>6.4399999999999999E-2</v>
      </c>
    </row>
    <row r="68" spans="2:20" ht="15.75" customHeight="1" x14ac:dyDescent="0.25">
      <c r="B68" s="93" t="s">
        <v>567</v>
      </c>
      <c r="C68" s="80" t="s">
        <v>108</v>
      </c>
      <c r="D68" s="81">
        <f t="shared" si="5"/>
        <v>20.618600000000001</v>
      </c>
      <c r="E68" s="81">
        <f t="shared" si="6"/>
        <v>1.3180719999999999E-5</v>
      </c>
      <c r="F68" s="81">
        <f t="shared" si="6"/>
        <v>0.13300000000000001</v>
      </c>
      <c r="G68" s="81">
        <f t="shared" si="6"/>
        <v>5.323E-2</v>
      </c>
      <c r="H68" s="81">
        <f t="shared" si="6"/>
        <v>0.52200000000000002</v>
      </c>
      <c r="I68" s="81">
        <f t="shared" si="6"/>
        <v>0.42127999999999999</v>
      </c>
      <c r="J68" s="81">
        <f t="shared" si="6"/>
        <v>9.0288199999999996</v>
      </c>
      <c r="K68" s="81">
        <f t="shared" si="6"/>
        <v>0.24318000000000001</v>
      </c>
      <c r="L68" s="81">
        <f t="shared" si="6"/>
        <v>0.42864000000000002</v>
      </c>
      <c r="M68" s="81">
        <f t="shared" si="6"/>
        <v>190.56620999999998</v>
      </c>
      <c r="N68" s="81">
        <f t="shared" si="6"/>
        <v>0.15009</v>
      </c>
      <c r="O68" s="81">
        <f t="shared" si="6"/>
        <v>2E-3</v>
      </c>
      <c r="P68" s="81">
        <f t="shared" si="6"/>
        <v>1.5819119999999998E-4</v>
      </c>
      <c r="Q68" s="81">
        <f t="shared" si="6"/>
        <v>0.44890000000000002</v>
      </c>
      <c r="R68" s="81">
        <f t="shared" si="6"/>
        <v>6.9356799999999996</v>
      </c>
      <c r="S68" s="81">
        <f t="shared" si="6"/>
        <v>3.3110000000000001E-2</v>
      </c>
      <c r="T68" s="82">
        <f t="shared" si="6"/>
        <v>5.8329999999999993E-2</v>
      </c>
    </row>
    <row r="69" spans="2:20" ht="15.75" customHeight="1" x14ac:dyDescent="0.25">
      <c r="B69" s="93" t="s">
        <v>567</v>
      </c>
      <c r="C69" s="80" t="s">
        <v>819</v>
      </c>
      <c r="D69" s="81">
        <f t="shared" si="5"/>
        <v>21.93375</v>
      </c>
      <c r="E69" s="81">
        <f t="shared" si="6"/>
        <v>1.475902E-5</v>
      </c>
      <c r="F69" s="81">
        <f t="shared" si="6"/>
        <v>2.3E-2</v>
      </c>
      <c r="G69" s="81">
        <f t="shared" si="6"/>
        <v>1.1779999999999999E-2</v>
      </c>
      <c r="H69" s="81">
        <f t="shared" si="6"/>
        <v>0.31546000000000002</v>
      </c>
      <c r="I69" s="81">
        <f t="shared" si="6"/>
        <v>0.79376000000000002</v>
      </c>
      <c r="J69" s="81">
        <f t="shared" si="6"/>
        <v>34.113680000000002</v>
      </c>
      <c r="K69" s="81">
        <f t="shared" si="6"/>
        <v>17.984030000000001</v>
      </c>
      <c r="L69" s="81">
        <f t="shared" si="6"/>
        <v>21.59685</v>
      </c>
      <c r="M69" s="81">
        <f t="shared" si="6"/>
        <v>99.805689999999998</v>
      </c>
      <c r="N69" s="81">
        <f t="shared" si="6"/>
        <v>2.666E-2</v>
      </c>
      <c r="O69" s="81">
        <f t="shared" si="6"/>
        <v>3.2100000000000002E-3</v>
      </c>
      <c r="P69" s="81">
        <f t="shared" si="6"/>
        <v>3.9500000000000004E-3</v>
      </c>
      <c r="Q69" s="81">
        <f t="shared" si="6"/>
        <v>6.5269999999999995E-2</v>
      </c>
      <c r="R69" s="81">
        <f t="shared" si="6"/>
        <v>1.4649399999999999</v>
      </c>
      <c r="S69" s="81">
        <f t="shared" si="6"/>
        <v>5.7339999999999995E-2</v>
      </c>
      <c r="T69" s="82">
        <f t="shared" si="6"/>
        <v>7.671E-2</v>
      </c>
    </row>
    <row r="70" spans="2:20" ht="15.75" customHeight="1" x14ac:dyDescent="0.25">
      <c r="B70" s="93" t="s">
        <v>567</v>
      </c>
      <c r="C70" s="81" t="s">
        <v>820</v>
      </c>
      <c r="D70" s="112">
        <f>D62*'LCIA raw results SC2'!$L$4/'LCIA raw results SC2'!$L$5</f>
        <v>1719.5099845876771</v>
      </c>
      <c r="E70" s="112">
        <f>E62*'LCIA raw results SC2'!$L$4/'LCIA raw results SC2'!$L$5</f>
        <v>3.3380710747185276E-3</v>
      </c>
      <c r="F70" s="112">
        <f>F62*'LCIA raw results SC2'!$L$4/'LCIA raw results SC2'!$L$5</f>
        <v>4.2819868077789165</v>
      </c>
      <c r="G70" s="112">
        <f>G62*'LCIA raw results SC2'!$L$4/'LCIA raw results SC2'!$L$5</f>
        <v>3.6642704853224166</v>
      </c>
      <c r="H70" s="112">
        <f>H62*'LCIA raw results SC2'!$L$4/'LCIA raw results SC2'!$L$5</f>
        <v>18784.382893756403</v>
      </c>
      <c r="I70" s="112">
        <f>I62*'LCIA raw results SC2'!$L$4/'LCIA raw results SC2'!$L$5</f>
        <v>208.40702750935526</v>
      </c>
      <c r="J70" s="112">
        <f>J62*'LCIA raw results SC2'!$L$4/'LCIA raw results SC2'!$L$5</f>
        <v>4759.6890587088646</v>
      </c>
      <c r="K70" s="112">
        <f>K62*'LCIA raw results SC2'!$L$4/'LCIA raw results SC2'!$L$5</f>
        <v>778.66295400073716</v>
      </c>
      <c r="L70" s="112">
        <f>L62*'LCIA raw results SC2'!$L$4/'LCIA raw results SC2'!$L$5</f>
        <v>963.5515808528969</v>
      </c>
      <c r="M70" s="112">
        <f>M62*'LCIA raw results SC2'!$L$4/'LCIA raw results SC2'!$L$5</f>
        <v>20421.112591197551</v>
      </c>
      <c r="N70" s="112">
        <f>N62*'LCIA raw results SC2'!$L$4/'LCIA raw results SC2'!$L$5</f>
        <v>8.4239716900716495</v>
      </c>
      <c r="O70" s="112">
        <f>O62*'LCIA raw results SC2'!$L$4/'LCIA raw results SC2'!$L$5</f>
        <v>1.2147174954350055</v>
      </c>
      <c r="P70" s="112">
        <f>P62*'LCIA raw results SC2'!$L$4/'LCIA raw results SC2'!$L$5</f>
        <v>0.40618174329580348</v>
      </c>
      <c r="Q70" s="112">
        <f>Q62*'LCIA raw results SC2'!$L$4/'LCIA raw results SC2'!$L$5</f>
        <v>11.974108807860803</v>
      </c>
      <c r="R70" s="112">
        <f>R62*'LCIA raw results SC2'!$L$4/'LCIA raw results SC2'!$L$5</f>
        <v>444.00141976384873</v>
      </c>
      <c r="S70" s="112">
        <f>S62*'LCIA raw results SC2'!$L$4/'LCIA raw results SC2'!$L$5</f>
        <v>31.974200466816793</v>
      </c>
      <c r="T70" s="113">
        <f>T62*'LCIA raw results SC2'!$L$4/'LCIA raw results SC2'!$L$5</f>
        <v>105.10832807557836</v>
      </c>
    </row>
    <row r="71" spans="2:20" ht="15.75" customHeight="1" x14ac:dyDescent="0.25">
      <c r="B71" s="93" t="s">
        <v>587</v>
      </c>
      <c r="C71" s="80" t="s">
        <v>0</v>
      </c>
      <c r="D71" s="81">
        <f t="shared" si="5"/>
        <v>4154.1209325</v>
      </c>
      <c r="E71" s="81">
        <f t="shared" si="6"/>
        <v>2.5574999999999999E-3</v>
      </c>
      <c r="F71" s="81">
        <f t="shared" si="6"/>
        <v>13.754947500000002</v>
      </c>
      <c r="G71" s="81">
        <f t="shared" si="6"/>
        <v>10.913609999999998</v>
      </c>
      <c r="H71" s="81">
        <f t="shared" si="6"/>
        <v>420.84395249999994</v>
      </c>
      <c r="I71" s="81">
        <f t="shared" si="6"/>
        <v>638.00135250000005</v>
      </c>
      <c r="J71" s="81">
        <f t="shared" si="6"/>
        <v>78720.490500000014</v>
      </c>
      <c r="K71" s="81">
        <f t="shared" si="6"/>
        <v>2292.2138849999997</v>
      </c>
      <c r="L71" s="81">
        <f t="shared" si="6"/>
        <v>3263.0543250000001</v>
      </c>
      <c r="M71" s="81">
        <f t="shared" si="6"/>
        <v>35533.650787499995</v>
      </c>
      <c r="N71" s="81">
        <f t="shared" si="6"/>
        <v>22.406534999999998</v>
      </c>
      <c r="O71" s="81">
        <f t="shared" si="6"/>
        <v>13.988204999999999</v>
      </c>
      <c r="P71" s="81">
        <f t="shared" si="6"/>
        <v>0.38668499999999995</v>
      </c>
      <c r="Q71" s="81">
        <f t="shared" si="6"/>
        <v>79.852500000000006</v>
      </c>
      <c r="R71" s="81">
        <f t="shared" si="6"/>
        <v>1072.1182124999998</v>
      </c>
      <c r="S71" s="81">
        <f t="shared" si="6"/>
        <v>143.45185499999997</v>
      </c>
      <c r="T71" s="82">
        <f t="shared" si="6"/>
        <v>36.480682500000007</v>
      </c>
    </row>
    <row r="72" spans="2:20" ht="15.75" customHeight="1" x14ac:dyDescent="0.25">
      <c r="B72" s="93" t="s">
        <v>587</v>
      </c>
      <c r="C72" s="80" t="s">
        <v>61</v>
      </c>
      <c r="D72" s="81">
        <f t="shared" si="5"/>
        <v>354.51203249999998</v>
      </c>
      <c r="E72" s="81">
        <f t="shared" si="6"/>
        <v>1.35E-4</v>
      </c>
      <c r="F72" s="81">
        <f t="shared" si="6"/>
        <v>0.91174500000000003</v>
      </c>
      <c r="G72" s="81">
        <f t="shared" si="6"/>
        <v>0.85319999999999996</v>
      </c>
      <c r="H72" s="81">
        <f t="shared" si="6"/>
        <v>21.5791875</v>
      </c>
      <c r="I72" s="81">
        <f t="shared" si="6"/>
        <v>150.77924999999999</v>
      </c>
      <c r="J72" s="81">
        <f t="shared" si="6"/>
        <v>1624.8491325</v>
      </c>
      <c r="K72" s="81">
        <f t="shared" si="6"/>
        <v>50.321504999999995</v>
      </c>
      <c r="L72" s="81">
        <f t="shared" si="6"/>
        <v>71.9266425</v>
      </c>
      <c r="M72" s="81">
        <f t="shared" si="6"/>
        <v>5189.9506275000003</v>
      </c>
      <c r="N72" s="81">
        <f t="shared" si="6"/>
        <v>1.7225099999999998</v>
      </c>
      <c r="O72" s="81">
        <f t="shared" si="6"/>
        <v>0.33417000000000002</v>
      </c>
      <c r="P72" s="81">
        <f t="shared" si="6"/>
        <v>1.7902499999999998E-2</v>
      </c>
      <c r="Q72" s="81">
        <f t="shared" si="6"/>
        <v>2.4255</v>
      </c>
      <c r="R72" s="81">
        <f t="shared" si="6"/>
        <v>91.005757500000001</v>
      </c>
      <c r="S72" s="81">
        <f t="shared" si="6"/>
        <v>11.2892475</v>
      </c>
      <c r="T72" s="82">
        <f t="shared" si="6"/>
        <v>4.1097299999999999</v>
      </c>
    </row>
    <row r="73" spans="2:20" ht="15.75" customHeight="1" x14ac:dyDescent="0.25">
      <c r="B73" s="93" t="s">
        <v>587</v>
      </c>
      <c r="C73" s="80" t="s">
        <v>90</v>
      </c>
      <c r="D73" s="81">
        <f t="shared" si="5"/>
        <v>93.960967499999995</v>
      </c>
      <c r="E73" s="81">
        <f t="shared" si="6"/>
        <v>3.0971895E-5</v>
      </c>
      <c r="F73" s="81">
        <f t="shared" si="6"/>
        <v>0.2507625</v>
      </c>
      <c r="G73" s="81">
        <f t="shared" si="6"/>
        <v>0.16139249999999999</v>
      </c>
      <c r="H73" s="81">
        <f t="shared" si="6"/>
        <v>2.8042724999999997</v>
      </c>
      <c r="I73" s="81">
        <f t="shared" si="6"/>
        <v>6.9741149999999994</v>
      </c>
      <c r="J73" s="81">
        <f t="shared" si="6"/>
        <v>39.274275000000003</v>
      </c>
      <c r="K73" s="81">
        <f t="shared" si="6"/>
        <v>1.8210225000000002</v>
      </c>
      <c r="L73" s="81">
        <f t="shared" si="6"/>
        <v>2.5100250000000002</v>
      </c>
      <c r="M73" s="81">
        <f t="shared" si="6"/>
        <v>120.92703000000002</v>
      </c>
      <c r="N73" s="81">
        <f t="shared" si="6"/>
        <v>0.31785750000000002</v>
      </c>
      <c r="O73" s="81">
        <f t="shared" si="6"/>
        <v>2.4157499999999998E-2</v>
      </c>
      <c r="P73" s="81">
        <f t="shared" si="6"/>
        <v>1.8749999999999999E-3</v>
      </c>
      <c r="Q73" s="81">
        <f t="shared" si="6"/>
        <v>0.56994750000000005</v>
      </c>
      <c r="R73" s="81">
        <f t="shared" si="6"/>
        <v>19.536960000000001</v>
      </c>
      <c r="S73" s="81">
        <f t="shared" si="6"/>
        <v>0.33516000000000001</v>
      </c>
      <c r="T73" s="82">
        <f t="shared" si="6"/>
        <v>3.3256799999999993</v>
      </c>
    </row>
    <row r="74" spans="2:20" ht="15.75" customHeight="1" x14ac:dyDescent="0.25">
      <c r="B74" s="93" t="s">
        <v>587</v>
      </c>
      <c r="C74" s="80" t="s">
        <v>100</v>
      </c>
      <c r="D74" s="81">
        <f t="shared" si="5"/>
        <v>33.685027499999997</v>
      </c>
      <c r="E74" s="81">
        <f t="shared" si="6"/>
        <v>1.2388865175E-5</v>
      </c>
      <c r="F74" s="81">
        <f t="shared" si="6"/>
        <v>3.8107500000000002E-2</v>
      </c>
      <c r="G74" s="81">
        <f t="shared" si="6"/>
        <v>1.9709999999999995E-2</v>
      </c>
      <c r="H74" s="81">
        <f t="shared" si="6"/>
        <v>0.51432749999999994</v>
      </c>
      <c r="I74" s="81">
        <f t="shared" si="6"/>
        <v>0.54659250000000004</v>
      </c>
      <c r="J74" s="81">
        <f t="shared" si="6"/>
        <v>34.833772499999988</v>
      </c>
      <c r="K74" s="81">
        <f t="shared" si="6"/>
        <v>2.6174850000000007</v>
      </c>
      <c r="L74" s="81">
        <f t="shared" si="6"/>
        <v>3.7348724999999998</v>
      </c>
      <c r="M74" s="81">
        <f t="shared" si="6"/>
        <v>103.39202250000002</v>
      </c>
      <c r="N74" s="81">
        <f t="shared" si="6"/>
        <v>4.19625E-2</v>
      </c>
      <c r="O74" s="81">
        <f t="shared" si="6"/>
        <v>4.6776195000000007E-3</v>
      </c>
      <c r="P74" s="81">
        <f t="shared" si="6"/>
        <v>3.2331483749999997E-3</v>
      </c>
      <c r="Q74" s="81">
        <f t="shared" si="6"/>
        <v>0.13922999999999999</v>
      </c>
      <c r="R74" s="81">
        <f t="shared" si="6"/>
        <v>4.4176349999999989</v>
      </c>
      <c r="S74" s="81">
        <f t="shared" si="6"/>
        <v>3.8347500000000007E-2</v>
      </c>
      <c r="T74" s="82">
        <f t="shared" si="6"/>
        <v>9.4185000000000005E-2</v>
      </c>
    </row>
    <row r="75" spans="2:20" ht="15.75" customHeight="1" x14ac:dyDescent="0.25">
      <c r="B75" s="93" t="s">
        <v>587</v>
      </c>
      <c r="C75" s="80" t="s">
        <v>108</v>
      </c>
      <c r="D75" s="81">
        <f t="shared" si="5"/>
        <v>90.964372499999996</v>
      </c>
      <c r="E75" s="81">
        <f t="shared" si="6"/>
        <v>5.8150199999999991E-5</v>
      </c>
      <c r="F75" s="81">
        <f t="shared" si="6"/>
        <v>0.58674749999999998</v>
      </c>
      <c r="G75" s="81">
        <f t="shared" si="6"/>
        <v>0.23486249999999997</v>
      </c>
      <c r="H75" s="81">
        <f t="shared" si="6"/>
        <v>2.3029125000000001</v>
      </c>
      <c r="I75" s="81">
        <f t="shared" si="6"/>
        <v>1.8585975000000001</v>
      </c>
      <c r="J75" s="81">
        <f t="shared" si="6"/>
        <v>39.833024999999999</v>
      </c>
      <c r="K75" s="81">
        <f t="shared" si="6"/>
        <v>1.0728525</v>
      </c>
      <c r="L75" s="81">
        <f t="shared" si="6"/>
        <v>1.8910575000000001</v>
      </c>
      <c r="M75" s="81">
        <f t="shared" si="6"/>
        <v>840.73323749999997</v>
      </c>
      <c r="N75" s="81">
        <f t="shared" si="6"/>
        <v>0.66219749999999999</v>
      </c>
      <c r="O75" s="81">
        <f t="shared" si="6"/>
        <v>8.8050000000000003E-3</v>
      </c>
      <c r="P75" s="81">
        <f t="shared" si="6"/>
        <v>6.9749999999999999E-4</v>
      </c>
      <c r="Q75" s="81">
        <f t="shared" si="6"/>
        <v>1.9804424999999999</v>
      </c>
      <c r="R75" s="81">
        <f t="shared" si="6"/>
        <v>30.598597499999997</v>
      </c>
      <c r="S75" s="81">
        <f t="shared" si="6"/>
        <v>0.14605499999999999</v>
      </c>
      <c r="T75" s="82">
        <f t="shared" si="6"/>
        <v>0.25734000000000001</v>
      </c>
    </row>
    <row r="76" spans="2:20" ht="15.75" customHeight="1" x14ac:dyDescent="0.25">
      <c r="B76" s="93" t="s">
        <v>587</v>
      </c>
      <c r="C76" s="80" t="s">
        <v>819</v>
      </c>
      <c r="D76" s="81">
        <f t="shared" si="5"/>
        <v>90.479617500000003</v>
      </c>
      <c r="E76" s="81">
        <f t="shared" si="6"/>
        <v>5.3556394500000003E-5</v>
      </c>
      <c r="F76" s="81">
        <f t="shared" si="6"/>
        <v>0.1088625</v>
      </c>
      <c r="G76" s="81">
        <f t="shared" si="6"/>
        <v>6.1709999999999994E-2</v>
      </c>
      <c r="H76" s="81">
        <f t="shared" si="6"/>
        <v>1.7325825000000001</v>
      </c>
      <c r="I76" s="81">
        <f t="shared" si="6"/>
        <v>3.8459775</v>
      </c>
      <c r="J76" s="81">
        <f t="shared" si="6"/>
        <v>149.89398</v>
      </c>
      <c r="K76" s="81">
        <f t="shared" si="6"/>
        <v>101.70907500000001</v>
      </c>
      <c r="L76" s="81">
        <f t="shared" si="6"/>
        <v>121.89283499999999</v>
      </c>
      <c r="M76" s="81">
        <f t="shared" si="6"/>
        <v>560.4199574999999</v>
      </c>
      <c r="N76" s="81">
        <f t="shared" si="6"/>
        <v>0.13911750000000001</v>
      </c>
      <c r="O76" s="81">
        <f t="shared" si="6"/>
        <v>1.7577750374999999E-2</v>
      </c>
      <c r="P76" s="81">
        <f t="shared" si="6"/>
        <v>2.0175000000000002E-3</v>
      </c>
      <c r="Q76" s="81">
        <f t="shared" si="6"/>
        <v>0.39668249999999999</v>
      </c>
      <c r="R76" s="81">
        <f t="shared" si="6"/>
        <v>7.7035200000000001</v>
      </c>
      <c r="S76" s="81">
        <f t="shared" si="6"/>
        <v>0.320685</v>
      </c>
      <c r="T76" s="82">
        <f t="shared" si="6"/>
        <v>0.41928749999999998</v>
      </c>
    </row>
    <row r="77" spans="2:20" ht="15.75" customHeight="1" x14ac:dyDescent="0.25">
      <c r="B77" s="105" t="s">
        <v>587</v>
      </c>
      <c r="C77" s="84" t="s">
        <v>820</v>
      </c>
      <c r="D77" s="114">
        <f>D62*'LCIA raw results SC2'!$L$3/'LCIA raw results SC2'!$L$5</f>
        <v>1259.3474251986952</v>
      </c>
      <c r="E77" s="114">
        <f>E62*'LCIA raw results SC2'!$L$3/'LCIA raw results SC2'!$L$5</f>
        <v>2.4447611533265101E-3</v>
      </c>
      <c r="F77" s="114">
        <f>F62*'LCIA raw results SC2'!$L$3/'LCIA raw results SC2'!$L$5</f>
        <v>3.1360731309764587</v>
      </c>
      <c r="G77" s="114">
        <f>G62*'LCIA raw results SC2'!$L$3/'LCIA raw results SC2'!$L$5</f>
        <v>2.6836654874259978</v>
      </c>
      <c r="H77" s="114">
        <f>H62*'LCIA raw results SC2'!$L$3/'LCIA raw results SC2'!$L$5</f>
        <v>13757.44511124258</v>
      </c>
      <c r="I77" s="114">
        <f>I62*'LCIA raw results SC2'!$L$3/'LCIA raw results SC2'!$L$5</f>
        <v>152.63467839074804</v>
      </c>
      <c r="J77" s="114">
        <f>J62*'LCIA raw results SC2'!$L$3/'LCIA raw results SC2'!$L$5</f>
        <v>3485.9362344841174</v>
      </c>
      <c r="K77" s="114">
        <f>K62*'LCIA raw results SC2'!$L$3/'LCIA raw results SC2'!$L$5</f>
        <v>570.28292653594519</v>
      </c>
      <c r="L77" s="114">
        <f>L62*'LCIA raw results SC2'!$L$3/'LCIA raw results SC2'!$L$5</f>
        <v>705.69302491384008</v>
      </c>
      <c r="M77" s="114">
        <f>M62*'LCIA raw results SC2'!$L$3/'LCIA raw results SC2'!$L$5</f>
        <v>14956.165298210852</v>
      </c>
      <c r="N77" s="114">
        <f>N62*'LCIA raw results SC2'!$L$3/'LCIA raw results SC2'!$L$5</f>
        <v>6.1696106175168879</v>
      </c>
      <c r="O77" s="114">
        <f>O62*'LCIA raw results SC2'!$L$3/'LCIA raw results SC2'!$L$5</f>
        <v>0.8896437728953942</v>
      </c>
      <c r="P77" s="114">
        <f>P62*'LCIA raw results SC2'!$L$3/'LCIA raw results SC2'!$L$5</f>
        <v>0.29748238577686797</v>
      </c>
      <c r="Q77" s="114">
        <f>Q62*'LCIA raw results SC2'!$L$3/'LCIA raw results SC2'!$L$5</f>
        <v>8.7696862660814752</v>
      </c>
      <c r="R77" s="114">
        <f>R62*'LCIA raw results SC2'!$L$3/'LCIA raw results SC2'!$L$5</f>
        <v>325.1810398171358</v>
      </c>
      <c r="S77" s="114">
        <f>S62*'LCIA raw results SC2'!$L$3/'LCIA raw results SC2'!$L$5</f>
        <v>23.41750114369253</v>
      </c>
      <c r="T77" s="115">
        <f>T62*'LCIA raw results SC2'!$L$3/'LCIA raw results SC2'!$L$5</f>
        <v>76.980013791929196</v>
      </c>
    </row>
    <row r="79" spans="2:20" ht="15.75" customHeight="1" x14ac:dyDescent="0.25">
      <c r="B79" s="109" t="s">
        <v>844</v>
      </c>
      <c r="C79" s="90"/>
      <c r="D79" s="90">
        <f>SUM(D64:D69)</f>
        <v>8630.6397400000005</v>
      </c>
      <c r="E79" s="90">
        <f t="shared" ref="E79:T79" si="7">SUM(E64:E69)</f>
        <v>5.2702964270000012E-3</v>
      </c>
      <c r="F79" s="90">
        <f t="shared" si="7"/>
        <v>27.740450000000003</v>
      </c>
      <c r="G79" s="90">
        <f t="shared" si="7"/>
        <v>24.638770000000001</v>
      </c>
      <c r="H79" s="90">
        <f t="shared" si="7"/>
        <v>856.5396300000001</v>
      </c>
      <c r="I79" s="90">
        <f t="shared" si="7"/>
        <v>1292.3961400000001</v>
      </c>
      <c r="J79" s="90">
        <f t="shared" si="7"/>
        <v>151401.66160000002</v>
      </c>
      <c r="K79" s="90">
        <f t="shared" si="7"/>
        <v>4332.60689</v>
      </c>
      <c r="L79" s="90">
        <f t="shared" si="7"/>
        <v>6158.6920899999996</v>
      </c>
      <c r="M79" s="90">
        <f t="shared" si="7"/>
        <v>173054.74051999999</v>
      </c>
      <c r="N79" s="90">
        <f t="shared" si="7"/>
        <v>53.815269999999991</v>
      </c>
      <c r="O79" s="90">
        <f t="shared" si="7"/>
        <v>26.352249999999998</v>
      </c>
      <c r="P79" s="90">
        <f t="shared" si="7"/>
        <v>0.86526474349999993</v>
      </c>
      <c r="Q79" s="90">
        <f t="shared" si="7"/>
        <v>134.51428000000001</v>
      </c>
      <c r="R79" s="90">
        <f t="shared" si="7"/>
        <v>2244.8558799999996</v>
      </c>
      <c r="S79" s="90">
        <f t="shared" si="7"/>
        <v>270.13308000000006</v>
      </c>
      <c r="T79" s="91">
        <f t="shared" si="7"/>
        <v>80.714320000000001</v>
      </c>
    </row>
    <row r="80" spans="2:20" ht="15.75" customHeight="1" x14ac:dyDescent="0.25">
      <c r="B80" s="93" t="s">
        <v>845</v>
      </c>
      <c r="C80" s="80"/>
      <c r="D80" s="80">
        <f>SUM(D71:D76)</f>
        <v>4817.7229499999994</v>
      </c>
      <c r="E80" s="80">
        <f t="shared" ref="E80:T80" si="8">SUM(E71:E76)</f>
        <v>2.8475673546750004E-3</v>
      </c>
      <c r="F80" s="80">
        <f t="shared" si="8"/>
        <v>15.651172500000003</v>
      </c>
      <c r="G80" s="80">
        <f t="shared" si="8"/>
        <v>12.244484999999997</v>
      </c>
      <c r="H80" s="80">
        <f t="shared" si="8"/>
        <v>449.77723499999991</v>
      </c>
      <c r="I80" s="80">
        <f t="shared" si="8"/>
        <v>802.00588499999992</v>
      </c>
      <c r="J80" s="80">
        <f t="shared" si="8"/>
        <v>80609.17468500002</v>
      </c>
      <c r="K80" s="80">
        <f t="shared" si="8"/>
        <v>2449.7558249999997</v>
      </c>
      <c r="L80" s="80">
        <f t="shared" si="8"/>
        <v>3465.0097575000004</v>
      </c>
      <c r="M80" s="80">
        <f t="shared" si="8"/>
        <v>42349.073662499992</v>
      </c>
      <c r="N80" s="80">
        <f t="shared" si="8"/>
        <v>25.290179999999999</v>
      </c>
      <c r="O80" s="80">
        <f t="shared" si="8"/>
        <v>14.377592869875</v>
      </c>
      <c r="P80" s="80">
        <f t="shared" si="8"/>
        <v>0.41241064837499997</v>
      </c>
      <c r="Q80" s="80">
        <f t="shared" si="8"/>
        <v>85.364302499999994</v>
      </c>
      <c r="R80" s="80">
        <f t="shared" si="8"/>
        <v>1225.3806824999999</v>
      </c>
      <c r="S80" s="80">
        <f t="shared" si="8"/>
        <v>155.58134999999993</v>
      </c>
      <c r="T80" s="103">
        <f t="shared" si="8"/>
        <v>44.68690500000001</v>
      </c>
    </row>
    <row r="81" spans="2:21" ht="15.75" customHeight="1" x14ac:dyDescent="0.25">
      <c r="B81" s="93" t="s">
        <v>846</v>
      </c>
      <c r="C81" s="80"/>
      <c r="D81" s="116">
        <f>D70</f>
        <v>1719.5099845876771</v>
      </c>
      <c r="E81" s="116">
        <f t="shared" ref="E81:T81" si="9">E70</f>
        <v>3.3380710747185276E-3</v>
      </c>
      <c r="F81" s="116">
        <f t="shared" si="9"/>
        <v>4.2819868077789165</v>
      </c>
      <c r="G81" s="116">
        <f t="shared" si="9"/>
        <v>3.6642704853224166</v>
      </c>
      <c r="H81" s="116">
        <f t="shared" si="9"/>
        <v>18784.382893756403</v>
      </c>
      <c r="I81" s="116">
        <f t="shared" si="9"/>
        <v>208.40702750935526</v>
      </c>
      <c r="J81" s="116">
        <f t="shared" si="9"/>
        <v>4759.6890587088646</v>
      </c>
      <c r="K81" s="116">
        <f t="shared" si="9"/>
        <v>778.66295400073716</v>
      </c>
      <c r="L81" s="116">
        <f t="shared" si="9"/>
        <v>963.5515808528969</v>
      </c>
      <c r="M81" s="116">
        <f t="shared" si="9"/>
        <v>20421.112591197551</v>
      </c>
      <c r="N81" s="116">
        <f t="shared" si="9"/>
        <v>8.4239716900716495</v>
      </c>
      <c r="O81" s="116">
        <f t="shared" si="9"/>
        <v>1.2147174954350055</v>
      </c>
      <c r="P81" s="116">
        <f t="shared" si="9"/>
        <v>0.40618174329580348</v>
      </c>
      <c r="Q81" s="116">
        <f t="shared" si="9"/>
        <v>11.974108807860803</v>
      </c>
      <c r="R81" s="116">
        <f t="shared" si="9"/>
        <v>444.00141976384873</v>
      </c>
      <c r="S81" s="116">
        <f t="shared" si="9"/>
        <v>31.974200466816793</v>
      </c>
      <c r="T81" s="117">
        <f t="shared" si="9"/>
        <v>105.10832807557836</v>
      </c>
    </row>
    <row r="82" spans="2:21" ht="15.75" customHeight="1" x14ac:dyDescent="0.25">
      <c r="B82" s="93" t="s">
        <v>847</v>
      </c>
      <c r="C82" s="80"/>
      <c r="D82" s="116">
        <f>D77</f>
        <v>1259.3474251986952</v>
      </c>
      <c r="E82" s="116">
        <f t="shared" ref="E82:T82" si="10">E77</f>
        <v>2.4447611533265101E-3</v>
      </c>
      <c r="F82" s="116">
        <f t="shared" si="10"/>
        <v>3.1360731309764587</v>
      </c>
      <c r="G82" s="116">
        <f t="shared" si="10"/>
        <v>2.6836654874259978</v>
      </c>
      <c r="H82" s="116">
        <f t="shared" si="10"/>
        <v>13757.44511124258</v>
      </c>
      <c r="I82" s="116">
        <f t="shared" si="10"/>
        <v>152.63467839074804</v>
      </c>
      <c r="J82" s="116">
        <f t="shared" si="10"/>
        <v>3485.9362344841174</v>
      </c>
      <c r="K82" s="116">
        <f t="shared" si="10"/>
        <v>570.28292653594519</v>
      </c>
      <c r="L82" s="116">
        <f t="shared" si="10"/>
        <v>705.69302491384008</v>
      </c>
      <c r="M82" s="116">
        <f t="shared" si="10"/>
        <v>14956.165298210852</v>
      </c>
      <c r="N82" s="116">
        <f t="shared" si="10"/>
        <v>6.1696106175168879</v>
      </c>
      <c r="O82" s="116">
        <f t="shared" si="10"/>
        <v>0.8896437728953942</v>
      </c>
      <c r="P82" s="116">
        <f t="shared" si="10"/>
        <v>0.29748238577686797</v>
      </c>
      <c r="Q82" s="116">
        <f t="shared" si="10"/>
        <v>8.7696862660814752</v>
      </c>
      <c r="R82" s="116">
        <f t="shared" si="10"/>
        <v>325.1810398171358</v>
      </c>
      <c r="S82" s="116">
        <f t="shared" si="10"/>
        <v>23.41750114369253</v>
      </c>
      <c r="T82" s="117">
        <f t="shared" si="10"/>
        <v>76.980013791929196</v>
      </c>
    </row>
    <row r="83" spans="2:21" ht="15.75" customHeight="1" x14ac:dyDescent="0.25">
      <c r="B83" s="93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103"/>
    </row>
    <row r="84" spans="2:21" ht="15.75" customHeight="1" x14ac:dyDescent="0.25">
      <c r="B84" s="93" t="s">
        <v>567</v>
      </c>
      <c r="C84" s="80"/>
      <c r="D84" s="118">
        <f t="shared" ref="D84:D85" si="11">(D79+D81)/SUM(D$79:D$82)</f>
        <v>0.6300609392043317</v>
      </c>
      <c r="E84" s="118">
        <f t="shared" ref="E84:T85" si="12">(E79+E81)/SUM(E$79:E$82)</f>
        <v>0.61927600572655794</v>
      </c>
      <c r="F84" s="118">
        <f t="shared" si="12"/>
        <v>0.63024280551994993</v>
      </c>
      <c r="G84" s="118">
        <f t="shared" si="12"/>
        <v>0.65469027913581568</v>
      </c>
      <c r="H84" s="118">
        <f t="shared" si="12"/>
        <v>0.5802658491090591</v>
      </c>
      <c r="I84" s="118">
        <f t="shared" si="12"/>
        <v>0.61121464467817355</v>
      </c>
      <c r="J84" s="118">
        <f t="shared" si="12"/>
        <v>0.64997773476275555</v>
      </c>
      <c r="K84" s="118">
        <f t="shared" si="12"/>
        <v>0.62859130039737277</v>
      </c>
      <c r="L84" s="118">
        <f t="shared" si="12"/>
        <v>0.63068072626808824</v>
      </c>
      <c r="M84" s="118">
        <f t="shared" si="12"/>
        <v>0.77149298423072787</v>
      </c>
      <c r="N84" s="118">
        <f t="shared" si="12"/>
        <v>0.66424636580831564</v>
      </c>
      <c r="O84" s="118">
        <f t="shared" si="12"/>
        <v>0.64357370587509088</v>
      </c>
      <c r="P84" s="118">
        <f t="shared" si="12"/>
        <v>0.64171055659742382</v>
      </c>
      <c r="Q84" s="118">
        <f t="shared" si="12"/>
        <v>0.60878954935455054</v>
      </c>
      <c r="R84" s="118">
        <f t="shared" si="12"/>
        <v>0.63425136457588982</v>
      </c>
      <c r="S84" s="118">
        <f t="shared" si="12"/>
        <v>0.62794310988203095</v>
      </c>
      <c r="T84" s="119">
        <f t="shared" si="12"/>
        <v>0.60432179852022883</v>
      </c>
      <c r="U84" s="120">
        <f t="shared" ref="U84:U85" si="13">AVERAGE(D84:T84)</f>
        <v>0.63713704233213897</v>
      </c>
    </row>
    <row r="85" spans="2:21" ht="15.75" customHeight="1" x14ac:dyDescent="0.25">
      <c r="B85" s="105" t="s">
        <v>587</v>
      </c>
      <c r="C85" s="85"/>
      <c r="D85" s="121">
        <f t="shared" si="11"/>
        <v>0.3699390607956683</v>
      </c>
      <c r="E85" s="121">
        <f t="shared" si="12"/>
        <v>0.380723994273442</v>
      </c>
      <c r="F85" s="121">
        <f t="shared" si="12"/>
        <v>0.36975719448005018</v>
      </c>
      <c r="G85" s="121">
        <f t="shared" si="12"/>
        <v>0.34530972086418421</v>
      </c>
      <c r="H85" s="121">
        <f t="shared" si="12"/>
        <v>0.41973415089094085</v>
      </c>
      <c r="I85" s="121">
        <f t="shared" si="12"/>
        <v>0.38878535532182651</v>
      </c>
      <c r="J85" s="121">
        <f t="shared" si="12"/>
        <v>0.35002226523724461</v>
      </c>
      <c r="K85" s="121">
        <f t="shared" si="12"/>
        <v>0.37140869960262735</v>
      </c>
      <c r="L85" s="121">
        <f t="shared" si="12"/>
        <v>0.36931927373191176</v>
      </c>
      <c r="M85" s="121">
        <f t="shared" si="12"/>
        <v>0.22850701576927207</v>
      </c>
      <c r="N85" s="121">
        <f t="shared" si="12"/>
        <v>0.33575363419168425</v>
      </c>
      <c r="O85" s="121">
        <f t="shared" si="12"/>
        <v>0.35642629412490906</v>
      </c>
      <c r="P85" s="121">
        <f t="shared" si="12"/>
        <v>0.35828944340257607</v>
      </c>
      <c r="Q85" s="121">
        <f t="shared" si="12"/>
        <v>0.39121045064544957</v>
      </c>
      <c r="R85" s="121">
        <f t="shared" si="12"/>
        <v>0.36574863542411024</v>
      </c>
      <c r="S85" s="121">
        <f t="shared" si="12"/>
        <v>0.37205689011796916</v>
      </c>
      <c r="T85" s="122">
        <f t="shared" si="12"/>
        <v>0.39567820147977112</v>
      </c>
      <c r="U85" s="120">
        <f t="shared" si="13"/>
        <v>0.36286295766786103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45"/>
  <sheetViews>
    <sheetView topLeftCell="A14" zoomScale="55" zoomScaleNormal="55" workbookViewId="0">
      <selection activeCell="D19" sqref="D19"/>
    </sheetView>
  </sheetViews>
  <sheetFormatPr baseColWidth="10" defaultColWidth="12.54296875" defaultRowHeight="15.75" customHeight="1" x14ac:dyDescent="0.25"/>
  <cols>
    <col min="1" max="1" width="31.54296875" bestFit="1" customWidth="1"/>
    <col min="2" max="3" width="10.7265625" customWidth="1"/>
    <col min="4" max="4" width="13.1796875" customWidth="1"/>
    <col min="5" max="5" width="12.7265625" customWidth="1"/>
    <col min="6" max="6" width="13.453125" customWidth="1"/>
    <col min="7" max="7" width="10.7265625" customWidth="1"/>
    <col min="8" max="8" width="11.81640625" customWidth="1"/>
    <col min="9" max="10" width="10.7265625" customWidth="1"/>
    <col min="11" max="11" width="11.54296875" customWidth="1"/>
    <col min="12" max="18" width="10.7265625" customWidth="1"/>
  </cols>
  <sheetData>
    <row r="1" spans="1:18" s="1" customFormat="1" ht="15.75" customHeight="1" x14ac:dyDescent="0.3">
      <c r="A1" s="257" t="s">
        <v>966</v>
      </c>
    </row>
    <row r="2" spans="1:18" ht="13" x14ac:dyDescent="0.3">
      <c r="A2" s="76" t="s">
        <v>848</v>
      </c>
      <c r="B2" s="77" t="s">
        <v>849</v>
      </c>
      <c r="C2" s="77" t="s">
        <v>850</v>
      </c>
      <c r="D2" s="77" t="s">
        <v>851</v>
      </c>
      <c r="E2" s="77" t="s">
        <v>852</v>
      </c>
      <c r="F2" s="77" t="s">
        <v>853</v>
      </c>
      <c r="G2" s="77" t="s">
        <v>854</v>
      </c>
      <c r="H2" s="77" t="s">
        <v>855</v>
      </c>
      <c r="I2" s="77" t="s">
        <v>856</v>
      </c>
      <c r="J2" s="77" t="s">
        <v>857</v>
      </c>
      <c r="K2" s="77" t="s">
        <v>858</v>
      </c>
      <c r="L2" s="77" t="s">
        <v>859</v>
      </c>
      <c r="M2" s="77" t="s">
        <v>860</v>
      </c>
      <c r="N2" s="77" t="s">
        <v>861</v>
      </c>
      <c r="O2" s="77" t="s">
        <v>862</v>
      </c>
      <c r="P2" s="77" t="s">
        <v>863</v>
      </c>
      <c r="Q2" s="77" t="s">
        <v>864</v>
      </c>
      <c r="R2" s="78" t="s">
        <v>865</v>
      </c>
    </row>
    <row r="3" spans="1:18" ht="12.5" x14ac:dyDescent="0.25">
      <c r="A3" s="79" t="s">
        <v>866</v>
      </c>
      <c r="B3" s="123">
        <f>'S4 - LCIA results scenario1'!D3</f>
        <v>194558.94771766177</v>
      </c>
      <c r="C3" s="124">
        <f>'S4 - LCIA results scenario1'!E3</f>
        <v>0.14085345378382352</v>
      </c>
      <c r="D3" s="123">
        <f>'S4 - LCIA results scenario1'!F3</f>
        <v>620.19634495535593</v>
      </c>
      <c r="E3" s="123">
        <f>'S4 - LCIA results scenario1'!G3</f>
        <v>518.48357079023674</v>
      </c>
      <c r="F3" s="123">
        <f>'S4 - LCIA results scenario1'!H3</f>
        <v>211722.23848970587</v>
      </c>
      <c r="G3" s="123">
        <f>'S4 - LCIA results scenario1'!I3</f>
        <v>31465.988154045583</v>
      </c>
      <c r="H3" s="123">
        <f>'S4 - LCIA results scenario1'!J3</f>
        <v>2698651.6067900001</v>
      </c>
      <c r="I3" s="123">
        <f>'S4 - LCIA results scenario1'!K3</f>
        <v>88249.946183213237</v>
      </c>
      <c r="J3" s="123">
        <f>'S4 - LCIA results scenario1'!L3</f>
        <v>124225.02995835294</v>
      </c>
      <c r="K3" s="123">
        <f>'S4 - LCIA results scenario1'!M3</f>
        <v>2339846.994150294</v>
      </c>
      <c r="L3" s="123">
        <f>'S4 - LCIA results scenario1'!N3</f>
        <v>1122.5588435950215</v>
      </c>
      <c r="M3" s="123">
        <f>'S4 - LCIA results scenario1'!O3</f>
        <v>488.37060760091987</v>
      </c>
      <c r="N3" s="123">
        <f>'S4 - LCIA results scenario1'!P3</f>
        <v>19.797432934427942</v>
      </c>
      <c r="O3" s="123">
        <f>'S4 - LCIA results scenario1'!Q3</f>
        <v>3134.8106749271215</v>
      </c>
      <c r="P3" s="123">
        <f>'S4 - LCIA results scenario1'!R3</f>
        <v>49919.20322427206</v>
      </c>
      <c r="Q3" s="123">
        <f>'S4 - LCIA results scenario1'!S3</f>
        <v>6220.8193103522772</v>
      </c>
      <c r="R3" s="125">
        <f>'S4 - LCIA results scenario1'!T3</f>
        <v>2771.9987209653709</v>
      </c>
    </row>
    <row r="4" spans="1:18" ht="12.5" x14ac:dyDescent="0.25">
      <c r="A4" s="79" t="s">
        <v>867</v>
      </c>
      <c r="B4" s="123">
        <f>'S5 - LCIA results scenario2'!D3</f>
        <v>16427.220067286373</v>
      </c>
      <c r="C4" s="124">
        <f>'S5 - LCIA results scenario2'!E3</f>
        <v>1.3915332228045037E-2</v>
      </c>
      <c r="D4" s="123">
        <f>'S5 - LCIA results scenario2'!F3</f>
        <v>50.809674938755379</v>
      </c>
      <c r="E4" s="123">
        <f>'S5 - LCIA results scenario2'!G3</f>
        <v>43.231190972748422</v>
      </c>
      <c r="F4" s="123">
        <f>'S5 - LCIA results scenario2'!H3</f>
        <v>33848.144834998981</v>
      </c>
      <c r="G4" s="123">
        <f>'S5 - LCIA results scenario2'!I3</f>
        <v>2455.4437384001035</v>
      </c>
      <c r="H4" s="123">
        <f>'S5 - LCIA results scenario2'!J3</f>
        <v>240255.87529319298</v>
      </c>
      <c r="I4" s="123">
        <f>'S5 - LCIA results scenario2'!K3</f>
        <v>8131.3086055366821</v>
      </c>
      <c r="J4" s="123">
        <f>'S5 - LCIA results scenario2'!L3</f>
        <v>11292.946438266736</v>
      </c>
      <c r="K4" s="123">
        <f>'S5 - LCIA results scenario2'!M3</f>
        <v>250781.32788940839</v>
      </c>
      <c r="L4" s="123">
        <f>'S5 - LCIA results scenario2'!N3</f>
        <v>93.699042307588527</v>
      </c>
      <c r="M4" s="123">
        <f>'S5 - LCIA results scenario2'!O3</f>
        <v>42.834208768330406</v>
      </c>
      <c r="N4" s="123">
        <f>'S5 - LCIA results scenario2'!P3</f>
        <v>1.9813391290726714</v>
      </c>
      <c r="O4" s="123">
        <f>'S5 - LCIA results scenario2'!Q3</f>
        <v>240.62237757394226</v>
      </c>
      <c r="P4" s="123">
        <f>'S5 - LCIA results scenario2'!R3</f>
        <v>4239.4190145809844</v>
      </c>
      <c r="Q4" s="123">
        <f>'S5 - LCIA results scenario2'!S3</f>
        <v>481.10613161050929</v>
      </c>
      <c r="R4" s="125">
        <f>'S5 - LCIA results scenario2'!T3</f>
        <v>307.48958936750751</v>
      </c>
    </row>
    <row r="5" spans="1:18" ht="13" x14ac:dyDescent="0.3">
      <c r="A5" s="92" t="s">
        <v>868</v>
      </c>
      <c r="B5" s="80"/>
      <c r="C5" s="80"/>
      <c r="D5" s="80"/>
      <c r="E5" s="80"/>
      <c r="F5" s="123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103"/>
    </row>
    <row r="6" spans="1:18" ht="12.5" x14ac:dyDescent="0.25">
      <c r="A6" s="79" t="s">
        <v>866</v>
      </c>
      <c r="B6" s="126">
        <f t="shared" ref="B6:R7" si="0">B3/(MAX(B$3:B$4))</f>
        <v>1</v>
      </c>
      <c r="C6" s="126">
        <f t="shared" si="0"/>
        <v>1</v>
      </c>
      <c r="D6" s="126">
        <f t="shared" si="0"/>
        <v>1</v>
      </c>
      <c r="E6" s="126">
        <f t="shared" si="0"/>
        <v>1</v>
      </c>
      <c r="F6" s="126">
        <f t="shared" si="0"/>
        <v>1</v>
      </c>
      <c r="G6" s="126">
        <f t="shared" si="0"/>
        <v>1</v>
      </c>
      <c r="H6" s="126">
        <f t="shared" si="0"/>
        <v>1</v>
      </c>
      <c r="I6" s="126">
        <f t="shared" si="0"/>
        <v>1</v>
      </c>
      <c r="J6" s="126">
        <f t="shared" si="0"/>
        <v>1</v>
      </c>
      <c r="K6" s="126">
        <f t="shared" si="0"/>
        <v>1</v>
      </c>
      <c r="L6" s="126">
        <f t="shared" si="0"/>
        <v>1</v>
      </c>
      <c r="M6" s="126">
        <f t="shared" si="0"/>
        <v>1</v>
      </c>
      <c r="N6" s="126">
        <f t="shared" si="0"/>
        <v>1</v>
      </c>
      <c r="O6" s="126">
        <f t="shared" si="0"/>
        <v>1</v>
      </c>
      <c r="P6" s="126">
        <f t="shared" si="0"/>
        <v>1</v>
      </c>
      <c r="Q6" s="126">
        <f t="shared" si="0"/>
        <v>1</v>
      </c>
      <c r="R6" s="127">
        <f t="shared" si="0"/>
        <v>1</v>
      </c>
    </row>
    <row r="7" spans="1:18" ht="12.5" x14ac:dyDescent="0.25">
      <c r="A7" s="83" t="s">
        <v>867</v>
      </c>
      <c r="B7" s="128">
        <f t="shared" si="0"/>
        <v>8.4433125589911562E-2</v>
      </c>
      <c r="C7" s="128">
        <f t="shared" si="0"/>
        <v>9.8792978476777399E-2</v>
      </c>
      <c r="D7" s="128">
        <f t="shared" si="0"/>
        <v>8.1925144112890327E-2</v>
      </c>
      <c r="E7" s="128">
        <f t="shared" si="0"/>
        <v>8.3380059481650379E-2</v>
      </c>
      <c r="F7" s="128">
        <f t="shared" si="0"/>
        <v>0.15987052222974069</v>
      </c>
      <c r="G7" s="128">
        <f t="shared" si="0"/>
        <v>7.8034852310347902E-2</v>
      </c>
      <c r="H7" s="128">
        <f t="shared" si="0"/>
        <v>8.902811859400156E-2</v>
      </c>
      <c r="I7" s="128">
        <f t="shared" si="0"/>
        <v>9.2139530472409581E-2</v>
      </c>
      <c r="J7" s="128">
        <f t="shared" si="0"/>
        <v>9.0907174198732343E-2</v>
      </c>
      <c r="K7" s="128">
        <f t="shared" si="0"/>
        <v>0.10717851573900823</v>
      </c>
      <c r="L7" s="128">
        <f t="shared" si="0"/>
        <v>8.3469158736939886E-2</v>
      </c>
      <c r="M7" s="128">
        <f t="shared" si="0"/>
        <v>8.7708408535783725E-2</v>
      </c>
      <c r="N7" s="128">
        <f t="shared" si="0"/>
        <v>0.1000806082099211</v>
      </c>
      <c r="O7" s="128">
        <f t="shared" si="0"/>
        <v>7.6758184951483968E-2</v>
      </c>
      <c r="P7" s="128">
        <f t="shared" si="0"/>
        <v>8.4925614608361066E-2</v>
      </c>
      <c r="Q7" s="128">
        <f t="shared" si="0"/>
        <v>7.7338065551893501E-2</v>
      </c>
      <c r="R7" s="129">
        <f t="shared" si="0"/>
        <v>0.11092703147439469</v>
      </c>
    </row>
    <row r="8" spans="1:18" s="1" customFormat="1" ht="12.5" x14ac:dyDescent="0.25">
      <c r="A8" s="74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</row>
    <row r="9" spans="1:18" ht="15.75" customHeight="1" x14ac:dyDescent="0.3">
      <c r="A9" s="267" t="s">
        <v>967</v>
      </c>
      <c r="B9" s="374" t="s">
        <v>869</v>
      </c>
      <c r="C9" s="374"/>
      <c r="D9" s="374"/>
      <c r="E9" s="131"/>
      <c r="F9" s="374" t="s">
        <v>870</v>
      </c>
      <c r="G9" s="374"/>
      <c r="H9" s="374"/>
      <c r="I9" s="131"/>
      <c r="J9" s="374" t="s">
        <v>871</v>
      </c>
      <c r="K9" s="374"/>
      <c r="L9" s="374"/>
      <c r="M9" s="131"/>
      <c r="N9" s="131"/>
      <c r="O9" s="132"/>
    </row>
    <row r="10" spans="1:18" ht="15.75" customHeight="1" x14ac:dyDescent="0.3">
      <c r="A10" s="92" t="s">
        <v>872</v>
      </c>
      <c r="B10" s="133" t="s">
        <v>873</v>
      </c>
      <c r="C10" s="133" t="s">
        <v>874</v>
      </c>
      <c r="D10" s="133" t="s">
        <v>875</v>
      </c>
      <c r="E10" s="1"/>
      <c r="F10" s="133" t="s">
        <v>873</v>
      </c>
      <c r="G10" s="133" t="s">
        <v>874</v>
      </c>
      <c r="H10" s="133" t="s">
        <v>875</v>
      </c>
      <c r="I10" s="1"/>
      <c r="J10" s="133" t="s">
        <v>873</v>
      </c>
      <c r="K10" s="133" t="s">
        <v>874</v>
      </c>
      <c r="L10" s="133" t="s">
        <v>875</v>
      </c>
      <c r="M10" s="1"/>
      <c r="N10" s="80"/>
      <c r="O10" s="103" t="s">
        <v>876</v>
      </c>
    </row>
    <row r="11" spans="1:18" ht="15.75" customHeight="1" x14ac:dyDescent="0.25">
      <c r="A11" s="79" t="s">
        <v>877</v>
      </c>
      <c r="B11" s="134">
        <f>SUM('S4 - LCIA results scenario1'!$D$28:$D$33)</f>
        <v>176682.92089999997</v>
      </c>
      <c r="C11" s="134">
        <f>SUM('S5 - LCIA results scenario2'!D49:D50)</f>
        <v>13448.3626575</v>
      </c>
      <c r="D11" s="134">
        <f>SUM(B17:B22)*1200+SUM(C17:C22)*8</f>
        <v>23684.910080000001</v>
      </c>
      <c r="E11" s="1"/>
      <c r="F11" s="134">
        <f>B11</f>
        <v>176682.92089999997</v>
      </c>
      <c r="G11" s="134">
        <f>C11</f>
        <v>13448.3626575</v>
      </c>
      <c r="H11" s="134">
        <f>D11</f>
        <v>23684.910080000001</v>
      </c>
      <c r="I11" s="1"/>
      <c r="J11" s="134">
        <f>F11</f>
        <v>176682.92089999997</v>
      </c>
      <c r="K11" s="134">
        <f>G11</f>
        <v>13448.3626575</v>
      </c>
      <c r="L11" s="134">
        <f>H11</f>
        <v>23684.910080000001</v>
      </c>
      <c r="M11" s="1"/>
      <c r="N11" s="80" t="s">
        <v>878</v>
      </c>
      <c r="O11" s="103">
        <v>58.95</v>
      </c>
    </row>
    <row r="12" spans="1:18" ht="15.75" customHeight="1" x14ac:dyDescent="0.25">
      <c r="A12" s="79" t="s">
        <v>118</v>
      </c>
      <c r="B12" s="134">
        <f>'S4 - LCIA results scenario1'!$D$34</f>
        <v>17875.947717661762</v>
      </c>
      <c r="C12" s="134">
        <f>'S5 - LCIA results scenario2'!D51</f>
        <v>2978.857409786372</v>
      </c>
      <c r="D12" s="134">
        <f>B23*600+C23*6</f>
        <v>2978.857409786372</v>
      </c>
      <c r="E12" s="1"/>
      <c r="F12" s="134">
        <f>B12/$O$11*$O$12</f>
        <v>135256.78914310184</v>
      </c>
      <c r="G12" s="134">
        <f>C12/$O$11*$O$12</f>
        <v>22539.263088398868</v>
      </c>
      <c r="H12" s="134">
        <f>D12/$O$11*$O$12</f>
        <v>22539.263088398868</v>
      </c>
      <c r="I12" s="1"/>
      <c r="J12" s="134">
        <f>B12/$O$11*$O$13</f>
        <v>327634.7364130221</v>
      </c>
      <c r="K12" s="134">
        <f>C12/$O$11*$O$13</f>
        <v>54597.226266389916</v>
      </c>
      <c r="L12" s="134">
        <f>D12/$O$11*$O$13</f>
        <v>54597.226266389916</v>
      </c>
      <c r="M12" s="1"/>
      <c r="N12" s="80" t="s">
        <v>879</v>
      </c>
      <c r="O12" s="103">
        <v>446.04</v>
      </c>
    </row>
    <row r="13" spans="1:18" ht="15.75" customHeight="1" x14ac:dyDescent="0.25">
      <c r="A13" s="83" t="s">
        <v>880</v>
      </c>
      <c r="B13" s="121">
        <f>(SUM($B$11:$B$12)-SUM(B11:B12))/SUM($B$11:$B$12)</f>
        <v>0</v>
      </c>
      <c r="C13" s="121">
        <f>(SUM($B$11:$B$12)-SUM(C11:C12))/SUM($B$11:$B$12)</f>
        <v>0.91556684008289335</v>
      </c>
      <c r="D13" s="121">
        <f>(SUM($B$11:$B$12)-SUM(D11:D12))/SUM($B$11:$B$12)</f>
        <v>0.86295270074691477</v>
      </c>
      <c r="E13" s="135"/>
      <c r="F13" s="135"/>
      <c r="G13" s="135"/>
      <c r="H13" s="135"/>
      <c r="I13" s="135"/>
      <c r="J13" s="135"/>
      <c r="K13" s="135"/>
      <c r="L13" s="135"/>
      <c r="M13" s="135"/>
      <c r="N13" s="85" t="s">
        <v>881</v>
      </c>
      <c r="O13" s="106">
        <v>1080.45</v>
      </c>
    </row>
    <row r="14" spans="1:18" s="1" customFormat="1" ht="15.75" customHeight="1" x14ac:dyDescent="0.25">
      <c r="A14" s="74"/>
      <c r="B14" s="136"/>
      <c r="C14" s="136"/>
      <c r="D14" s="136"/>
    </row>
    <row r="15" spans="1:18" ht="15.75" customHeight="1" x14ac:dyDescent="0.3">
      <c r="A15" s="265" t="s">
        <v>968</v>
      </c>
    </row>
    <row r="16" spans="1:18" ht="15.75" customHeight="1" x14ac:dyDescent="0.3">
      <c r="A16" s="76" t="s">
        <v>882</v>
      </c>
      <c r="B16" s="100" t="s">
        <v>883</v>
      </c>
      <c r="C16" s="100" t="s">
        <v>884</v>
      </c>
      <c r="D16" s="100" t="s">
        <v>885</v>
      </c>
      <c r="E16" s="100" t="s">
        <v>886</v>
      </c>
      <c r="F16" s="137" t="s">
        <v>887</v>
      </c>
      <c r="H16" s="97">
        <f>B3/5</f>
        <v>38911.789543532352</v>
      </c>
    </row>
    <row r="17" spans="1:8" ht="15.75" customHeight="1" x14ac:dyDescent="0.25">
      <c r="A17" s="138" t="s">
        <v>0</v>
      </c>
      <c r="B17" s="139">
        <f>'S5 - LCIA results scenario2'!D64/600</f>
        <v>11.570926233333335</v>
      </c>
      <c r="C17" s="139">
        <f>'S5 - LCIA results scenario2'!D71/6</f>
        <v>692.35348875</v>
      </c>
      <c r="D17" s="139">
        <f>'S4 - LCIA results scenario1'!D28/600</f>
        <v>248.17111331666663</v>
      </c>
      <c r="E17" s="116">
        <f>E24-SUM(E18:E23)</f>
        <v>279.91199999999998</v>
      </c>
      <c r="F17" s="140"/>
      <c r="H17" s="97">
        <f>B4/5</f>
        <v>3285.4440134572747</v>
      </c>
    </row>
    <row r="18" spans="1:8" ht="15.75" customHeight="1" x14ac:dyDescent="0.25">
      <c r="A18" s="138" t="s">
        <v>61</v>
      </c>
      <c r="B18" s="139">
        <f>'S5 - LCIA results scenario2'!D65/600</f>
        <v>2.7014406000000002</v>
      </c>
      <c r="C18" s="139">
        <f>'S5 - LCIA results scenario2'!D72/6</f>
        <v>59.085338749999998</v>
      </c>
      <c r="D18" s="139">
        <f>'S4 - LCIA results scenario1'!D29/600</f>
        <v>28.075499999999998</v>
      </c>
      <c r="E18" s="139">
        <f t="shared" ref="E18:E23" si="1">F18*$E$24</f>
        <v>28.89</v>
      </c>
      <c r="F18" s="140">
        <f>0.045</f>
        <v>4.4999999999999998E-2</v>
      </c>
    </row>
    <row r="19" spans="1:8" ht="15.75" customHeight="1" x14ac:dyDescent="0.25">
      <c r="A19" s="138" t="s">
        <v>90</v>
      </c>
      <c r="B19" s="139">
        <f>'S5 - LCIA results scenario2'!D66/600</f>
        <v>2.7276716666666669E-2</v>
      </c>
      <c r="C19" s="139">
        <f>'S5 - LCIA results scenario2'!D73/6</f>
        <v>15.66016125</v>
      </c>
      <c r="D19" s="139">
        <f>'S4 - LCIA results scenario1'!D30/600</f>
        <v>4.5535163833333323</v>
      </c>
      <c r="E19" s="139">
        <f t="shared" si="1"/>
        <v>0</v>
      </c>
      <c r="F19" s="140"/>
    </row>
    <row r="20" spans="1:8" ht="15.75" customHeight="1" x14ac:dyDescent="0.25">
      <c r="A20" s="138" t="s">
        <v>100</v>
      </c>
      <c r="B20" s="139">
        <f>'S5 - LCIA results scenario2'!D67/600</f>
        <v>1.3835433333333333E-2</v>
      </c>
      <c r="C20" s="139">
        <f>'S5 - LCIA results scenario2'!D74/6</f>
        <v>5.6141712499999992</v>
      </c>
      <c r="D20" s="139">
        <f>'S4 - LCIA results scenario1'!D31/600</f>
        <v>2.0059292333333332</v>
      </c>
      <c r="E20" s="139">
        <f t="shared" si="1"/>
        <v>3.8519999999999999</v>
      </c>
      <c r="F20" s="140">
        <f>0.006</f>
        <v>6.0000000000000001E-3</v>
      </c>
    </row>
    <row r="21" spans="1:8" ht="15.75" customHeight="1" x14ac:dyDescent="0.25">
      <c r="A21" s="138" t="s">
        <v>108</v>
      </c>
      <c r="B21" s="139">
        <f>'S5 - LCIA results scenario2'!D68/600</f>
        <v>3.4364333333333337E-2</v>
      </c>
      <c r="C21" s="139">
        <f>'S5 - LCIA results scenario2'!D75/6</f>
        <v>15.160728749999999</v>
      </c>
      <c r="D21" s="139">
        <f>'S4 - LCIA results scenario1'!D32/600</f>
        <v>5.5589342000000004</v>
      </c>
      <c r="E21" s="139">
        <f t="shared" si="1"/>
        <v>28.89</v>
      </c>
      <c r="F21" s="140">
        <v>4.4999999999999998E-2</v>
      </c>
    </row>
    <row r="22" spans="1:8" ht="15.75" customHeight="1" x14ac:dyDescent="0.25">
      <c r="A22" s="138" t="s">
        <v>819</v>
      </c>
      <c r="B22" s="139">
        <f>'S5 - LCIA results scenario2'!D69/600</f>
        <v>3.6556249999999998E-2</v>
      </c>
      <c r="C22" s="139">
        <f>'S5 - LCIA results scenario2'!D76/6</f>
        <v>15.079936250000001</v>
      </c>
      <c r="D22" s="139">
        <f>'S4 - LCIA results scenario1'!D33/600</f>
        <v>6.1065416999999993</v>
      </c>
      <c r="E22" s="139">
        <f t="shared" si="1"/>
        <v>3.8519999999999999</v>
      </c>
      <c r="F22" s="140">
        <v>6.0000000000000001E-3</v>
      </c>
    </row>
    <row r="23" spans="1:8" ht="15.75" customHeight="1" x14ac:dyDescent="0.25">
      <c r="A23" s="138" t="s">
        <v>820</v>
      </c>
      <c r="B23" s="139">
        <f>'S5 - LCIA results scenario2'!$D$51*'LCIA raw results SC2'!L4/'LCIA raw results SC2'!L5/600</f>
        <v>2.8658499743127952</v>
      </c>
      <c r="C23" s="139">
        <f>'S5 - LCIA results scenario2'!$D$51*'LCIA raw results SC2'!L3/'LCIA raw results SC2'!L5/6</f>
        <v>209.89123753311586</v>
      </c>
      <c r="D23" s="139">
        <f>'S4 - LCIA results scenario1'!D34/600</f>
        <v>29.793246196102938</v>
      </c>
      <c r="E23" s="139">
        <f t="shared" si="1"/>
        <v>296.60400000000004</v>
      </c>
      <c r="F23" s="140">
        <v>0.46200000000000002</v>
      </c>
    </row>
    <row r="24" spans="1:8" ht="15.75" customHeight="1" x14ac:dyDescent="0.25">
      <c r="A24" s="105" t="s">
        <v>888</v>
      </c>
      <c r="B24" s="141">
        <f>SUM(B17:B23)</f>
        <v>17.250249540979464</v>
      </c>
      <c r="C24" s="141">
        <f>SUM(C17:C23)</f>
        <v>1012.8450625331158</v>
      </c>
      <c r="D24" s="141">
        <f>SUM(D17:D23)</f>
        <v>324.26478102943622</v>
      </c>
      <c r="E24" s="85">
        <v>642</v>
      </c>
      <c r="F24" s="106"/>
    </row>
    <row r="45" spans="5:5" ht="15.75" customHeight="1" x14ac:dyDescent="0.25">
      <c r="E45">
        <v>0.5</v>
      </c>
    </row>
  </sheetData>
  <mergeCells count="3">
    <mergeCell ref="B9:D9"/>
    <mergeCell ref="F9:H9"/>
    <mergeCell ref="J9:L9"/>
  </mergeCells>
  <conditionalFormatting sqref="B3:B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{00BF00F4-00EC-4877-8332-009A009C00CC}</x14:id>
        </ext>
      </extLst>
    </cfRule>
  </conditionalFormatting>
  <conditionalFormatting sqref="C3:C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{00980044-00A5-4B64-813A-004C00210080}</x14:id>
        </ext>
      </extLst>
    </cfRule>
  </conditionalFormatting>
  <conditionalFormatting sqref="D3:D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{0064008C-00C7-468C-BA2F-0030000500CC}</x14:id>
        </ext>
      </extLst>
    </cfRule>
  </conditionalFormatting>
  <conditionalFormatting sqref="E3:E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{00220085-000D-4656-95DD-004100740015}</x14:id>
        </ext>
      </extLst>
    </cfRule>
  </conditionalFormatting>
  <conditionalFormatting sqref="F3:F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{008C00DF-0076-440B-8A9F-0082001F00A9}</x14:id>
        </ext>
      </extLst>
    </cfRule>
  </conditionalFormatting>
  <conditionalFormatting sqref="G3:G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{009C0094-0077-47D0-A167-0033002B0097}</x14:id>
        </ext>
      </extLst>
    </cfRule>
  </conditionalFormatting>
  <conditionalFormatting sqref="H3:H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{00A0006C-0098-4B8B-9584-000C00C4007C}</x14:id>
        </ext>
      </extLst>
    </cfRule>
  </conditionalFormatting>
  <conditionalFormatting sqref="I3:I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{00630085-0090-40BA-AF50-000B00AD000D}</x14:id>
        </ext>
      </extLst>
    </cfRule>
  </conditionalFormatting>
  <conditionalFormatting sqref="J3:J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{00150046-0062-407E-A599-0083000700AF}</x14:id>
        </ext>
      </extLst>
    </cfRule>
  </conditionalFormatting>
  <conditionalFormatting sqref="K3:K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{006D00FA-00A5-44F1-BD37-00110079008D}</x14:id>
        </ext>
      </extLst>
    </cfRule>
  </conditionalFormatting>
  <conditionalFormatting sqref="L3:L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{00AC0095-00E2-449F-AAC0-007600060069}</x14:id>
        </ext>
      </extLst>
    </cfRule>
  </conditionalFormatting>
  <conditionalFormatting sqref="M3:M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{00DF00AE-0094-4730-AED8-000F00A00090}</x14:id>
        </ext>
      </extLst>
    </cfRule>
  </conditionalFormatting>
  <conditionalFormatting sqref="N3:N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{0021002F-00E0-4C94-BC78-00990031009B}</x14:id>
        </ext>
      </extLst>
    </cfRule>
  </conditionalFormatting>
  <conditionalFormatting sqref="O3:O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{004F00B8-0079-48E6-A4FF-007F00400059}</x14:id>
        </ext>
      </extLst>
    </cfRule>
  </conditionalFormatting>
  <conditionalFormatting sqref="P3:P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{00A000CA-00D9-4C10-AC72-0044002E007F}</x14:id>
        </ext>
      </extLst>
    </cfRule>
  </conditionalFormatting>
  <conditionalFormatting sqref="Q3:Q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{00090088-0099-436D-A4ED-00EB00D90079}</x14:id>
        </ext>
      </extLst>
    </cfRule>
  </conditionalFormatting>
  <conditionalFormatting sqref="R3:R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{005B0080-0051-4901-962F-0022002100CA}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BF00F4-00EC-4877-8332-009A009C00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B3:B4</xm:sqref>
        </x14:conditionalFormatting>
        <x14:conditionalFormatting xmlns:xm="http://schemas.microsoft.com/office/excel/2006/main">
          <x14:cfRule type="dataBar" id="{00980044-00A5-4B64-813A-004C002100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C3:C4</xm:sqref>
        </x14:conditionalFormatting>
        <x14:conditionalFormatting xmlns:xm="http://schemas.microsoft.com/office/excel/2006/main">
          <x14:cfRule type="dataBar" id="{0064008C-00C7-468C-BA2F-0030000500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D3:D4</xm:sqref>
        </x14:conditionalFormatting>
        <x14:conditionalFormatting xmlns:xm="http://schemas.microsoft.com/office/excel/2006/main">
          <x14:cfRule type="dataBar" id="{00220085-000D-4656-95DD-0041007400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E3:E4</xm:sqref>
        </x14:conditionalFormatting>
        <x14:conditionalFormatting xmlns:xm="http://schemas.microsoft.com/office/excel/2006/main">
          <x14:cfRule type="dataBar" id="{008C00DF-0076-440B-8A9F-0082001F00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F3:F5</xm:sqref>
        </x14:conditionalFormatting>
        <x14:conditionalFormatting xmlns:xm="http://schemas.microsoft.com/office/excel/2006/main">
          <x14:cfRule type="dataBar" id="{009C0094-0077-47D0-A167-0033002B00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G3:G4</xm:sqref>
        </x14:conditionalFormatting>
        <x14:conditionalFormatting xmlns:xm="http://schemas.microsoft.com/office/excel/2006/main">
          <x14:cfRule type="dataBar" id="{00A0006C-0098-4B8B-9584-000C00C400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H3:H4</xm:sqref>
        </x14:conditionalFormatting>
        <x14:conditionalFormatting xmlns:xm="http://schemas.microsoft.com/office/excel/2006/main">
          <x14:cfRule type="dataBar" id="{00630085-0090-40BA-AF50-000B00AD00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I3:I4</xm:sqref>
        </x14:conditionalFormatting>
        <x14:conditionalFormatting xmlns:xm="http://schemas.microsoft.com/office/excel/2006/main">
          <x14:cfRule type="dataBar" id="{00150046-0062-407E-A599-0083000700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J3:J4</xm:sqref>
        </x14:conditionalFormatting>
        <x14:conditionalFormatting xmlns:xm="http://schemas.microsoft.com/office/excel/2006/main">
          <x14:cfRule type="dataBar" id="{006D00FA-00A5-44F1-BD37-0011007900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K3:K4</xm:sqref>
        </x14:conditionalFormatting>
        <x14:conditionalFormatting xmlns:xm="http://schemas.microsoft.com/office/excel/2006/main">
          <x14:cfRule type="dataBar" id="{00AC0095-00E2-449F-AAC0-0076000600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L3:L4</xm:sqref>
        </x14:conditionalFormatting>
        <x14:conditionalFormatting xmlns:xm="http://schemas.microsoft.com/office/excel/2006/main">
          <x14:cfRule type="dataBar" id="{00DF00AE-0094-4730-AED8-000F00A000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M3:M4</xm:sqref>
        </x14:conditionalFormatting>
        <x14:conditionalFormatting xmlns:xm="http://schemas.microsoft.com/office/excel/2006/main">
          <x14:cfRule type="dataBar" id="{0021002F-00E0-4C94-BC78-0099003100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N3:N4</xm:sqref>
        </x14:conditionalFormatting>
        <x14:conditionalFormatting xmlns:xm="http://schemas.microsoft.com/office/excel/2006/main">
          <x14:cfRule type="dataBar" id="{004F00B8-0079-48E6-A4FF-007F004000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O3:O4</xm:sqref>
        </x14:conditionalFormatting>
        <x14:conditionalFormatting xmlns:xm="http://schemas.microsoft.com/office/excel/2006/main">
          <x14:cfRule type="dataBar" id="{00A000CA-00D9-4C10-AC72-0044002E00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P3:P4</xm:sqref>
        </x14:conditionalFormatting>
        <x14:conditionalFormatting xmlns:xm="http://schemas.microsoft.com/office/excel/2006/main">
          <x14:cfRule type="dataBar" id="{00090088-0099-436D-A4ED-00EB00D900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Q3:Q4</xm:sqref>
        </x14:conditionalFormatting>
        <x14:conditionalFormatting xmlns:xm="http://schemas.microsoft.com/office/excel/2006/main">
          <x14:cfRule type="dataBar" id="{005B0080-0051-4901-962F-002200210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indexed="2"/>
              <x14:negativeBorderColor indexed="2"/>
              <x14:axisColor indexed="64"/>
            </x14:dataBar>
          </x14:cfRule>
          <xm:sqref>R3:R4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zoomScale="85" zoomScaleNormal="85" workbookViewId="0">
      <selection activeCell="F38" sqref="F38"/>
    </sheetView>
  </sheetViews>
  <sheetFormatPr baseColWidth="10" defaultRowHeight="12.5" x14ac:dyDescent="0.25"/>
  <cols>
    <col min="1" max="1" width="37.453125" bestFit="1" customWidth="1"/>
    <col min="2" max="2" width="10.54296875" style="1" customWidth="1"/>
    <col min="3" max="4" width="12.81640625" bestFit="1" customWidth="1"/>
    <col min="5" max="5" width="14.26953125" customWidth="1"/>
  </cols>
  <sheetData>
    <row r="1" spans="1:5" x14ac:dyDescent="0.25">
      <c r="C1" t="s">
        <v>988</v>
      </c>
      <c r="D1" t="s">
        <v>987</v>
      </c>
      <c r="E1" t="s">
        <v>986</v>
      </c>
    </row>
    <row r="2" spans="1:5" x14ac:dyDescent="0.25">
      <c r="A2" t="s">
        <v>970</v>
      </c>
      <c r="C2" s="272">
        <v>600</v>
      </c>
      <c r="D2" s="272">
        <v>600</v>
      </c>
      <c r="E2" s="272">
        <v>1200</v>
      </c>
    </row>
    <row r="3" spans="1:5" x14ac:dyDescent="0.25">
      <c r="A3" t="s">
        <v>971</v>
      </c>
      <c r="C3" s="272">
        <v>0</v>
      </c>
      <c r="D3" s="272">
        <v>6</v>
      </c>
      <c r="E3" s="272">
        <v>0</v>
      </c>
    </row>
    <row r="4" spans="1:5" x14ac:dyDescent="0.25">
      <c r="A4" s="275" t="s">
        <v>990</v>
      </c>
      <c r="B4" s="275"/>
      <c r="C4" s="272">
        <f>SUM('S6 - LCIA Comparison sc1-2'!D17:D22)</f>
        <v>294.47153483333329</v>
      </c>
      <c r="D4" s="272">
        <f>SUM('S6 - LCIA Comparison sc1-2'!B17:B22)</f>
        <v>14.384399566666668</v>
      </c>
      <c r="E4" s="272">
        <v>257</v>
      </c>
    </row>
    <row r="5" spans="1:5" x14ac:dyDescent="0.25">
      <c r="A5" s="275" t="s">
        <v>976</v>
      </c>
      <c r="B5" s="275"/>
      <c r="C5" s="272">
        <f>0.5*(361*0.75)+0.5*(441*0.75)</f>
        <v>300.75</v>
      </c>
      <c r="D5" s="272">
        <f>0.5*(361*0.75)+0.5*(441*0.75)</f>
        <v>300.75</v>
      </c>
      <c r="E5" s="272"/>
    </row>
    <row r="6" spans="1:5" x14ac:dyDescent="0.25">
      <c r="A6" s="275" t="s">
        <v>977</v>
      </c>
      <c r="B6" s="275"/>
      <c r="C6" s="272"/>
      <c r="D6" s="272">
        <f>SUM('S6 - LCIA Comparison sc1-2'!C17:C22)</f>
        <v>802.95382499999994</v>
      </c>
      <c r="E6" s="272"/>
    </row>
    <row r="7" spans="1:5" s="1" customFormat="1" x14ac:dyDescent="0.25">
      <c r="A7" s="275" t="s">
        <v>980</v>
      </c>
      <c r="B7" s="275"/>
      <c r="C7" s="272">
        <v>24</v>
      </c>
      <c r="D7" s="272">
        <v>24</v>
      </c>
      <c r="E7" s="272"/>
    </row>
    <row r="8" spans="1:5" s="1" customFormat="1" x14ac:dyDescent="0.25">
      <c r="A8" s="275" t="s">
        <v>981</v>
      </c>
      <c r="B8" s="275"/>
      <c r="C8" s="272">
        <v>5</v>
      </c>
      <c r="D8" s="272">
        <v>5</v>
      </c>
      <c r="E8" s="272"/>
    </row>
    <row r="9" spans="1:5" s="1" customFormat="1" x14ac:dyDescent="0.25">
      <c r="A9" s="275" t="s">
        <v>975</v>
      </c>
      <c r="B9" s="275"/>
      <c r="C9" s="271">
        <v>58.95</v>
      </c>
      <c r="D9" s="271">
        <v>58.95</v>
      </c>
      <c r="E9" s="271">
        <v>58.95</v>
      </c>
    </row>
    <row r="10" spans="1:5" s="1" customFormat="1" x14ac:dyDescent="0.25">
      <c r="A10" s="1" t="s">
        <v>1011</v>
      </c>
      <c r="C10" s="271">
        <f>SUM('S3 - Energy use'!E4:E6)</f>
        <v>101.08602</v>
      </c>
      <c r="D10" s="273">
        <f>SUM('S3 - Energy use'!H4:H6)</f>
        <v>9.7236000000000011</v>
      </c>
      <c r="E10" s="273">
        <v>24.45</v>
      </c>
    </row>
    <row r="11" spans="1:5" s="1" customFormat="1" x14ac:dyDescent="0.25">
      <c r="A11" s="1" t="s">
        <v>1016</v>
      </c>
      <c r="C11" s="271"/>
      <c r="D11" s="273">
        <f>SUM('S3 - Energy use'!J4:J6)</f>
        <v>712.14419999999996</v>
      </c>
      <c r="E11" s="273"/>
    </row>
    <row r="12" spans="1:5" s="1" customFormat="1" x14ac:dyDescent="0.25">
      <c r="A12" s="1" t="s">
        <v>1017</v>
      </c>
      <c r="C12" s="273">
        <f>35.6*0.5+28.7*0.5</f>
        <v>32.15</v>
      </c>
      <c r="D12" s="273">
        <f>35.6*0.5+28.7*0.5</f>
        <v>32.15</v>
      </c>
    </row>
    <row r="13" spans="1:5" x14ac:dyDescent="0.25">
      <c r="C13" s="272"/>
      <c r="D13" s="272"/>
      <c r="E13" s="272"/>
    </row>
    <row r="14" spans="1:5" x14ac:dyDescent="0.25">
      <c r="A14" t="s">
        <v>972</v>
      </c>
      <c r="C14" s="272">
        <f>C10*C2*5</f>
        <v>303258.06</v>
      </c>
      <c r="D14" s="272">
        <f>((D10)*D2+D3*D11)*5</f>
        <v>50535.126000000004</v>
      </c>
      <c r="E14" s="272">
        <f>E10*E2*5</f>
        <v>146700</v>
      </c>
    </row>
    <row r="15" spans="1:5" x14ac:dyDescent="0.25">
      <c r="A15" t="s">
        <v>973</v>
      </c>
      <c r="C15" s="272">
        <f>C12*C2*5</f>
        <v>96450</v>
      </c>
      <c r="D15" s="272">
        <f>D12*D2*5</f>
        <v>96450</v>
      </c>
      <c r="E15" s="272"/>
    </row>
    <row r="16" spans="1:5" x14ac:dyDescent="0.25">
      <c r="A16" t="s">
        <v>974</v>
      </c>
      <c r="C16" s="274">
        <f>SUM(C14:C15)</f>
        <v>399708.06</v>
      </c>
      <c r="D16" s="274">
        <f t="shared" ref="D16:E16" si="0">SUM(D14:D15)</f>
        <v>146985.12599999999</v>
      </c>
      <c r="E16" s="274">
        <f t="shared" si="0"/>
        <v>146700</v>
      </c>
    </row>
    <row r="17" spans="1:5" x14ac:dyDescent="0.25">
      <c r="A17" s="275" t="s">
        <v>982</v>
      </c>
      <c r="B17" s="275" t="s">
        <v>984</v>
      </c>
      <c r="C17" s="272">
        <f>C2*(C4)</f>
        <v>176682.92089999997</v>
      </c>
      <c r="D17" s="272">
        <f>D2*(D4)</f>
        <v>8630.6397400000005</v>
      </c>
      <c r="E17" s="272">
        <f>E2*(E4+E5)</f>
        <v>308400</v>
      </c>
    </row>
    <row r="18" spans="1:5" s="1" customFormat="1" x14ac:dyDescent="0.25">
      <c r="A18" s="275" t="s">
        <v>983</v>
      </c>
      <c r="B18" s="275" t="s">
        <v>985</v>
      </c>
      <c r="C18" s="272">
        <f>C2*(C5+C7+C8)</f>
        <v>197850</v>
      </c>
      <c r="D18" s="272">
        <f>D2*(D5+D7+D8)</f>
        <v>197850</v>
      </c>
      <c r="E18" s="272"/>
    </row>
    <row r="19" spans="1:5" x14ac:dyDescent="0.25">
      <c r="A19" s="275" t="s">
        <v>978</v>
      </c>
      <c r="B19" s="275" t="s">
        <v>1029</v>
      </c>
      <c r="C19" s="272">
        <f>C16*C9/1000</f>
        <v>23562.790137000004</v>
      </c>
      <c r="D19" s="272">
        <f t="shared" ref="D19:E19" si="1">D16*D9/1000</f>
        <v>8664.773177699999</v>
      </c>
      <c r="E19" s="272">
        <f t="shared" si="1"/>
        <v>8647.9650000000001</v>
      </c>
    </row>
    <row r="20" spans="1:5" x14ac:dyDescent="0.25">
      <c r="A20" s="275" t="s">
        <v>979</v>
      </c>
      <c r="B20" s="275"/>
      <c r="C20" s="274">
        <f>SUM(C17:C19)</f>
        <v>398095.71103699994</v>
      </c>
      <c r="D20" s="274">
        <f t="shared" ref="D20:E20" si="2">SUM(D17:D19)</f>
        <v>215145.41291770001</v>
      </c>
      <c r="E20" s="274">
        <f t="shared" si="2"/>
        <v>317047.96500000003</v>
      </c>
    </row>
    <row r="24" spans="1:5" ht="13" x14ac:dyDescent="0.3">
      <c r="A24" s="257" t="s">
        <v>989</v>
      </c>
    </row>
    <row r="25" spans="1:5" x14ac:dyDescent="0.25">
      <c r="A25" t="s">
        <v>1018</v>
      </c>
      <c r="B25" s="270" t="s">
        <v>1019</v>
      </c>
      <c r="D25" s="272"/>
    </row>
    <row r="26" spans="1:5" x14ac:dyDescent="0.25">
      <c r="A26" t="s">
        <v>1015</v>
      </c>
      <c r="B26" s="270" t="s">
        <v>1012</v>
      </c>
    </row>
    <row r="27" spans="1:5" x14ac:dyDescent="0.25">
      <c r="A27" t="s">
        <v>1014</v>
      </c>
      <c r="B27" s="270" t="s">
        <v>1013</v>
      </c>
    </row>
    <row r="30" spans="1:5" x14ac:dyDescent="0.25">
      <c r="C30" s="275"/>
    </row>
  </sheetData>
  <hyperlinks>
    <hyperlink ref="B26" r:id="rId1" xr:uid="{00000000-0004-0000-0800-000000000000}"/>
    <hyperlink ref="B27" r:id="rId2" xr:uid="{00000000-0004-0000-0800-000001000000}"/>
  </hyperlinks>
  <pageMargins left="0.7" right="0.7" top="0.75" bottom="0.75" header="0.3" footer="0.3"/>
  <pageSetup paperSize="9" orientation="portrait" horizontalDpi="4294967295" verticalDpi="4294967295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S1 - LCI tables (S1.1-7)</vt:lpstr>
      <vt:lpstr>S2 - Chassis info (S2.1-6)</vt:lpstr>
      <vt:lpstr>S3 - Energy use</vt:lpstr>
      <vt:lpstr>LCIA raw results SC1</vt:lpstr>
      <vt:lpstr>LCIA raw results SC2</vt:lpstr>
      <vt:lpstr>S4 - LCIA results scenario1</vt:lpstr>
      <vt:lpstr>S5 - LCIA results scenario2</vt:lpstr>
      <vt:lpstr>S6 - LCIA Comparison sc1-2</vt:lpstr>
      <vt:lpstr>S7 - Laptop Comparison</vt:lpstr>
      <vt:lpstr>S8 - Cost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LOUBET</dc:creator>
  <cp:lastModifiedBy>Corlay, Vincent</cp:lastModifiedBy>
  <cp:revision>4</cp:revision>
  <dcterms:created xsi:type="dcterms:W3CDTF">2022-06-30T16:08:59Z</dcterms:created>
  <dcterms:modified xsi:type="dcterms:W3CDTF">2025-04-10T14:25:15Z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5f6660-0408-47d2-ae31-f46329b4bd81_Enabled">
    <vt:lpwstr>true</vt:lpwstr>
  </property>
  <property fmtid="{D5CDD505-2E9C-101B-9397-08002B2CF9AE}" pid="3" name="MSIP_Label_d55f6660-0408-47d2-ae31-f46329b4bd81_SetDate">
    <vt:lpwstr>2025-01-30T15:07:52Z</vt:lpwstr>
  </property>
  <property fmtid="{D5CDD505-2E9C-101B-9397-08002B2CF9AE}" pid="4" name="MSIP_Label_d55f6660-0408-47d2-ae31-f46329b4bd81_Method">
    <vt:lpwstr>Standard</vt:lpwstr>
  </property>
  <property fmtid="{D5CDD505-2E9C-101B-9397-08002B2CF9AE}" pid="5" name="MSIP_Label_d55f6660-0408-47d2-ae31-f46329b4bd81_Name">
    <vt:lpwstr>General</vt:lpwstr>
  </property>
  <property fmtid="{D5CDD505-2E9C-101B-9397-08002B2CF9AE}" pid="6" name="MSIP_Label_d55f6660-0408-47d2-ae31-f46329b4bd81_SiteId">
    <vt:lpwstr>1f141cfd-a6c5-4e9a-bf84-7116c141e5f4</vt:lpwstr>
  </property>
  <property fmtid="{D5CDD505-2E9C-101B-9397-08002B2CF9AE}" pid="7" name="MSIP_Label_d55f6660-0408-47d2-ae31-f46329b4bd81_ActionId">
    <vt:lpwstr>af1a03ad-5449-41a5-8961-833a48198166</vt:lpwstr>
  </property>
  <property fmtid="{D5CDD505-2E9C-101B-9397-08002B2CF9AE}" pid="8" name="MSIP_Label_d55f6660-0408-47d2-ae31-f46329b4bd81_ContentBits">
    <vt:lpwstr>0</vt:lpwstr>
  </property>
</Properties>
</file>