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GitHub\VAPEMOMO\legacy EXCEL code\"/>
    </mc:Choice>
  </mc:AlternateContent>
  <xr:revisionPtr revIDLastSave="0" documentId="13_ncr:1_{6706EDD1-473C-40B7-9D67-BF36BEF81356}" xr6:coauthVersionLast="45" xr6:coauthVersionMax="45" xr10:uidLastSave="{00000000-0000-0000-0000-000000000000}"/>
  <bookViews>
    <workbookView xWindow="930" yWindow="105" windowWidth="37470" windowHeight="16095" firstSheet="1" activeTab="1" xr2:uid="{00000000-000D-0000-FFFF-FFFF00000000}"/>
  </bookViews>
  <sheets>
    <sheet name="MOMO input" sheetId="8" r:id="rId1"/>
    <sheet name="MOMO Atmo results" sheetId="6" r:id="rId2"/>
    <sheet name="Thermo data" sheetId="7" r:id="rId3"/>
    <sheet name="fO2 from Buffer" sheetId="5" r:id="rId4"/>
  </sheets>
  <externalReferences>
    <externalReference r:id="rId5"/>
  </externalReferences>
  <definedNames>
    <definedName name="aAl2O3" localSheetId="1">'MOMO input'!$E$13</definedName>
    <definedName name="aAl2O3">'MOMO input'!$E$13</definedName>
    <definedName name="aCaO" localSheetId="1">'MOMO input'!$E$12</definedName>
    <definedName name="aCaO">'MOMO input'!$E$12</definedName>
    <definedName name="aFeO">'MOMO input'!$E$17</definedName>
    <definedName name="aK2O" localSheetId="1">'MOMO input'!$E$16</definedName>
    <definedName name="aK2O">'MOMO input'!$E$16</definedName>
    <definedName name="aMgO" localSheetId="1">'MOMO input'!$E$11</definedName>
    <definedName name="aMgO">'MOMO input'!$E$11</definedName>
    <definedName name="aNa2O" localSheetId="1">'MOMO input'!$E$15</definedName>
    <definedName name="aNa2O">'MOMO input'!$E$15</definedName>
    <definedName name="aSiO2" localSheetId="1">'MOMO input'!$E$14</definedName>
    <definedName name="aSiO2">'MOMO input'!$E$14</definedName>
    <definedName name="belowBuffer">'MOMO input'!$E$7</definedName>
    <definedName name="fO2_hiT_IW">'fO2 from Buffer'!$G$4</definedName>
    <definedName name="fO2_lowT_IW">'fO2 from Buffer'!$F$4</definedName>
    <definedName name="p_high" localSheetId="1">'MOMO Atmo results'!$Z$5</definedName>
    <definedName name="p_high">#REF!</definedName>
    <definedName name="p_low" localSheetId="1">'MOMO Atmo results'!$Y$5</definedName>
    <definedName name="p_low">#REF!</definedName>
    <definedName name="p_test" localSheetId="1">'MOMO Atmo results'!$A$3</definedName>
    <definedName name="p_test">#REF!</definedName>
    <definedName name="pO2_given">'MOMO input'!$G$7</definedName>
    <definedName name="Rgas">[1]Constants!$C$2</definedName>
    <definedName name="T_low">'MOMO input'!$I$6</definedName>
    <definedName name="T_max" localSheetId="1">'MOMO Atmo results'!$A$6</definedName>
    <definedName name="T_max">'MOMO input'!$I$7</definedName>
    <definedName name="T_melt_Al2O3" localSheetId="1">'MOMO Atmo results'!#REF!</definedName>
    <definedName name="T_melt_Al2O3">#REF!</definedName>
    <definedName name="T_melt_CaO" localSheetId="1">'MOMO Atmo results'!#REF!</definedName>
    <definedName name="T_melt_CaO">#REF!</definedName>
    <definedName name="T_melt_K2O" localSheetId="1">'MOMO Atmo results'!#REF!</definedName>
    <definedName name="T_melt_K2O">#REF!</definedName>
    <definedName name="T_melt_MgO" localSheetId="1">'MOMO Atmo results'!#REF!</definedName>
    <definedName name="T_melt_MgO">#REF!</definedName>
    <definedName name="T_melt_Na2O" localSheetId="1">'MOMO Atmo results'!#REF!</definedName>
    <definedName name="T_melt_Na2O">#REF!</definedName>
    <definedName name="T_melt_SiO2" localSheetId="1">'MOMO Atmo results'!#REF!</definedName>
    <definedName name="T_melt_SiO2">#REF!</definedName>
    <definedName name="T_min" localSheetId="1">'MOMO Atmo results'!$A$5</definedName>
    <definedName name="T_min">'MOMO input'!$I$6</definedName>
    <definedName name="T_ref" localSheetId="1">'MOMO Atmo results'!$A$5</definedName>
    <definedName name="T_ref">#REF!</definedName>
    <definedName name="T_ref2" localSheetId="1">'MOMO Atmo results'!$A$6</definedName>
    <definedName name="T_ref2">#REF!</definedName>
    <definedName name="Tmax_given">'MOMO input'!$I$7</definedName>
    <definedName name="Tmin_given">'MOMO input'!$I$6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5" l="1"/>
  <c r="Q42" i="6" l="1"/>
  <c r="Q51" i="6"/>
  <c r="Q56" i="6"/>
  <c r="Q55" i="6"/>
  <c r="Q53" i="6"/>
  <c r="Q54" i="6"/>
  <c r="L11" i="8" l="1"/>
  <c r="I16" i="8"/>
  <c r="O49" i="7"/>
  <c r="I15" i="8" l="1"/>
  <c r="L12" i="8" l="1"/>
  <c r="L13" i="8"/>
  <c r="L14" i="8"/>
  <c r="L15" i="8"/>
  <c r="L16" i="8"/>
  <c r="L17" i="8"/>
  <c r="G7" i="8"/>
  <c r="M11" i="8" l="1"/>
  <c r="A5" i="6" a="1"/>
  <c r="A5" i="6" s="1"/>
  <c r="W8" i="6" s="1"/>
  <c r="E17" i="8"/>
  <c r="M53" i="7"/>
  <c r="N54" i="7"/>
  <c r="N53" i="7" s="1"/>
  <c r="O53" i="7" s="1"/>
  <c r="M54" i="7"/>
  <c r="O54" i="7" s="1"/>
  <c r="L53" i="7"/>
  <c r="O55" i="7"/>
  <c r="L54" i="7"/>
  <c r="L55" i="7"/>
  <c r="I53" i="6"/>
  <c r="A54" i="6"/>
  <c r="B54" i="6"/>
  <c r="C54" i="6"/>
  <c r="D54" i="6"/>
  <c r="E54" i="6"/>
  <c r="F54" i="6"/>
  <c r="H54" i="6"/>
  <c r="I54" i="6"/>
  <c r="A55" i="6"/>
  <c r="B55" i="6"/>
  <c r="C55" i="6"/>
  <c r="D55" i="6"/>
  <c r="E55" i="6"/>
  <c r="F55" i="6"/>
  <c r="H55" i="6"/>
  <c r="I55" i="6"/>
  <c r="A56" i="6"/>
  <c r="B56" i="6"/>
  <c r="C56" i="6"/>
  <c r="D56" i="6"/>
  <c r="E56" i="6"/>
  <c r="F56" i="6"/>
  <c r="H56" i="6"/>
  <c r="I56" i="6"/>
  <c r="A6" i="6"/>
  <c r="Z8" i="6" s="1"/>
  <c r="A3" i="6"/>
  <c r="A52" i="6"/>
  <c r="E12" i="8"/>
  <c r="E16" i="8"/>
  <c r="E15" i="8"/>
  <c r="E14" i="8"/>
  <c r="E13" i="8"/>
  <c r="L6" i="7"/>
  <c r="O6" i="7"/>
  <c r="L7" i="7"/>
  <c r="O7" i="7"/>
  <c r="L8" i="7"/>
  <c r="O8" i="7"/>
  <c r="L9" i="7"/>
  <c r="O9" i="7"/>
  <c r="L10" i="7"/>
  <c r="O10" i="7"/>
  <c r="L11" i="7"/>
  <c r="O11" i="7"/>
  <c r="L12" i="7"/>
  <c r="O12" i="7"/>
  <c r="L13" i="7"/>
  <c r="O13" i="7"/>
  <c r="L14" i="7"/>
  <c r="O14" i="7"/>
  <c r="L15" i="7"/>
  <c r="O15" i="7"/>
  <c r="L16" i="7"/>
  <c r="O16" i="7"/>
  <c r="L17" i="7"/>
  <c r="O17" i="7"/>
  <c r="M18" i="7"/>
  <c r="L18" i="7" s="1"/>
  <c r="N18" i="7"/>
  <c r="M19" i="7"/>
  <c r="L19" i="7" s="1"/>
  <c r="N19" i="7"/>
  <c r="O19" i="7" s="1"/>
  <c r="M20" i="7"/>
  <c r="L20" i="7" s="1"/>
  <c r="N20" i="7"/>
  <c r="O20" i="7"/>
  <c r="M21" i="7"/>
  <c r="L21" i="7" s="1"/>
  <c r="N21" i="7"/>
  <c r="M22" i="7"/>
  <c r="L22" i="7" s="1"/>
  <c r="N22" i="7"/>
  <c r="M23" i="7"/>
  <c r="L23" i="7" s="1"/>
  <c r="N23" i="7"/>
  <c r="O23" i="7" s="1"/>
  <c r="M24" i="7"/>
  <c r="L24" i="7" s="1"/>
  <c r="N24" i="7"/>
  <c r="O24" i="7"/>
  <c r="M25" i="7"/>
  <c r="L25" i="7" s="1"/>
  <c r="N25" i="7"/>
  <c r="L26" i="7"/>
  <c r="O26" i="7"/>
  <c r="M27" i="7"/>
  <c r="L27" i="7" s="1"/>
  <c r="N27" i="7"/>
  <c r="M28" i="7"/>
  <c r="O28" i="7" s="1"/>
  <c r="N28" i="7"/>
  <c r="M29" i="7"/>
  <c r="L29" i="7" s="1"/>
  <c r="N29" i="7"/>
  <c r="M30" i="7"/>
  <c r="O30" i="7" s="1"/>
  <c r="N30" i="7"/>
  <c r="L31" i="7"/>
  <c r="O31" i="7"/>
  <c r="L32" i="7"/>
  <c r="O32" i="7"/>
  <c r="L33" i="7"/>
  <c r="O33" i="7"/>
  <c r="L34" i="7"/>
  <c r="O34" i="7"/>
  <c r="L35" i="7"/>
  <c r="O35" i="7"/>
  <c r="M36" i="7"/>
  <c r="L36" i="7" s="1"/>
  <c r="N36" i="7"/>
  <c r="M37" i="7"/>
  <c r="L37" i="7" s="1"/>
  <c r="N37" i="7"/>
  <c r="O37" i="7" s="1"/>
  <c r="M38" i="7"/>
  <c r="L38" i="7" s="1"/>
  <c r="N38" i="7"/>
  <c r="O38" i="7"/>
  <c r="M39" i="7"/>
  <c r="L39" i="7" s="1"/>
  <c r="N39" i="7"/>
  <c r="M40" i="7"/>
  <c r="L40" i="7" s="1"/>
  <c r="N40" i="7"/>
  <c r="L41" i="7"/>
  <c r="O41" i="7"/>
  <c r="M42" i="7"/>
  <c r="N42" i="7"/>
  <c r="M43" i="7"/>
  <c r="L43" i="7" s="1"/>
  <c r="N43" i="7"/>
  <c r="M44" i="7"/>
  <c r="N44" i="7"/>
  <c r="M45" i="7"/>
  <c r="L45" i="7" s="1"/>
  <c r="N45" i="7"/>
  <c r="M46" i="7"/>
  <c r="N46" i="7"/>
  <c r="M47" i="7"/>
  <c r="L47" i="7" s="1"/>
  <c r="N47" i="7"/>
  <c r="M48" i="7"/>
  <c r="N48" i="7"/>
  <c r="L49" i="7"/>
  <c r="M50" i="7"/>
  <c r="L50" i="7" s="1"/>
  <c r="N50" i="7"/>
  <c r="H53" i="6"/>
  <c r="F53" i="6"/>
  <c r="E53" i="6"/>
  <c r="D53" i="6"/>
  <c r="C53" i="6"/>
  <c r="B53" i="6"/>
  <c r="A53" i="6"/>
  <c r="I52" i="6"/>
  <c r="H52" i="6"/>
  <c r="F52" i="6"/>
  <c r="E52" i="6"/>
  <c r="D52" i="6"/>
  <c r="C52" i="6"/>
  <c r="B52" i="6"/>
  <c r="I51" i="6"/>
  <c r="H51" i="6"/>
  <c r="F51" i="6"/>
  <c r="E51" i="6"/>
  <c r="D51" i="6"/>
  <c r="C51" i="6"/>
  <c r="B51" i="6"/>
  <c r="A51" i="6"/>
  <c r="I50" i="6"/>
  <c r="H50" i="6"/>
  <c r="F50" i="6"/>
  <c r="E50" i="6"/>
  <c r="D50" i="6"/>
  <c r="C50" i="6"/>
  <c r="B50" i="6"/>
  <c r="A50" i="6"/>
  <c r="I49" i="6"/>
  <c r="H49" i="6"/>
  <c r="F49" i="6"/>
  <c r="E49" i="6"/>
  <c r="D49" i="6"/>
  <c r="C49" i="6"/>
  <c r="B49" i="6"/>
  <c r="A49" i="6"/>
  <c r="I48" i="6"/>
  <c r="H48" i="6"/>
  <c r="F48" i="6"/>
  <c r="E48" i="6"/>
  <c r="D48" i="6"/>
  <c r="C48" i="6"/>
  <c r="B48" i="6"/>
  <c r="A48" i="6"/>
  <c r="I47" i="6"/>
  <c r="H47" i="6"/>
  <c r="F47" i="6"/>
  <c r="E47" i="6"/>
  <c r="D47" i="6"/>
  <c r="C47" i="6"/>
  <c r="B47" i="6"/>
  <c r="A47" i="6"/>
  <c r="I46" i="6"/>
  <c r="H46" i="6"/>
  <c r="F46" i="6"/>
  <c r="E46" i="6"/>
  <c r="D46" i="6"/>
  <c r="C46" i="6"/>
  <c r="B46" i="6"/>
  <c r="A46" i="6"/>
  <c r="I45" i="6"/>
  <c r="H45" i="6"/>
  <c r="F45" i="6"/>
  <c r="E45" i="6"/>
  <c r="D45" i="6"/>
  <c r="C45" i="6"/>
  <c r="B45" i="6"/>
  <c r="A45" i="6"/>
  <c r="I44" i="6"/>
  <c r="H44" i="6"/>
  <c r="F44" i="6"/>
  <c r="E44" i="6"/>
  <c r="D44" i="6"/>
  <c r="C44" i="6"/>
  <c r="B44" i="6"/>
  <c r="A44" i="6"/>
  <c r="I43" i="6"/>
  <c r="H43" i="6"/>
  <c r="F43" i="6"/>
  <c r="E43" i="6"/>
  <c r="D43" i="6"/>
  <c r="C43" i="6"/>
  <c r="B43" i="6"/>
  <c r="A43" i="6"/>
  <c r="I42" i="6"/>
  <c r="H42" i="6"/>
  <c r="F42" i="6"/>
  <c r="E42" i="6"/>
  <c r="D42" i="6"/>
  <c r="C42" i="6"/>
  <c r="B42" i="6"/>
  <c r="A42" i="6"/>
  <c r="I41" i="6"/>
  <c r="H41" i="6"/>
  <c r="F41" i="6"/>
  <c r="E41" i="6"/>
  <c r="D41" i="6"/>
  <c r="C41" i="6"/>
  <c r="B41" i="6"/>
  <c r="A41" i="6"/>
  <c r="I40" i="6"/>
  <c r="H40" i="6"/>
  <c r="F40" i="6"/>
  <c r="E40" i="6"/>
  <c r="D40" i="6"/>
  <c r="C40" i="6"/>
  <c r="B40" i="6"/>
  <c r="A40" i="6"/>
  <c r="I39" i="6"/>
  <c r="H39" i="6"/>
  <c r="F39" i="6"/>
  <c r="E39" i="6"/>
  <c r="D39" i="6"/>
  <c r="C39" i="6"/>
  <c r="B39" i="6"/>
  <c r="A39" i="6"/>
  <c r="I38" i="6"/>
  <c r="H38" i="6"/>
  <c r="F38" i="6"/>
  <c r="E38" i="6"/>
  <c r="D38" i="6"/>
  <c r="C38" i="6"/>
  <c r="B38" i="6"/>
  <c r="A38" i="6"/>
  <c r="I37" i="6"/>
  <c r="H37" i="6"/>
  <c r="F37" i="6"/>
  <c r="E37" i="6"/>
  <c r="D37" i="6"/>
  <c r="C37" i="6"/>
  <c r="B37" i="6"/>
  <c r="A37" i="6"/>
  <c r="I36" i="6"/>
  <c r="H36" i="6"/>
  <c r="F36" i="6"/>
  <c r="E36" i="6"/>
  <c r="D36" i="6"/>
  <c r="C36" i="6"/>
  <c r="B36" i="6"/>
  <c r="A36" i="6"/>
  <c r="I35" i="6"/>
  <c r="H35" i="6"/>
  <c r="F35" i="6"/>
  <c r="E35" i="6"/>
  <c r="D35" i="6"/>
  <c r="C35" i="6"/>
  <c r="B35" i="6"/>
  <c r="A35" i="6"/>
  <c r="I34" i="6"/>
  <c r="H34" i="6"/>
  <c r="F34" i="6"/>
  <c r="E34" i="6"/>
  <c r="D34" i="6"/>
  <c r="C34" i="6"/>
  <c r="B34" i="6"/>
  <c r="A34" i="6"/>
  <c r="I33" i="6"/>
  <c r="H33" i="6"/>
  <c r="F33" i="6"/>
  <c r="E33" i="6"/>
  <c r="D33" i="6"/>
  <c r="C33" i="6"/>
  <c r="B33" i="6"/>
  <c r="A33" i="6"/>
  <c r="I32" i="6"/>
  <c r="H32" i="6"/>
  <c r="F32" i="6"/>
  <c r="E32" i="6"/>
  <c r="D32" i="6"/>
  <c r="C32" i="6"/>
  <c r="B32" i="6"/>
  <c r="A32" i="6"/>
  <c r="I31" i="6"/>
  <c r="H31" i="6"/>
  <c r="F31" i="6"/>
  <c r="E31" i="6"/>
  <c r="D31" i="6"/>
  <c r="C31" i="6"/>
  <c r="B31" i="6"/>
  <c r="A31" i="6"/>
  <c r="I30" i="6"/>
  <c r="H30" i="6"/>
  <c r="F30" i="6"/>
  <c r="E30" i="6"/>
  <c r="D30" i="6"/>
  <c r="C30" i="6"/>
  <c r="B30" i="6"/>
  <c r="A30" i="6"/>
  <c r="I29" i="6"/>
  <c r="H29" i="6"/>
  <c r="F29" i="6"/>
  <c r="E29" i="6"/>
  <c r="D29" i="6"/>
  <c r="C29" i="6"/>
  <c r="B29" i="6"/>
  <c r="A29" i="6"/>
  <c r="I28" i="6"/>
  <c r="H28" i="6"/>
  <c r="F28" i="6"/>
  <c r="E28" i="6"/>
  <c r="D28" i="6"/>
  <c r="C28" i="6"/>
  <c r="B28" i="6"/>
  <c r="A28" i="6"/>
  <c r="I27" i="6"/>
  <c r="H27" i="6"/>
  <c r="F27" i="6"/>
  <c r="E27" i="6"/>
  <c r="D27" i="6"/>
  <c r="C27" i="6"/>
  <c r="B27" i="6"/>
  <c r="A27" i="6"/>
  <c r="I26" i="6"/>
  <c r="H26" i="6"/>
  <c r="F26" i="6"/>
  <c r="E26" i="6"/>
  <c r="D26" i="6"/>
  <c r="C26" i="6"/>
  <c r="B26" i="6"/>
  <c r="A26" i="6"/>
  <c r="I25" i="6"/>
  <c r="H25" i="6"/>
  <c r="F25" i="6"/>
  <c r="E25" i="6"/>
  <c r="D25" i="6"/>
  <c r="C25" i="6"/>
  <c r="B25" i="6"/>
  <c r="A25" i="6"/>
  <c r="I24" i="6"/>
  <c r="H24" i="6"/>
  <c r="F24" i="6"/>
  <c r="E24" i="6"/>
  <c r="D24" i="6"/>
  <c r="C24" i="6"/>
  <c r="B24" i="6"/>
  <c r="A24" i="6"/>
  <c r="I23" i="6"/>
  <c r="H23" i="6"/>
  <c r="F23" i="6"/>
  <c r="E23" i="6"/>
  <c r="D23" i="6"/>
  <c r="C23" i="6"/>
  <c r="B23" i="6"/>
  <c r="A23" i="6"/>
  <c r="I22" i="6"/>
  <c r="H22" i="6"/>
  <c r="F22" i="6"/>
  <c r="E22" i="6"/>
  <c r="D22" i="6"/>
  <c r="C22" i="6"/>
  <c r="B22" i="6"/>
  <c r="A22" i="6"/>
  <c r="I21" i="6"/>
  <c r="H21" i="6"/>
  <c r="F21" i="6"/>
  <c r="E21" i="6"/>
  <c r="D21" i="6"/>
  <c r="C21" i="6"/>
  <c r="B21" i="6"/>
  <c r="A21" i="6"/>
  <c r="I20" i="6"/>
  <c r="H20" i="6"/>
  <c r="F20" i="6"/>
  <c r="E20" i="6"/>
  <c r="D20" i="6"/>
  <c r="C20" i="6"/>
  <c r="B20" i="6"/>
  <c r="A20" i="6"/>
  <c r="I19" i="6"/>
  <c r="H19" i="6"/>
  <c r="F19" i="6"/>
  <c r="E19" i="6"/>
  <c r="D19" i="6"/>
  <c r="C19" i="6"/>
  <c r="B19" i="6"/>
  <c r="A19" i="6"/>
  <c r="I18" i="6"/>
  <c r="H18" i="6"/>
  <c r="F18" i="6"/>
  <c r="E18" i="6"/>
  <c r="D18" i="6"/>
  <c r="C18" i="6"/>
  <c r="B18" i="6"/>
  <c r="A18" i="6"/>
  <c r="I17" i="6"/>
  <c r="H17" i="6"/>
  <c r="F17" i="6"/>
  <c r="E17" i="6"/>
  <c r="D17" i="6"/>
  <c r="C17" i="6"/>
  <c r="B17" i="6"/>
  <c r="A17" i="6"/>
  <c r="I16" i="6"/>
  <c r="H16" i="6"/>
  <c r="F16" i="6"/>
  <c r="E16" i="6"/>
  <c r="D16" i="6"/>
  <c r="C16" i="6"/>
  <c r="B16" i="6"/>
  <c r="A16" i="6"/>
  <c r="I15" i="6"/>
  <c r="H15" i="6"/>
  <c r="F15" i="6"/>
  <c r="E15" i="6"/>
  <c r="D15" i="6"/>
  <c r="C15" i="6"/>
  <c r="B15" i="6"/>
  <c r="A15" i="6"/>
  <c r="I14" i="6"/>
  <c r="H14" i="6"/>
  <c r="F14" i="6"/>
  <c r="E14" i="6"/>
  <c r="D14" i="6"/>
  <c r="C14" i="6"/>
  <c r="B14" i="6"/>
  <c r="A14" i="6"/>
  <c r="I13" i="6"/>
  <c r="H13" i="6"/>
  <c r="F13" i="6"/>
  <c r="E13" i="6"/>
  <c r="D13" i="6"/>
  <c r="C13" i="6"/>
  <c r="B13" i="6"/>
  <c r="A13" i="6"/>
  <c r="I12" i="6"/>
  <c r="H12" i="6"/>
  <c r="F12" i="6"/>
  <c r="E12" i="6"/>
  <c r="D12" i="6"/>
  <c r="C12" i="6"/>
  <c r="B12" i="6"/>
  <c r="A12" i="6"/>
  <c r="I11" i="6"/>
  <c r="H11" i="6"/>
  <c r="F11" i="6"/>
  <c r="E11" i="6"/>
  <c r="D11" i="6"/>
  <c r="C11" i="6"/>
  <c r="B11" i="6"/>
  <c r="A11" i="6"/>
  <c r="I10" i="6"/>
  <c r="H10" i="6"/>
  <c r="F10" i="6"/>
  <c r="E10" i="6"/>
  <c r="D10" i="6"/>
  <c r="C10" i="6"/>
  <c r="B10" i="6"/>
  <c r="A10" i="6"/>
  <c r="I9" i="6"/>
  <c r="H9" i="6"/>
  <c r="F9" i="6"/>
  <c r="E9" i="6"/>
  <c r="D9" i="6"/>
  <c r="C9" i="6"/>
  <c r="B9" i="6"/>
  <c r="A9" i="6"/>
  <c r="E3" i="5"/>
  <c r="E4" i="5" s="1"/>
  <c r="G4" i="5" s="1"/>
  <c r="Z5" i="6" s="1"/>
  <c r="D3" i="5"/>
  <c r="D4" i="5" s="1"/>
  <c r="Y5" i="6" s="1"/>
  <c r="O50" i="7" l="1"/>
  <c r="O40" i="7"/>
  <c r="O36" i="7"/>
  <c r="O22" i="7"/>
  <c r="O18" i="7"/>
  <c r="O48" i="7"/>
  <c r="O46" i="7"/>
  <c r="O44" i="7"/>
  <c r="O42" i="7"/>
  <c r="O39" i="7"/>
  <c r="O25" i="7"/>
  <c r="O21" i="7"/>
  <c r="D8" i="5"/>
  <c r="D17" i="5"/>
  <c r="F17" i="5" s="1"/>
  <c r="X8" i="6"/>
  <c r="D23" i="5"/>
  <c r="F23" i="5" s="1"/>
  <c r="D10" i="5"/>
  <c r="F10" i="5" s="1"/>
  <c r="D12" i="5"/>
  <c r="F12" i="5" s="1"/>
  <c r="D5" i="5"/>
  <c r="F5" i="5" s="1"/>
  <c r="D15" i="5"/>
  <c r="F15" i="5" s="1"/>
  <c r="D18" i="5"/>
  <c r="F18" i="5" s="1"/>
  <c r="Y8" i="6"/>
  <c r="K54" i="6"/>
  <c r="N54" i="6" s="1"/>
  <c r="K56" i="6"/>
  <c r="N56" i="6" s="1"/>
  <c r="L56" i="6"/>
  <c r="O56" i="6" s="1"/>
  <c r="L55" i="6"/>
  <c r="O55" i="6" s="1"/>
  <c r="R55" i="6" s="1"/>
  <c r="L54" i="6"/>
  <c r="O54" i="6" s="1"/>
  <c r="K55" i="6"/>
  <c r="N55" i="6" s="1"/>
  <c r="W5" i="6"/>
  <c r="X5" i="6"/>
  <c r="L48" i="7"/>
  <c r="L46" i="7"/>
  <c r="L44" i="7"/>
  <c r="L42" i="7"/>
  <c r="L30" i="7"/>
  <c r="L28" i="7"/>
  <c r="O47" i="7"/>
  <c r="O45" i="7"/>
  <c r="O43" i="7"/>
  <c r="O29" i="7"/>
  <c r="O27" i="7"/>
  <c r="K9" i="6"/>
  <c r="N9" i="6" s="1"/>
  <c r="K30" i="6"/>
  <c r="N30" i="6" s="1"/>
  <c r="K31" i="6"/>
  <c r="N31" i="6" s="1"/>
  <c r="K32" i="6"/>
  <c r="N32" i="6" s="1"/>
  <c r="L27" i="6"/>
  <c r="O27" i="6" s="1"/>
  <c r="K26" i="6"/>
  <c r="N26" i="6" s="1"/>
  <c r="L10" i="6"/>
  <c r="O10" i="6" s="1"/>
  <c r="K13" i="6"/>
  <c r="N13" i="6" s="1"/>
  <c r="K14" i="6"/>
  <c r="N14" i="6" s="1"/>
  <c r="K15" i="6"/>
  <c r="N15" i="6" s="1"/>
  <c r="K16" i="6"/>
  <c r="N16" i="6" s="1"/>
  <c r="K17" i="6"/>
  <c r="N17" i="6" s="1"/>
  <c r="L35" i="6"/>
  <c r="O35" i="6" s="1"/>
  <c r="L36" i="6"/>
  <c r="O36" i="6" s="1"/>
  <c r="L37" i="6"/>
  <c r="O37" i="6" s="1"/>
  <c r="L39" i="6"/>
  <c r="O39" i="6" s="1"/>
  <c r="L40" i="6"/>
  <c r="O40" i="6" s="1"/>
  <c r="L41" i="6"/>
  <c r="O41" i="6" s="1"/>
  <c r="L42" i="6"/>
  <c r="O42" i="6" s="1"/>
  <c r="L43" i="6"/>
  <c r="O43" i="6" s="1"/>
  <c r="K44" i="6"/>
  <c r="N44" i="6" s="1"/>
  <c r="L14" i="6"/>
  <c r="O14" i="6" s="1"/>
  <c r="L13" i="6"/>
  <c r="O13" i="6" s="1"/>
  <c r="L17" i="6"/>
  <c r="O17" i="6" s="1"/>
  <c r="K33" i="6"/>
  <c r="N33" i="6" s="1"/>
  <c r="L53" i="6"/>
  <c r="O53" i="6" s="1"/>
  <c r="K11" i="6"/>
  <c r="N11" i="6" s="1"/>
  <c r="K19" i="6"/>
  <c r="N19" i="6" s="1"/>
  <c r="K20" i="6"/>
  <c r="N20" i="6" s="1"/>
  <c r="K21" i="6"/>
  <c r="N21" i="6" s="1"/>
  <c r="K22" i="6"/>
  <c r="N22" i="6" s="1"/>
  <c r="K23" i="6"/>
  <c r="N23" i="6" s="1"/>
  <c r="K24" i="6"/>
  <c r="N24" i="6" s="1"/>
  <c r="K25" i="6"/>
  <c r="N25" i="6" s="1"/>
  <c r="L30" i="6"/>
  <c r="O30" i="6" s="1"/>
  <c r="L32" i="6"/>
  <c r="O32" i="6" s="1"/>
  <c r="K45" i="6"/>
  <c r="N45" i="6" s="1"/>
  <c r="K46" i="6"/>
  <c r="N46" i="6" s="1"/>
  <c r="K47" i="6"/>
  <c r="N47" i="6" s="1"/>
  <c r="K48" i="6"/>
  <c r="N48" i="6" s="1"/>
  <c r="K49" i="6"/>
  <c r="N49" i="6" s="1"/>
  <c r="K50" i="6"/>
  <c r="N50" i="6" s="1"/>
  <c r="K51" i="6"/>
  <c r="N51" i="6" s="1"/>
  <c r="L52" i="6"/>
  <c r="K53" i="6"/>
  <c r="N53" i="6" s="1"/>
  <c r="K29" i="6"/>
  <c r="N29" i="6" s="1"/>
  <c r="L9" i="6"/>
  <c r="O9" i="6" s="1"/>
  <c r="K10" i="6"/>
  <c r="N10" i="6" s="1"/>
  <c r="L19" i="6"/>
  <c r="O19" i="6" s="1"/>
  <c r="L23" i="6"/>
  <c r="O23" i="6" s="1"/>
  <c r="K35" i="6"/>
  <c r="N35" i="6" s="1"/>
  <c r="K36" i="6"/>
  <c r="N36" i="6" s="1"/>
  <c r="K37" i="6"/>
  <c r="N37" i="6" s="1"/>
  <c r="K38" i="6"/>
  <c r="N38" i="6" s="1"/>
  <c r="K39" i="6"/>
  <c r="N39" i="6" s="1"/>
  <c r="L34" i="6"/>
  <c r="O34" i="6" s="1"/>
  <c r="K34" i="6"/>
  <c r="N34" i="6" s="1"/>
  <c r="L29" i="6"/>
  <c r="L18" i="6"/>
  <c r="O18" i="6" s="1"/>
  <c r="K18" i="6"/>
  <c r="N18" i="6" s="1"/>
  <c r="K12" i="6"/>
  <c r="N12" i="6" s="1"/>
  <c r="L12" i="6"/>
  <c r="O12" i="6" s="1"/>
  <c r="L16" i="6"/>
  <c r="O16" i="6" s="1"/>
  <c r="L22" i="6"/>
  <c r="O22" i="6" s="1"/>
  <c r="L26" i="6"/>
  <c r="O26" i="6" s="1"/>
  <c r="L11" i="6"/>
  <c r="O11" i="6" s="1"/>
  <c r="L15" i="6"/>
  <c r="O15" i="6" s="1"/>
  <c r="L21" i="6"/>
  <c r="O21" i="6" s="1"/>
  <c r="L25" i="6"/>
  <c r="O25" i="6" s="1"/>
  <c r="D7" i="5"/>
  <c r="F7" i="5" s="1"/>
  <c r="D14" i="5"/>
  <c r="F14" i="5" s="1"/>
  <c r="D20" i="5"/>
  <c r="F20" i="5" s="1"/>
  <c r="L20" i="6"/>
  <c r="O20" i="6" s="1"/>
  <c r="L24" i="6"/>
  <c r="O24" i="6" s="1"/>
  <c r="L38" i="6"/>
  <c r="O38" i="6" s="1"/>
  <c r="L28" i="6"/>
  <c r="O28" i="6" s="1"/>
  <c r="L31" i="6"/>
  <c r="O31" i="6" s="1"/>
  <c r="L33" i="6"/>
  <c r="O33" i="6" s="1"/>
  <c r="K40" i="6"/>
  <c r="N40" i="6" s="1"/>
  <c r="K41" i="6"/>
  <c r="N41" i="6" s="1"/>
  <c r="K42" i="6"/>
  <c r="N42" i="6" s="1"/>
  <c r="K43" i="6"/>
  <c r="N43" i="6" s="1"/>
  <c r="L44" i="6"/>
  <c r="L45" i="6"/>
  <c r="O45" i="6" s="1"/>
  <c r="L46" i="6"/>
  <c r="O46" i="6" s="1"/>
  <c r="L47" i="6"/>
  <c r="O47" i="6" s="1"/>
  <c r="L48" i="6"/>
  <c r="O48" i="6" s="1"/>
  <c r="L49" i="6"/>
  <c r="O49" i="6" s="1"/>
  <c r="L50" i="6"/>
  <c r="O50" i="6" s="1"/>
  <c r="L51" i="6"/>
  <c r="O51" i="6" s="1"/>
  <c r="K27" i="6"/>
  <c r="N27" i="6" s="1"/>
  <c r="K28" i="6"/>
  <c r="N28" i="6" s="1"/>
  <c r="K52" i="6"/>
  <c r="N52" i="6" s="1"/>
  <c r="E5" i="5"/>
  <c r="G5" i="5" s="1"/>
  <c r="E9" i="5"/>
  <c r="G9" i="5" s="1"/>
  <c r="E13" i="5"/>
  <c r="G13" i="5" s="1"/>
  <c r="E17" i="5"/>
  <c r="G17" i="5" s="1"/>
  <c r="E21" i="5"/>
  <c r="G21" i="5" s="1"/>
  <c r="D6" i="5"/>
  <c r="F6" i="5" s="1"/>
  <c r="D11" i="5"/>
  <c r="D13" i="5"/>
  <c r="F13" i="5" s="1"/>
  <c r="D16" i="5"/>
  <c r="F16" i="5" s="1"/>
  <c r="D21" i="5"/>
  <c r="F21" i="5" s="1"/>
  <c r="D9" i="5"/>
  <c r="F9" i="5" s="1"/>
  <c r="E6" i="5"/>
  <c r="G6" i="5" s="1"/>
  <c r="E10" i="5"/>
  <c r="G10" i="5" s="1"/>
  <c r="E14" i="5"/>
  <c r="G14" i="5" s="1"/>
  <c r="E18" i="5"/>
  <c r="G18" i="5" s="1"/>
  <c r="E22" i="5"/>
  <c r="G22" i="5" s="1"/>
  <c r="E7" i="5"/>
  <c r="G7" i="5" s="1"/>
  <c r="E11" i="5"/>
  <c r="G11" i="5" s="1"/>
  <c r="E15" i="5"/>
  <c r="G15" i="5" s="1"/>
  <c r="E19" i="5"/>
  <c r="G19" i="5" s="1"/>
  <c r="E23" i="5"/>
  <c r="G23" i="5" s="1"/>
  <c r="E8" i="5"/>
  <c r="G8" i="5" s="1"/>
  <c r="E12" i="5"/>
  <c r="G12" i="5" s="1"/>
  <c r="E16" i="5"/>
  <c r="G16" i="5" s="1"/>
  <c r="E20" i="5"/>
  <c r="G20" i="5" s="1"/>
  <c r="D19" i="5"/>
  <c r="F19" i="5" s="1"/>
  <c r="D22" i="5"/>
  <c r="F22" i="5" s="1"/>
  <c r="F8" i="5"/>
  <c r="R54" i="6" l="1"/>
  <c r="R56" i="6"/>
  <c r="T55" i="6"/>
  <c r="T56" i="6"/>
  <c r="Y56" i="6" s="1"/>
  <c r="T54" i="6"/>
  <c r="Y54" i="6" s="1"/>
  <c r="Q44" i="6"/>
  <c r="T44" i="6" s="1"/>
  <c r="W44" i="6" s="1"/>
  <c r="Q26" i="6"/>
  <c r="T26" i="6" s="1"/>
  <c r="Y26" i="6" s="1"/>
  <c r="O44" i="6"/>
  <c r="R44" i="6" s="1"/>
  <c r="U44" i="6" s="1"/>
  <c r="O52" i="6"/>
  <c r="R53" i="6" s="1"/>
  <c r="U53" i="6" s="1"/>
  <c r="R18" i="6"/>
  <c r="U18" i="6" s="1"/>
  <c r="Z18" i="6" s="1"/>
  <c r="Q39" i="6"/>
  <c r="T39" i="6" s="1"/>
  <c r="W39" i="6" s="1"/>
  <c r="Q28" i="6"/>
  <c r="T28" i="6" s="1"/>
  <c r="W28" i="6" s="1"/>
  <c r="Q29" i="6"/>
  <c r="T29" i="6" s="1"/>
  <c r="W29" i="6" s="1"/>
  <c r="Q27" i="6"/>
  <c r="T27" i="6" s="1"/>
  <c r="W27" i="6" s="1"/>
  <c r="Q25" i="6"/>
  <c r="T25" i="6" s="1"/>
  <c r="Y25" i="6" s="1"/>
  <c r="R10" i="6"/>
  <c r="U10" i="6" s="1"/>
  <c r="X10" i="6" s="1"/>
  <c r="O29" i="6"/>
  <c r="R23" i="6" s="1"/>
  <c r="U23" i="6" s="1"/>
  <c r="Q45" i="6"/>
  <c r="T45" i="6" s="1"/>
  <c r="W45" i="6" s="1"/>
  <c r="Q24" i="6"/>
  <c r="T24" i="6" s="1"/>
  <c r="W24" i="6" s="1"/>
  <c r="Q43" i="6"/>
  <c r="T43" i="6" s="1"/>
  <c r="W43" i="6" s="1"/>
  <c r="T42" i="6"/>
  <c r="Y42" i="6" s="1"/>
  <c r="Q41" i="6"/>
  <c r="T41" i="6" s="1"/>
  <c r="Y41" i="6" s="1"/>
  <c r="Q23" i="6"/>
  <c r="T23" i="6" s="1"/>
  <c r="W23" i="6" s="1"/>
  <c r="Q40" i="6"/>
  <c r="T40" i="6" s="1"/>
  <c r="Y40" i="6" s="1"/>
  <c r="Q50" i="6"/>
  <c r="T50" i="6" s="1"/>
  <c r="Q21" i="6"/>
  <c r="T21" i="6" s="1"/>
  <c r="Y21" i="6" s="1"/>
  <c r="R17" i="6"/>
  <c r="U17" i="6" s="1"/>
  <c r="X17" i="6" s="1"/>
  <c r="R34" i="6"/>
  <c r="U34" i="6" s="1"/>
  <c r="Q36" i="6"/>
  <c r="T36" i="6" s="1"/>
  <c r="Q20" i="6"/>
  <c r="T20" i="6" s="1"/>
  <c r="W20" i="6" s="1"/>
  <c r="R19" i="6"/>
  <c r="U19" i="6" s="1"/>
  <c r="Z19" i="6" s="1"/>
  <c r="Q17" i="6"/>
  <c r="T17" i="6" s="1"/>
  <c r="Y17" i="6" s="1"/>
  <c r="R21" i="6"/>
  <c r="U21" i="6" s="1"/>
  <c r="Z21" i="6" s="1"/>
  <c r="R15" i="6"/>
  <c r="U15" i="6" s="1"/>
  <c r="Z15" i="6" s="1"/>
  <c r="R22" i="6"/>
  <c r="U22" i="6" s="1"/>
  <c r="Z22" i="6" s="1"/>
  <c r="R20" i="6"/>
  <c r="U20" i="6" s="1"/>
  <c r="X20" i="6" s="1"/>
  <c r="R16" i="6"/>
  <c r="U16" i="6" s="1"/>
  <c r="X16" i="6" s="1"/>
  <c r="Q16" i="6"/>
  <c r="T16" i="6" s="1"/>
  <c r="Y16" i="6" s="1"/>
  <c r="Q19" i="6"/>
  <c r="T19" i="6" s="1"/>
  <c r="Y19" i="6" s="1"/>
  <c r="Q22" i="6"/>
  <c r="T22" i="6" s="1"/>
  <c r="Y22" i="6" s="1"/>
  <c r="Q18" i="6"/>
  <c r="T18" i="6" s="1"/>
  <c r="Q15" i="6"/>
  <c r="T15" i="6" s="1"/>
  <c r="Y15" i="6" s="1"/>
  <c r="R13" i="6"/>
  <c r="U13" i="6" s="1"/>
  <c r="R11" i="6"/>
  <c r="U11" i="6" s="1"/>
  <c r="Q13" i="6"/>
  <c r="T13" i="6" s="1"/>
  <c r="R14" i="6"/>
  <c r="U14" i="6" s="1"/>
  <c r="R9" i="6"/>
  <c r="U9" i="6" s="1"/>
  <c r="X9" i="6" s="1"/>
  <c r="R12" i="6"/>
  <c r="U12" i="6" s="1"/>
  <c r="Q10" i="6"/>
  <c r="T10" i="6" s="1"/>
  <c r="R37" i="6"/>
  <c r="U37" i="6" s="1"/>
  <c r="T53" i="6"/>
  <c r="T51" i="6"/>
  <c r="F11" i="5"/>
  <c r="Y55" i="6" l="1"/>
  <c r="W55" i="6"/>
  <c r="W18" i="6"/>
  <c r="Y18" i="6"/>
  <c r="R48" i="6"/>
  <c r="U48" i="6" s="1"/>
  <c r="Z48" i="6" s="1"/>
  <c r="X60" i="6"/>
  <c r="W54" i="6"/>
  <c r="U56" i="6"/>
  <c r="Z56" i="6" s="1"/>
  <c r="W56" i="6"/>
  <c r="U54" i="6"/>
  <c r="Z54" i="6" s="1"/>
  <c r="U55" i="6"/>
  <c r="Z55" i="6" s="1"/>
  <c r="Y23" i="6"/>
  <c r="Y44" i="6"/>
  <c r="R45" i="6"/>
  <c r="U45" i="6" s="1"/>
  <c r="X45" i="6" s="1"/>
  <c r="R41" i="6"/>
  <c r="U41" i="6" s="1"/>
  <c r="X41" i="6" s="1"/>
  <c r="R27" i="6"/>
  <c r="U27" i="6" s="1"/>
  <c r="X27" i="6" s="1"/>
  <c r="R43" i="6"/>
  <c r="U43" i="6" s="1"/>
  <c r="Z43" i="6" s="1"/>
  <c r="Y29" i="6"/>
  <c r="R42" i="6"/>
  <c r="U42" i="6" s="1"/>
  <c r="X42" i="6" s="1"/>
  <c r="R39" i="6"/>
  <c r="U39" i="6" s="1"/>
  <c r="Z39" i="6" s="1"/>
  <c r="R49" i="6"/>
  <c r="U49" i="6" s="1"/>
  <c r="Z49" i="6" s="1"/>
  <c r="R50" i="6"/>
  <c r="U50" i="6" s="1"/>
  <c r="Z50" i="6" s="1"/>
  <c r="W25" i="6"/>
  <c r="Y24" i="6"/>
  <c r="Z17" i="6"/>
  <c r="R40" i="6"/>
  <c r="U40" i="6" s="1"/>
  <c r="Y39" i="6"/>
  <c r="W40" i="6"/>
  <c r="X18" i="6"/>
  <c r="W42" i="6"/>
  <c r="W26" i="6"/>
  <c r="Z53" i="6"/>
  <c r="X53" i="6"/>
  <c r="X44" i="6"/>
  <c r="Z44" i="6"/>
  <c r="Y28" i="6"/>
  <c r="R47" i="6"/>
  <c r="U47" i="6" s="1"/>
  <c r="Z47" i="6" s="1"/>
  <c r="R52" i="6"/>
  <c r="U52" i="6" s="1"/>
  <c r="Y27" i="6"/>
  <c r="W41" i="6"/>
  <c r="R28" i="6"/>
  <c r="U28" i="6" s="1"/>
  <c r="R51" i="6"/>
  <c r="U51" i="6" s="1"/>
  <c r="R46" i="6"/>
  <c r="U46" i="6" s="1"/>
  <c r="Y20" i="6"/>
  <c r="Y43" i="6"/>
  <c r="W16" i="6"/>
  <c r="X19" i="6"/>
  <c r="Q47" i="6"/>
  <c r="T47" i="6" s="1"/>
  <c r="W47" i="6" s="1"/>
  <c r="Q49" i="6"/>
  <c r="T49" i="6" s="1"/>
  <c r="Y49" i="6" s="1"/>
  <c r="Q48" i="6"/>
  <c r="T48" i="6" s="1"/>
  <c r="Y48" i="6" s="1"/>
  <c r="R25" i="6"/>
  <c r="U25" i="6" s="1"/>
  <c r="R29" i="6"/>
  <c r="U29" i="6" s="1"/>
  <c r="R24" i="6"/>
  <c r="U24" i="6" s="1"/>
  <c r="R26" i="6"/>
  <c r="U26" i="6" s="1"/>
  <c r="X26" i="6" s="1"/>
  <c r="W50" i="6"/>
  <c r="Y50" i="6"/>
  <c r="Z23" i="6"/>
  <c r="X23" i="6"/>
  <c r="Y45" i="6"/>
  <c r="W21" i="6"/>
  <c r="W17" i="6"/>
  <c r="R32" i="6"/>
  <c r="U32" i="6" s="1"/>
  <c r="Z32" i="6" s="1"/>
  <c r="W22" i="6"/>
  <c r="R38" i="6"/>
  <c r="U38" i="6" s="1"/>
  <c r="Z38" i="6" s="1"/>
  <c r="Z20" i="6"/>
  <c r="R31" i="6"/>
  <c r="U31" i="6" s="1"/>
  <c r="X31" i="6" s="1"/>
  <c r="W19" i="6"/>
  <c r="X22" i="6"/>
  <c r="Q52" i="6"/>
  <c r="T52" i="6" s="1"/>
  <c r="Q46" i="6"/>
  <c r="T46" i="6" s="1"/>
  <c r="R33" i="6"/>
  <c r="U33" i="6" s="1"/>
  <c r="X33" i="6" s="1"/>
  <c r="R35" i="6"/>
  <c r="U35" i="6" s="1"/>
  <c r="X35" i="6" s="1"/>
  <c r="R30" i="6"/>
  <c r="U30" i="6" s="1"/>
  <c r="X30" i="6" s="1"/>
  <c r="R36" i="6"/>
  <c r="U36" i="6" s="1"/>
  <c r="Z36" i="6" s="1"/>
  <c r="Q30" i="6"/>
  <c r="T30" i="6" s="1"/>
  <c r="Y30" i="6" s="1"/>
  <c r="Q37" i="6"/>
  <c r="T37" i="6" s="1"/>
  <c r="W37" i="6" s="1"/>
  <c r="Q31" i="6"/>
  <c r="T31" i="6" s="1"/>
  <c r="Y31" i="6" s="1"/>
  <c r="Q35" i="6"/>
  <c r="T35" i="6" s="1"/>
  <c r="W35" i="6" s="1"/>
  <c r="Q34" i="6"/>
  <c r="T34" i="6" s="1"/>
  <c r="Y34" i="6" s="1"/>
  <c r="Q32" i="6"/>
  <c r="T32" i="6" s="1"/>
  <c r="Y32" i="6" s="1"/>
  <c r="Q38" i="6"/>
  <c r="T38" i="6" s="1"/>
  <c r="Y38" i="6" s="1"/>
  <c r="Q33" i="6"/>
  <c r="T33" i="6" s="1"/>
  <c r="W33" i="6" s="1"/>
  <c r="X15" i="6"/>
  <c r="W15" i="6"/>
  <c r="Z16" i="6"/>
  <c r="X21" i="6"/>
  <c r="X14" i="6"/>
  <c r="X11" i="6"/>
  <c r="X13" i="6"/>
  <c r="X12" i="6"/>
  <c r="Q9" i="6"/>
  <c r="T9" i="6" s="1"/>
  <c r="Q12" i="6"/>
  <c r="T12" i="6" s="1"/>
  <c r="Q14" i="6"/>
  <c r="T14" i="6" s="1"/>
  <c r="W14" i="6" s="1"/>
  <c r="Q11" i="6"/>
  <c r="T11" i="6" s="1"/>
  <c r="Y36" i="6"/>
  <c r="W36" i="6"/>
  <c r="W51" i="6"/>
  <c r="Y51" i="6"/>
  <c r="Z34" i="6"/>
  <c r="X34" i="6"/>
  <c r="W53" i="6"/>
  <c r="Y53" i="6"/>
  <c r="Z37" i="6"/>
  <c r="X37" i="6"/>
  <c r="W13" i="6"/>
  <c r="W10" i="6"/>
  <c r="X48" i="6" l="1"/>
  <c r="X55" i="6"/>
  <c r="X56" i="6"/>
  <c r="X54" i="6"/>
  <c r="Z45" i="6"/>
  <c r="Z41" i="6"/>
  <c r="Z42" i="6"/>
  <c r="Z31" i="6"/>
  <c r="X32" i="6"/>
  <c r="X43" i="6"/>
  <c r="X49" i="6"/>
  <c r="W48" i="6"/>
  <c r="Z27" i="6"/>
  <c r="X39" i="6"/>
  <c r="X50" i="6"/>
  <c r="W49" i="6"/>
  <c r="X40" i="6"/>
  <c r="Z40" i="6"/>
  <c r="X47" i="6"/>
  <c r="Y47" i="6"/>
  <c r="X46" i="6"/>
  <c r="Z46" i="6"/>
  <c r="X52" i="6"/>
  <c r="Z52" i="6"/>
  <c r="Z30" i="6"/>
  <c r="Z28" i="6"/>
  <c r="X28" i="6"/>
  <c r="X51" i="6"/>
  <c r="Z51" i="6"/>
  <c r="Z35" i="6"/>
  <c r="W38" i="6"/>
  <c r="X38" i="6"/>
  <c r="Z24" i="6"/>
  <c r="X24" i="6"/>
  <c r="Z26" i="6"/>
  <c r="Z29" i="6"/>
  <c r="X29" i="6"/>
  <c r="Y37" i="6"/>
  <c r="W9" i="6"/>
  <c r="W60" i="6" s="1"/>
  <c r="X25" i="6"/>
  <c r="Z25" i="6"/>
  <c r="Z33" i="6"/>
  <c r="W30" i="6"/>
  <c r="W34" i="6"/>
  <c r="X36" i="6"/>
  <c r="W46" i="6"/>
  <c r="Y46" i="6"/>
  <c r="W52" i="6"/>
  <c r="Y52" i="6"/>
  <c r="W12" i="6"/>
  <c r="W32" i="6"/>
  <c r="W31" i="6"/>
  <c r="Y33" i="6"/>
  <c r="Y35" i="6"/>
  <c r="W11" i="6"/>
  <c r="X59" i="6" l="1"/>
  <c r="W59" i="6"/>
  <c r="M12" i="8" l="1"/>
  <c r="E11" i="8"/>
  <c r="Z13" i="6" s="1"/>
  <c r="Y11" i="6" l="1"/>
  <c r="Z11" i="6"/>
  <c r="Y13" i="6"/>
  <c r="Y12" i="6"/>
  <c r="M15" i="8"/>
  <c r="Z9" i="6"/>
  <c r="Y14" i="6"/>
  <c r="M13" i="8"/>
  <c r="M17" i="8"/>
  <c r="Y10" i="6"/>
  <c r="Z10" i="6"/>
  <c r="Z60" i="6" s="1"/>
  <c r="Z12" i="6"/>
  <c r="Z14" i="6"/>
  <c r="M16" i="8"/>
  <c r="Y9" i="6"/>
  <c r="M14" i="8"/>
  <c r="Y59" i="6" l="1"/>
  <c r="Y60" i="6"/>
  <c r="Z5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<sst xmlns="http://schemas.openxmlformats.org/spreadsheetml/2006/main" count="253" uniqueCount="139">
  <si>
    <t>O</t>
  </si>
  <si>
    <t>O2</t>
  </si>
  <si>
    <t>A</t>
  </si>
  <si>
    <t>B</t>
  </si>
  <si>
    <t>C</t>
  </si>
  <si>
    <t>D</t>
  </si>
  <si>
    <t>E</t>
  </si>
  <si>
    <t>T_range</t>
  </si>
  <si>
    <t>1000-3000</t>
  </si>
  <si>
    <t>Mg(g)</t>
  </si>
  <si>
    <t>MgO(g)</t>
  </si>
  <si>
    <t>Mg2(g)</t>
  </si>
  <si>
    <t>Ca(g)</t>
  </si>
  <si>
    <t>CaO(g)</t>
  </si>
  <si>
    <t>298-2900</t>
  </si>
  <si>
    <t>d</t>
  </si>
  <si>
    <t>b</t>
  </si>
  <si>
    <t>c</t>
  </si>
  <si>
    <t>e</t>
  </si>
  <si>
    <t>x</t>
  </si>
  <si>
    <t>y</t>
  </si>
  <si>
    <t>dG/RT</t>
  </si>
  <si>
    <t>T_max</t>
  </si>
  <si>
    <t>T_min</t>
  </si>
  <si>
    <t>G/RT</t>
  </si>
  <si>
    <t>= A + BT+CT^2+DT^3+ET^4</t>
  </si>
  <si>
    <t>10^3 B</t>
  </si>
  <si>
    <t>10^6 C</t>
  </si>
  <si>
    <t>10^9 D</t>
  </si>
  <si>
    <t>10^12 E</t>
  </si>
  <si>
    <t>K(i)</t>
  </si>
  <si>
    <t>Ca2(g)</t>
  </si>
  <si>
    <t>=G/RT - d*G(MO)/RT - e*G(O2)/RT</t>
  </si>
  <si>
    <t>= K(i)*p(O2)^e or = K(i)*a(MO)^d*p[O2]^e</t>
  </si>
  <si>
    <t>P(i) for a = 1</t>
  </si>
  <si>
    <t>activity a</t>
  </si>
  <si>
    <t>1500-3000</t>
  </si>
  <si>
    <t>Al(g)</t>
  </si>
  <si>
    <t>AlO(g)</t>
  </si>
  <si>
    <t>AlO2(g)</t>
  </si>
  <si>
    <t>Al2O(g)</t>
  </si>
  <si>
    <t>Al2O2(g)</t>
  </si>
  <si>
    <t>Al2(g)</t>
  </si>
  <si>
    <t>290-2900</t>
  </si>
  <si>
    <t>Si(g)</t>
  </si>
  <si>
    <t>SiO(g)</t>
  </si>
  <si>
    <t>SiO2(g)</t>
  </si>
  <si>
    <t>Si2(g)</t>
  </si>
  <si>
    <t>Si202(g)</t>
  </si>
  <si>
    <t>Si3(g)</t>
  </si>
  <si>
    <t>Metal</t>
  </si>
  <si>
    <t>Oxygen</t>
  </si>
  <si>
    <t xml:space="preserve">Metal </t>
  </si>
  <si>
    <t>Educt:</t>
  </si>
  <si>
    <t>Product:</t>
  </si>
  <si>
    <t>Spezies</t>
  </si>
  <si>
    <t>dH298/R [K]</t>
  </si>
  <si>
    <t>=A+B*T+C*T^2+D*T^3+E*T^4</t>
  </si>
  <si>
    <t>P(i) for defined activity a(i)</t>
  </si>
  <si>
    <t>Na(g)</t>
  </si>
  <si>
    <t>NaO(g)</t>
  </si>
  <si>
    <t>Na2(g)</t>
  </si>
  <si>
    <t>Na2O(g)</t>
  </si>
  <si>
    <t>1200-3000</t>
  </si>
  <si>
    <t>K(g)</t>
  </si>
  <si>
    <t>KO(g)</t>
  </si>
  <si>
    <t>KO2(g)</t>
  </si>
  <si>
    <t>K2(g)</t>
  </si>
  <si>
    <t>K2O(g)</t>
  </si>
  <si>
    <t>1400-3000</t>
  </si>
  <si>
    <t>activity coeff.</t>
  </si>
  <si>
    <t>Input Areas are highlighted:</t>
  </si>
  <si>
    <t>-(G-H)/RT</t>
  </si>
  <si>
    <t>= exp(-dG/RT)</t>
  </si>
  <si>
    <t>K2O(l)</t>
  </si>
  <si>
    <t>Na2O(l)</t>
  </si>
  <si>
    <t>Tmin/Tmax</t>
  </si>
  <si>
    <t>Reference</t>
  </si>
  <si>
    <t>LAM1984</t>
  </si>
  <si>
    <t>LAM1987</t>
  </si>
  <si>
    <t>∆G (moles O2)</t>
  </si>
  <si>
    <t>log fO2</t>
  </si>
  <si>
    <t>Fe-FeO</t>
  </si>
  <si>
    <t>FeO-Fe3O4</t>
  </si>
  <si>
    <t>Fe-Fe3O4</t>
  </si>
  <si>
    <t>QFI</t>
  </si>
  <si>
    <t>QFM</t>
  </si>
  <si>
    <t>Co-CoO</t>
  </si>
  <si>
    <t>Ni-NiO</t>
  </si>
  <si>
    <t>Ni-Ni2SiO4-SiO2</t>
  </si>
  <si>
    <t>Cu-Cu2O</t>
  </si>
  <si>
    <t>Co-Co2SiO4-SiO2</t>
  </si>
  <si>
    <t>W-WO2</t>
  </si>
  <si>
    <t>Fe3O4-Fe2O3</t>
  </si>
  <si>
    <t>Re-ReO2</t>
  </si>
  <si>
    <t>MnO-Mn3O4</t>
  </si>
  <si>
    <t>Mo-MoO2</t>
  </si>
  <si>
    <t>Ru-RuO2</t>
  </si>
  <si>
    <t>CoO-Co3O4</t>
  </si>
  <si>
    <t>Cu2O-CuO</t>
  </si>
  <si>
    <t>Os-OsO2</t>
  </si>
  <si>
    <t>Ir-IrO2</t>
  </si>
  <si>
    <t>Temperature from MOMO (K)</t>
  </si>
  <si>
    <t>p(O2) [bar]</t>
  </si>
  <si>
    <t>MgO(l)</t>
  </si>
  <si>
    <t>3100-3500</t>
  </si>
  <si>
    <t>2900-3800</t>
  </si>
  <si>
    <t>CaO(l)</t>
  </si>
  <si>
    <t>2327·3000</t>
  </si>
  <si>
    <t>SiO2(l)</t>
  </si>
  <si>
    <t>Al2O3(l)</t>
  </si>
  <si>
    <t>1996-3000</t>
  </si>
  <si>
    <t>all metal oxides (MO) are assumed to be liquid, as a melt does not consist of only one species, lowering the melting point of the mix.</t>
  </si>
  <si>
    <t>fO2 from Buffer at given T</t>
  </si>
  <si>
    <t xml:space="preserve">Comment: </t>
  </si>
  <si>
    <t>p(i)</t>
  </si>
  <si>
    <t>p(O2) given and pure MO</t>
  </si>
  <si>
    <t>800-3000</t>
  </si>
  <si>
    <t>825-3000</t>
  </si>
  <si>
    <t>1190 -3000</t>
  </si>
  <si>
    <t>input field</t>
  </si>
  <si>
    <t>Enter melt composition, activity coefficients, temperature range and atmosphere p(O2)</t>
  </si>
  <si>
    <t>Tmin/Tmax [K]</t>
  </si>
  <si>
    <t xml:space="preserve">Magma ocean metal oxide (MOMO) input </t>
  </si>
  <si>
    <t xml:space="preserve">MOMO atmosphere results </t>
  </si>
  <si>
    <t>buffer: IW</t>
  </si>
  <si>
    <t>FeO(g)</t>
  </si>
  <si>
    <t>FeO(l)</t>
  </si>
  <si>
    <t>1000-6000</t>
  </si>
  <si>
    <t>JANAF</t>
  </si>
  <si>
    <t>1000-5000</t>
  </si>
  <si>
    <t>dfH298/R [kK]</t>
  </si>
  <si>
    <t>concentration [wt%/100]</t>
  </si>
  <si>
    <t>Fe(g)</t>
  </si>
  <si>
    <t>sum(MO) [bar]</t>
  </si>
  <si>
    <t>sum(O/2 + O2) [bar]</t>
  </si>
  <si>
    <t>mole fraction</t>
  </si>
  <si>
    <t>s</t>
  </si>
  <si>
    <t>=-((G-H)/RT - dH298/RT)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</si>
</sst>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</font>
    <font>
      <b/>
      <sz val="10"/>
      <name val="Verdana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80">
    <xf numFmtId="0" fontId="0" fillId="0" borderId="0" xfId="0"/>
    <xf numFmtId="0" fontId="0" fillId="0" borderId="0" xfId="0" quotePrefix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1" fontId="0" fillId="2" borderId="0" xfId="0" applyNumberFormat="1" applyFont="1" applyFill="1"/>
    <xf numFmtId="0" fontId="0" fillId="2" borderId="0" xfId="0" applyFont="1" applyFill="1"/>
    <xf numFmtId="2" fontId="0" fillId="2" borderId="0" xfId="0" applyNumberFormat="1" applyFont="1" applyFill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11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1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11" fontId="0" fillId="8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0" fillId="0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0" borderId="0" xfId="0" applyFont="1"/>
    <xf numFmtId="0" fontId="0" fillId="7" borderId="0" xfId="0" applyFont="1" applyFill="1"/>
    <xf numFmtId="2" fontId="0" fillId="7" borderId="0" xfId="0" applyNumberFormat="1" applyFont="1" applyFill="1"/>
    <xf numFmtId="11" fontId="0" fillId="7" borderId="0" xfId="0" applyNumberFormat="1" applyFont="1" applyFill="1"/>
    <xf numFmtId="0" fontId="4" fillId="0" borderId="0" xfId="0" applyFont="1" applyAlignment="1">
      <alignment horizontal="center"/>
    </xf>
    <xf numFmtId="11" fontId="0" fillId="2" borderId="0" xfId="0" applyNumberFormat="1" applyFill="1" applyBorder="1"/>
    <xf numFmtId="11" fontId="0" fillId="2" borderId="0" xfId="0" applyNumberFormat="1" applyFont="1" applyFill="1" applyBorder="1"/>
    <xf numFmtId="11" fontId="0" fillId="8" borderId="0" xfId="0" applyNumberFormat="1" applyFill="1" applyBorder="1"/>
    <xf numFmtId="11" fontId="0" fillId="3" borderId="0" xfId="0" applyNumberFormat="1" applyFill="1" applyBorder="1"/>
    <xf numFmtId="11" fontId="0" fillId="4" borderId="0" xfId="0" applyNumberFormat="1" applyFill="1" applyBorder="1"/>
    <xf numFmtId="11" fontId="0" fillId="6" borderId="0" xfId="0" applyNumberFormat="1" applyFill="1" applyBorder="1"/>
    <xf numFmtId="11" fontId="0" fillId="7" borderId="0" xfId="0" applyNumberFormat="1" applyFill="1" applyBorder="1"/>
    <xf numFmtId="0" fontId="0" fillId="0" borderId="8" xfId="0" applyNumberFormat="1" applyFill="1" applyBorder="1"/>
    <xf numFmtId="11" fontId="0" fillId="2" borderId="8" xfId="0" applyNumberFormat="1" applyFill="1" applyBorder="1"/>
    <xf numFmtId="11" fontId="0" fillId="2" borderId="8" xfId="0" applyNumberFormat="1" applyFont="1" applyFill="1" applyBorder="1"/>
    <xf numFmtId="11" fontId="0" fillId="8" borderId="8" xfId="0" applyNumberFormat="1" applyFill="1" applyBorder="1"/>
    <xf numFmtId="11" fontId="0" fillId="3" borderId="8" xfId="0" applyNumberFormat="1" applyFill="1" applyBorder="1"/>
    <xf numFmtId="11" fontId="0" fillId="4" borderId="8" xfId="0" applyNumberFormat="1" applyFill="1" applyBorder="1"/>
    <xf numFmtId="11" fontId="0" fillId="6" borderId="8" xfId="0" applyNumberFormat="1" applyFill="1" applyBorder="1"/>
    <xf numFmtId="11" fontId="0" fillId="7" borderId="8" xfId="0" applyNumberFormat="1" applyFill="1" applyBorder="1"/>
    <xf numFmtId="11" fontId="0" fillId="7" borderId="8" xfId="0" applyNumberFormat="1" applyFont="1" applyFill="1" applyBorder="1"/>
    <xf numFmtId="0" fontId="0" fillId="0" borderId="0" xfId="0" applyNumberFormat="1" applyFill="1" applyBorder="1"/>
    <xf numFmtId="0" fontId="0" fillId="0" borderId="10" xfId="0" applyFill="1" applyBorder="1"/>
    <xf numFmtId="0" fontId="0" fillId="0" borderId="11" xfId="0" applyFill="1" applyBorder="1"/>
    <xf numFmtId="11" fontId="0" fillId="2" borderId="12" xfId="0" applyNumberFormat="1" applyFill="1" applyBorder="1"/>
    <xf numFmtId="11" fontId="0" fillId="2" borderId="12" xfId="0" applyNumberFormat="1" applyFont="1" applyFill="1" applyBorder="1"/>
    <xf numFmtId="11" fontId="0" fillId="8" borderId="12" xfId="0" applyNumberFormat="1" applyFill="1" applyBorder="1"/>
    <xf numFmtId="11" fontId="0" fillId="3" borderId="12" xfId="0" applyNumberFormat="1" applyFill="1" applyBorder="1"/>
    <xf numFmtId="11" fontId="0" fillId="4" borderId="12" xfId="0" applyNumberFormat="1" applyFill="1" applyBorder="1"/>
    <xf numFmtId="0" fontId="0" fillId="0" borderId="9" xfId="0" applyFill="1" applyBorder="1"/>
    <xf numFmtId="0" fontId="0" fillId="0" borderId="12" xfId="0" applyNumberFormat="1" applyFill="1" applyBorder="1"/>
    <xf numFmtId="11" fontId="0" fillId="8" borderId="8" xfId="0" applyNumberFormat="1" applyFont="1" applyFill="1" applyBorder="1"/>
    <xf numFmtId="11" fontId="0" fillId="3" borderId="8" xfId="0" applyNumberFormat="1" applyFont="1" applyFill="1" applyBorder="1"/>
    <xf numFmtId="11" fontId="0" fillId="4" borderId="8" xfId="0" applyNumberFormat="1" applyFont="1" applyFill="1" applyBorder="1"/>
    <xf numFmtId="11" fontId="0" fillId="6" borderId="12" xfId="0" applyNumberFormat="1" applyFill="1" applyBorder="1"/>
    <xf numFmtId="11" fontId="0" fillId="6" borderId="8" xfId="0" applyNumberFormat="1" applyFont="1" applyFill="1" applyBorder="1"/>
    <xf numFmtId="11" fontId="0" fillId="7" borderId="12" xfId="0" applyNumberFormat="1" applyFill="1" applyBorder="1"/>
    <xf numFmtId="11" fontId="0" fillId="7" borderId="12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ont="1" applyFill="1"/>
    <xf numFmtId="2" fontId="0" fillId="3" borderId="0" xfId="0" applyNumberFormat="1" applyFont="1" applyFill="1"/>
    <xf numFmtId="11" fontId="0" fillId="3" borderId="0" xfId="0" applyNumberFormat="1" applyFont="1" applyFill="1"/>
    <xf numFmtId="11" fontId="0" fillId="3" borderId="12" xfId="0" applyNumberFormat="1" applyFont="1" applyFill="1" applyBorder="1"/>
    <xf numFmtId="11" fontId="0" fillId="3" borderId="0" xfId="0" applyNumberFormat="1" applyFont="1" applyFill="1" applyBorder="1"/>
    <xf numFmtId="0" fontId="0" fillId="0" borderId="0" xfId="0" applyBorder="1"/>
    <xf numFmtId="0" fontId="0" fillId="0" borderId="0" xfId="0" quotePrefix="1" applyBorder="1"/>
    <xf numFmtId="0" fontId="0" fillId="6" borderId="0" xfId="0" applyFill="1" applyBorder="1"/>
    <xf numFmtId="0" fontId="0" fillId="9" borderId="0" xfId="0" applyFill="1"/>
    <xf numFmtId="2" fontId="0" fillId="9" borderId="0" xfId="0" applyNumberFormat="1" applyFill="1"/>
    <xf numFmtId="11" fontId="0" fillId="9" borderId="0" xfId="0" applyNumberFormat="1" applyFill="1" applyBorder="1"/>
    <xf numFmtId="11" fontId="0" fillId="9" borderId="0" xfId="0" applyNumberFormat="1" applyFill="1"/>
    <xf numFmtId="11" fontId="0" fillId="9" borderId="12" xfId="0" applyNumberFormat="1" applyFill="1" applyBorder="1"/>
    <xf numFmtId="11" fontId="0" fillId="9" borderId="8" xfId="0" applyNumberFormat="1" applyFill="1" applyBorder="1"/>
    <xf numFmtId="11" fontId="0" fillId="9" borderId="8" xfId="0" applyNumberFormat="1" applyFont="1" applyFill="1" applyBorder="1"/>
    <xf numFmtId="0" fontId="5" fillId="0" borderId="0" xfId="1"/>
    <xf numFmtId="0" fontId="5" fillId="0" borderId="3" xfId="1" applyBorder="1"/>
    <xf numFmtId="0" fontId="6" fillId="0" borderId="0" xfId="1" applyFont="1"/>
    <xf numFmtId="2" fontId="5" fillId="0" borderId="0" xfId="1" applyNumberFormat="1"/>
    <xf numFmtId="0" fontId="5" fillId="0" borderId="0" xfId="1" applyFill="1" applyBorder="1"/>
    <xf numFmtId="0" fontId="5" fillId="0" borderId="3" xfId="1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/>
    <xf numFmtId="11" fontId="1" fillId="3" borderId="0" xfId="0" applyNumberFormat="1" applyFont="1" applyFill="1"/>
    <xf numFmtId="0" fontId="1" fillId="4" borderId="0" xfId="0" applyFont="1" applyFill="1"/>
    <xf numFmtId="11" fontId="1" fillId="4" borderId="0" xfId="0" applyNumberFormat="1" applyFont="1" applyFill="1"/>
    <xf numFmtId="0" fontId="1" fillId="2" borderId="0" xfId="0" applyFont="1" applyFill="1"/>
    <xf numFmtId="11" fontId="1" fillId="2" borderId="0" xfId="0" applyNumberFormat="1" applyFont="1" applyFill="1"/>
    <xf numFmtId="0" fontId="0" fillId="0" borderId="0" xfId="0" applyAlignment="1">
      <alignment horizontal="center"/>
    </xf>
    <xf numFmtId="2" fontId="1" fillId="2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0" fontId="2" fillId="0" borderId="0" xfId="0" applyFont="1" applyAlignment="1">
      <alignment horizontal="center"/>
    </xf>
    <xf numFmtId="0" fontId="0" fillId="0" borderId="3" xfId="0" applyBorder="1"/>
    <xf numFmtId="0" fontId="1" fillId="8" borderId="0" xfId="0" applyFont="1" applyFill="1"/>
    <xf numFmtId="2" fontId="1" fillId="8" borderId="0" xfId="0" applyNumberFormat="1" applyFont="1" applyFill="1"/>
    <xf numFmtId="11" fontId="1" fillId="8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11" fontId="1" fillId="6" borderId="0" xfId="0" applyNumberFormat="1" applyFont="1" applyFill="1"/>
    <xf numFmtId="0" fontId="1" fillId="7" borderId="0" xfId="0" applyFont="1" applyFill="1"/>
    <xf numFmtId="2" fontId="1" fillId="7" borderId="0" xfId="0" applyNumberFormat="1" applyFont="1" applyFill="1"/>
    <xf numFmtId="11" fontId="1" fillId="7" borderId="0" xfId="0" applyNumberFormat="1" applyFont="1" applyFill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Fill="1" applyBorder="1" applyAlignment="1">
      <alignment horizontal="center" vertical="center"/>
    </xf>
    <xf numFmtId="11" fontId="1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7" borderId="0" xfId="0" applyFont="1" applyFill="1"/>
    <xf numFmtId="0" fontId="3" fillId="6" borderId="0" xfId="0" applyFont="1" applyFill="1"/>
    <xf numFmtId="0" fontId="0" fillId="5" borderId="6" xfId="0" applyFill="1" applyBorder="1"/>
    <xf numFmtId="0" fontId="4" fillId="0" borderId="0" xfId="0" applyFont="1" applyAlignment="1">
      <alignment horizontal="center"/>
    </xf>
    <xf numFmtId="11" fontId="1" fillId="2" borderId="0" xfId="0" applyNumberFormat="1" applyFont="1" applyFill="1" applyBorder="1"/>
    <xf numFmtId="11" fontId="1" fillId="8" borderId="0" xfId="0" applyNumberFormat="1" applyFont="1" applyFill="1" applyBorder="1"/>
    <xf numFmtId="11" fontId="1" fillId="3" borderId="0" xfId="0" applyNumberFormat="1" applyFont="1" applyFill="1" applyBorder="1"/>
    <xf numFmtId="11" fontId="1" fillId="4" borderId="0" xfId="0" applyNumberFormat="1" applyFont="1" applyFill="1" applyBorder="1"/>
    <xf numFmtId="11" fontId="1" fillId="6" borderId="0" xfId="0" applyNumberFormat="1" applyFont="1" applyFill="1" applyBorder="1"/>
    <xf numFmtId="11" fontId="0" fillId="7" borderId="0" xfId="0" applyNumberFormat="1" applyFill="1" applyBorder="1"/>
    <xf numFmtId="11" fontId="1" fillId="7" borderId="0" xfId="0" applyNumberFormat="1" applyFont="1" applyFill="1" applyBorder="1"/>
    <xf numFmtId="11" fontId="1" fillId="2" borderId="8" xfId="0" applyNumberFormat="1" applyFont="1" applyFill="1" applyBorder="1"/>
    <xf numFmtId="11" fontId="0" fillId="2" borderId="8" xfId="0" applyNumberFormat="1" applyFont="1" applyFill="1" applyBorder="1"/>
    <xf numFmtId="11" fontId="1" fillId="8" borderId="8" xfId="0" applyNumberFormat="1" applyFont="1" applyFill="1" applyBorder="1"/>
    <xf numFmtId="11" fontId="1" fillId="3" borderId="8" xfId="0" applyNumberFormat="1" applyFont="1" applyFill="1" applyBorder="1"/>
    <xf numFmtId="11" fontId="1" fillId="4" borderId="8" xfId="0" applyNumberFormat="1" applyFont="1" applyFill="1" applyBorder="1"/>
    <xf numFmtId="11" fontId="1" fillId="6" borderId="8" xfId="0" applyNumberFormat="1" applyFont="1" applyFill="1" applyBorder="1"/>
    <xf numFmtId="11" fontId="0" fillId="7" borderId="8" xfId="0" applyNumberFormat="1" applyFill="1" applyBorder="1"/>
    <xf numFmtId="11" fontId="0" fillId="7" borderId="8" xfId="0" applyNumberFormat="1" applyFont="1" applyFill="1" applyBorder="1"/>
    <xf numFmtId="11" fontId="1" fillId="7" borderId="8" xfId="0" applyNumberFormat="1" applyFont="1" applyFill="1" applyBorder="1"/>
    <xf numFmtId="11" fontId="0" fillId="2" borderId="12" xfId="0" applyNumberFormat="1" applyFill="1" applyBorder="1"/>
    <xf numFmtId="11" fontId="1" fillId="2" borderId="12" xfId="0" applyNumberFormat="1" applyFont="1" applyFill="1" applyBorder="1"/>
    <xf numFmtId="11" fontId="0" fillId="2" borderId="12" xfId="0" applyNumberFormat="1" applyFont="1" applyFill="1" applyBorder="1"/>
    <xf numFmtId="11" fontId="1" fillId="8" borderId="12" xfId="0" applyNumberFormat="1" applyFont="1" applyFill="1" applyBorder="1"/>
    <xf numFmtId="11" fontId="1" fillId="3" borderId="12" xfId="0" applyNumberFormat="1" applyFont="1" applyFill="1" applyBorder="1"/>
    <xf numFmtId="11" fontId="1" fillId="4" borderId="12" xfId="0" applyNumberFormat="1" applyFont="1" applyFill="1" applyBorder="1"/>
    <xf numFmtId="11" fontId="1" fillId="6" borderId="12" xfId="0" applyNumberFormat="1" applyFont="1" applyFill="1" applyBorder="1"/>
    <xf numFmtId="11" fontId="0" fillId="7" borderId="12" xfId="0" applyNumberFormat="1" applyFill="1" applyBorder="1"/>
    <xf numFmtId="11" fontId="1" fillId="7" borderId="12" xfId="0" applyNumberFormat="1" applyFont="1" applyFill="1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/>
    </xf>
    <xf numFmtId="11" fontId="0" fillId="5" borderId="6" xfId="0" applyNumberFormat="1" applyFill="1" applyBorder="1"/>
    <xf numFmtId="0" fontId="0" fillId="0" borderId="0" xfId="0" quotePrefix="1" applyAlignment="1"/>
    <xf numFmtId="0" fontId="0" fillId="0" borderId="16" xfId="0" applyBorder="1"/>
    <xf numFmtId="0" fontId="0" fillId="0" borderId="16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13" xfId="0" applyBorder="1"/>
    <xf numFmtId="0" fontId="0" fillId="0" borderId="7" xfId="0" applyBorder="1"/>
    <xf numFmtId="0" fontId="0" fillId="0" borderId="18" xfId="0" applyBorder="1"/>
    <xf numFmtId="0" fontId="1" fillId="0" borderId="0" xfId="0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1" fontId="1" fillId="5" borderId="6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7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11" fontId="0" fillId="9" borderId="0" xfId="0" applyNumberForma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0" fillId="2" borderId="0" xfId="0" applyNumberFormat="1" applyFont="1" applyFill="1" applyBorder="1" applyAlignment="1">
      <alignment horizontal="center"/>
    </xf>
    <xf numFmtId="11" fontId="0" fillId="8" borderId="0" xfId="0" applyNumberFormat="1" applyFill="1" applyBorder="1" applyAlignment="1">
      <alignment horizontal="center"/>
    </xf>
    <xf numFmtId="11" fontId="1" fillId="8" borderId="0" xfId="0" applyNumberFormat="1" applyFont="1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0" fillId="4" borderId="0" xfId="0" applyNumberForma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11" fontId="0" fillId="6" borderId="0" xfId="0" applyNumberFormat="1" applyFill="1" applyAlignment="1">
      <alignment horizontal="center"/>
    </xf>
    <xf numFmtId="11" fontId="1" fillId="6" borderId="0" xfId="0" applyNumberFormat="1" applyFont="1" applyFill="1" applyAlignment="1">
      <alignment horizontal="center"/>
    </xf>
    <xf numFmtId="11" fontId="0" fillId="7" borderId="0" xfId="0" applyNumberFormat="1" applyFill="1" applyAlignment="1">
      <alignment horizontal="center"/>
    </xf>
    <xf numFmtId="11" fontId="0" fillId="7" borderId="0" xfId="0" applyNumberFormat="1" applyFont="1" applyFill="1" applyAlignment="1">
      <alignment horizontal="center"/>
    </xf>
    <xf numFmtId="11" fontId="1" fillId="7" borderId="0" xfId="0" applyNumberFormat="1" applyFont="1" applyFill="1" applyAlignment="1">
      <alignment horizontal="center"/>
    </xf>
    <xf numFmtId="0" fontId="0" fillId="0" borderId="0" xfId="0" applyNumberFormat="1" applyFill="1" applyAlignment="1"/>
    <xf numFmtId="0" fontId="8" fillId="0" borderId="0" xfId="0" applyFont="1" applyBorder="1"/>
    <xf numFmtId="11" fontId="9" fillId="0" borderId="0" xfId="0" applyNumberFormat="1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5" borderId="6" xfId="0" applyNumberFormat="1" applyFill="1" applyBorder="1"/>
    <xf numFmtId="0" fontId="0" fillId="10" borderId="0" xfId="0" applyFill="1"/>
    <xf numFmtId="1" fontId="0" fillId="10" borderId="0" xfId="0" applyNumberFormat="1" applyFill="1"/>
    <xf numFmtId="2" fontId="0" fillId="10" borderId="0" xfId="0" applyNumberFormat="1" applyFill="1" applyAlignment="1">
      <alignment horizontal="center"/>
    </xf>
    <xf numFmtId="2" fontId="0" fillId="10" borderId="0" xfId="0" applyNumberFormat="1" applyFill="1"/>
    <xf numFmtId="11" fontId="0" fillId="10" borderId="0" xfId="0" applyNumberFormat="1" applyFill="1" applyAlignment="1">
      <alignment horizontal="center"/>
    </xf>
    <xf numFmtId="11" fontId="0" fillId="10" borderId="0" xfId="0" applyNumberFormat="1" applyFill="1"/>
    <xf numFmtId="11" fontId="0" fillId="10" borderId="12" xfId="0" applyNumberFormat="1" applyFill="1" applyBorder="1"/>
    <xf numFmtId="11" fontId="0" fillId="10" borderId="8" xfId="0" applyNumberFormat="1" applyFill="1" applyBorder="1"/>
    <xf numFmtId="11" fontId="0" fillId="10" borderId="0" xfId="0" applyNumberFormat="1" applyFill="1" applyBorder="1"/>
    <xf numFmtId="11" fontId="0" fillId="10" borderId="8" xfId="0" applyNumberFormat="1" applyFont="1" applyFill="1" applyBorder="1"/>
    <xf numFmtId="0" fontId="1" fillId="10" borderId="0" xfId="0" applyFont="1" applyFill="1"/>
    <xf numFmtId="1" fontId="1" fillId="10" borderId="0" xfId="0" applyNumberFormat="1" applyFont="1" applyFill="1"/>
    <xf numFmtId="2" fontId="1" fillId="10" borderId="0" xfId="0" applyNumberFormat="1" applyFont="1" applyFill="1" applyAlignment="1">
      <alignment horizontal="center"/>
    </xf>
    <xf numFmtId="2" fontId="1" fillId="10" borderId="0" xfId="0" applyNumberFormat="1" applyFont="1" applyFill="1"/>
    <xf numFmtId="11" fontId="1" fillId="10" borderId="0" xfId="0" applyNumberFormat="1" applyFont="1" applyFill="1" applyAlignment="1">
      <alignment horizontal="center"/>
    </xf>
    <xf numFmtId="11" fontId="1" fillId="10" borderId="0" xfId="0" applyNumberFormat="1" applyFont="1" applyFill="1"/>
    <xf numFmtId="11" fontId="1" fillId="10" borderId="12" xfId="0" applyNumberFormat="1" applyFont="1" applyFill="1" applyBorder="1"/>
    <xf numFmtId="11" fontId="1" fillId="10" borderId="8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1" fillId="5" borderId="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0" fontId="1" fillId="5" borderId="6" xfId="0" applyNumberFormat="1" applyFont="1" applyFill="1" applyBorder="1" applyAlignment="1">
      <alignment horizontal="center"/>
    </xf>
    <xf numFmtId="11" fontId="0" fillId="0" borderId="10" xfId="0" applyNumberFormat="1" applyBorder="1"/>
    <xf numFmtId="11" fontId="0" fillId="0" borderId="17" xfId="0" applyNumberFormat="1" applyBorder="1"/>
    <xf numFmtId="11" fontId="0" fillId="0" borderId="7" xfId="0" applyNumberFormat="1" applyBorder="1"/>
    <xf numFmtId="11" fontId="0" fillId="0" borderId="18" xfId="0" applyNumberFormat="1" applyBorder="1"/>
    <xf numFmtId="0" fontId="2" fillId="0" borderId="19" xfId="0" applyFont="1" applyBorder="1"/>
    <xf numFmtId="0" fontId="2" fillId="0" borderId="20" xfId="0" applyFont="1" applyBorder="1"/>
    <xf numFmtId="165" fontId="2" fillId="0" borderId="0" xfId="0" applyNumberFormat="1" applyFont="1"/>
    <xf numFmtId="164" fontId="2" fillId="0" borderId="3" xfId="0" applyNumberFormat="1" applyFont="1" applyBorder="1"/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Alignment="1">
      <alignment horizont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'MOMO Atmo results'!$A$11</c:f>
              <c:strCache>
                <c:ptCount val="1"/>
                <c:pt idx="0">
                  <c:v>Mg(g)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results'!$Y$11:$Z$11</c:f>
              <c:numCache>
                <c:formatCode>0.00E+00</c:formatCode>
                <c:ptCount val="2"/>
                <c:pt idx="0">
                  <c:v>1.4057703922843663E-10</c:v>
                </c:pt>
                <c:pt idx="1">
                  <c:v>1.7162130325156964E-4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D-46CC-A365-AA54A9E49C6A}"/>
            </c:ext>
          </c:extLst>
        </c:ser>
        <c:ser>
          <c:idx val="1"/>
          <c:order val="1"/>
          <c:tx>
            <c:strRef>
              <c:f>'MOMO Atmo results'!$A$13</c:f>
              <c:strCache>
                <c:ptCount val="1"/>
                <c:pt idx="0">
                  <c:v>MgO(g)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results'!$Y$13:$Z$13</c:f>
              <c:numCache>
                <c:formatCode>0.00E+00</c:formatCode>
                <c:ptCount val="2"/>
                <c:pt idx="0">
                  <c:v>7.5495415052970702E-14</c:v>
                </c:pt>
                <c:pt idx="1">
                  <c:v>3.5698705335739735E-5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FD-46CC-A365-AA54A9E49C6A}"/>
            </c:ext>
          </c:extLst>
        </c:ser>
        <c:ser>
          <c:idx val="2"/>
          <c:order val="2"/>
          <c:tx>
            <c:strRef>
              <c:f>'MOMO Atmo results'!$A$14</c:f>
              <c:strCache>
                <c:ptCount val="1"/>
                <c:pt idx="0">
                  <c:v>Mg2(g)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results'!$Y$14:$Z$14</c:f>
              <c:numCache>
                <c:formatCode>0.00E+00</c:formatCode>
                <c:ptCount val="2"/>
                <c:pt idx="0">
                  <c:v>1.8250395252922724E-23</c:v>
                </c:pt>
                <c:pt idx="1">
                  <c:v>1.1567210313442881E-11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FD-46CC-A365-AA54A9E49C6A}"/>
            </c:ext>
          </c:extLst>
        </c:ser>
        <c:ser>
          <c:idx val="3"/>
          <c:order val="3"/>
          <c:tx>
            <c:strRef>
              <c:f>'MOMO Atmo results'!$A$17</c:f>
              <c:strCache>
                <c:ptCount val="1"/>
                <c:pt idx="0">
                  <c:v>Ca(g)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results'!$Y$17:$Z$17</c:f>
              <c:numCache>
                <c:formatCode>0.00E+00</c:formatCode>
                <c:ptCount val="2"/>
                <c:pt idx="0">
                  <c:v>1.5838306062234964E-14</c:v>
                </c:pt>
                <c:pt idx="1">
                  <c:v>1.741645027304122E-7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FD-46CC-A365-AA54A9E49C6A}"/>
            </c:ext>
          </c:extLst>
        </c:ser>
        <c:ser>
          <c:idx val="4"/>
          <c:order val="4"/>
          <c:tx>
            <c:strRef>
              <c:f>'MOMO Atmo results'!$A$19</c:f>
              <c:strCache>
                <c:ptCount val="1"/>
                <c:pt idx="0">
                  <c:v>CaO(g)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results'!$Y$19:$Z$19</c:f>
              <c:numCache>
                <c:formatCode>0.00E+00</c:formatCode>
                <c:ptCount val="2"/>
                <c:pt idx="0">
                  <c:v>1.6892569714459561E-16</c:v>
                </c:pt>
                <c:pt idx="1">
                  <c:v>1.0790952228943475E-7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FD-46CC-A365-AA54A9E49C6A}"/>
            </c:ext>
          </c:extLst>
        </c:ser>
        <c:ser>
          <c:idx val="5"/>
          <c:order val="5"/>
          <c:tx>
            <c:strRef>
              <c:f>'MOMO Atmo results'!$A$20</c:f>
              <c:strCache>
                <c:ptCount val="1"/>
                <c:pt idx="0">
                  <c:v>Ca2(g)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results'!$Y$20:$Z$20</c:f>
              <c:numCache>
                <c:formatCode>0.00E+00</c:formatCode>
                <c:ptCount val="2"/>
                <c:pt idx="0">
                  <c:v>4.8581027124127104E-31</c:v>
                </c:pt>
                <c:pt idx="1">
                  <c:v>2.3576502073315848E-17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FD-46CC-A365-AA54A9E49C6A}"/>
            </c:ext>
          </c:extLst>
        </c:ser>
        <c:ser>
          <c:idx val="6"/>
          <c:order val="6"/>
          <c:tx>
            <c:strRef>
              <c:f>'MOMO Atmo results'!$A$23</c:f>
              <c:strCache>
                <c:ptCount val="1"/>
                <c:pt idx="0">
                  <c:v>Al(g)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results'!$Y$23:$Z$23</c:f>
              <c:numCache>
                <c:formatCode>0.00E+00</c:formatCode>
                <c:ptCount val="2"/>
                <c:pt idx="0">
                  <c:v>1.1330136512802789E-21</c:v>
                </c:pt>
                <c:pt idx="1">
                  <c:v>9.0914925389686242E-10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FD-46CC-A365-AA54A9E49C6A}"/>
            </c:ext>
          </c:extLst>
        </c:ser>
        <c:ser>
          <c:idx val="7"/>
          <c:order val="7"/>
          <c:tx>
            <c:strRef>
              <c:f>'MOMO Atmo results'!$A$24</c:f>
              <c:strCache>
                <c:ptCount val="1"/>
                <c:pt idx="0">
                  <c:v>AlO(g)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results'!$Y$24:$Z$24</c:f>
              <c:numCache>
                <c:formatCode>0.00E+00</c:formatCode>
                <c:ptCount val="2"/>
                <c:pt idx="0">
                  <c:v>8.1591079380265646E-20</c:v>
                </c:pt>
                <c:pt idx="1">
                  <c:v>6.0471479839291956E-8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FD-46CC-A365-AA54A9E49C6A}"/>
            </c:ext>
          </c:extLst>
        </c:ser>
        <c:ser>
          <c:idx val="8"/>
          <c:order val="8"/>
          <c:tx>
            <c:strRef>
              <c:f>'MOMO Atmo results'!$A$25</c:f>
              <c:strCache>
                <c:ptCount val="1"/>
                <c:pt idx="0">
                  <c:v>AlO2(g)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results'!$Y$25:$Z$25</c:f>
              <c:numCache>
                <c:formatCode>0.00E+00</c:formatCode>
                <c:ptCount val="2"/>
                <c:pt idx="0">
                  <c:v>2.2631151856918717E-22</c:v>
                </c:pt>
                <c:pt idx="1">
                  <c:v>5.5287662817800096E-9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FD-46CC-A365-AA54A9E49C6A}"/>
            </c:ext>
          </c:extLst>
        </c:ser>
        <c:ser>
          <c:idx val="9"/>
          <c:order val="9"/>
          <c:tx>
            <c:strRef>
              <c:f>'MOMO Atmo results'!$A$26</c:f>
              <c:strCache>
                <c:ptCount val="1"/>
                <c:pt idx="0">
                  <c:v>Al2(g)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results'!$Y$26:$Z$26</c:f>
              <c:numCache>
                <c:formatCode>0.00E+00</c:formatCode>
                <c:ptCount val="2"/>
                <c:pt idx="0">
                  <c:v>9.5927727671564927E-42</c:v>
                </c:pt>
                <c:pt idx="1">
                  <c:v>3.1890065145143854E-20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FD-46CC-A365-AA54A9E49C6A}"/>
            </c:ext>
          </c:extLst>
        </c:ser>
        <c:ser>
          <c:idx val="10"/>
          <c:order val="10"/>
          <c:tx>
            <c:strRef>
              <c:f>'MOMO Atmo results'!$A$27</c:f>
              <c:strCache>
                <c:ptCount val="1"/>
                <c:pt idx="0">
                  <c:v>Al2O(g)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results'!$Y$27:$Z$27</c:f>
              <c:numCache>
                <c:formatCode>0.00E+00</c:formatCode>
                <c:ptCount val="2"/>
                <c:pt idx="0">
                  <c:v>1.4008153433246825E-28</c:v>
                </c:pt>
                <c:pt idx="1">
                  <c:v>2.2269176525355944E-12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FD-46CC-A365-AA54A9E49C6A}"/>
            </c:ext>
          </c:extLst>
        </c:ser>
        <c:ser>
          <c:idx val="11"/>
          <c:order val="11"/>
          <c:tx>
            <c:strRef>
              <c:f>'MOMO Atmo results'!$A$28</c:f>
              <c:strCache>
                <c:ptCount val="1"/>
                <c:pt idx="0">
                  <c:v>Al2O2(g)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results'!$Y$28:$Z$28</c:f>
              <c:numCache>
                <c:formatCode>0.00E+00</c:formatCode>
                <c:ptCount val="2"/>
                <c:pt idx="0">
                  <c:v>3.2778992154269387E-28</c:v>
                </c:pt>
                <c:pt idx="1">
                  <c:v>8.0036335681620157E-12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5FD-46CC-A365-AA54A9E49C6A}"/>
            </c:ext>
          </c:extLst>
        </c:ser>
        <c:ser>
          <c:idx val="12"/>
          <c:order val="12"/>
          <c:tx>
            <c:strRef>
              <c:f>'MOMO Atmo results'!$A$32</c:f>
              <c:strCache>
                <c:ptCount val="1"/>
                <c:pt idx="0">
                  <c:v>Si(g)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results'!$Y$32:$Z$32</c:f>
              <c:numCache>
                <c:formatCode>0.00E+00</c:formatCode>
                <c:ptCount val="2"/>
                <c:pt idx="0">
                  <c:v>2.639225173848575E-22</c:v>
                </c:pt>
                <c:pt idx="1">
                  <c:v>5.7248983844435907E-11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5FD-46CC-A365-AA54A9E49C6A}"/>
            </c:ext>
          </c:extLst>
        </c:ser>
        <c:ser>
          <c:idx val="13"/>
          <c:order val="13"/>
          <c:tx>
            <c:strRef>
              <c:f>'MOMO Atmo results'!$A$33</c:f>
              <c:strCache>
                <c:ptCount val="1"/>
                <c:pt idx="0">
                  <c:v>SiO(g)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results'!$Y$33:$Z$33</c:f>
              <c:numCache>
                <c:formatCode>0.00E+00</c:formatCode>
                <c:ptCount val="2"/>
                <c:pt idx="0">
                  <c:v>4.9124635237032412E-11</c:v>
                </c:pt>
                <c:pt idx="1">
                  <c:v>8.0831982944431385E-4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5FD-46CC-A365-AA54A9E49C6A}"/>
            </c:ext>
          </c:extLst>
        </c:ser>
        <c:ser>
          <c:idx val="14"/>
          <c:order val="14"/>
          <c:tx>
            <c:strRef>
              <c:f>'MOMO Atmo results'!$A$35</c:f>
              <c:strCache>
                <c:ptCount val="1"/>
                <c:pt idx="0">
                  <c:v>SiO2(g)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results'!$Y$35:$Z$35</c:f>
              <c:numCache>
                <c:formatCode>0.00E+00</c:formatCode>
                <c:ptCount val="2"/>
                <c:pt idx="0">
                  <c:v>3.3768365542315688E-12</c:v>
                </c:pt>
                <c:pt idx="1">
                  <c:v>2.2845260767203764E-4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5FD-46CC-A365-AA54A9E49C6A}"/>
            </c:ext>
          </c:extLst>
        </c:ser>
        <c:ser>
          <c:idx val="15"/>
          <c:order val="15"/>
          <c:tx>
            <c:strRef>
              <c:f>'MOMO Atmo results'!$A$36</c:f>
              <c:strCache>
                <c:ptCount val="1"/>
                <c:pt idx="0">
                  <c:v>Si2(g)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results'!$Y$36:$Z$36</c:f>
              <c:numCache>
                <c:formatCode>0.00E+00</c:formatCode>
                <c:ptCount val="2"/>
                <c:pt idx="0">
                  <c:v>7.5402583901809995E-38</c:v>
                </c:pt>
                <c:pt idx="1">
                  <c:v>7.3092134127219209E-20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5FD-46CC-A365-AA54A9E49C6A}"/>
            </c:ext>
          </c:extLst>
        </c:ser>
        <c:ser>
          <c:idx val="16"/>
          <c:order val="16"/>
          <c:tx>
            <c:strRef>
              <c:f>'MOMO Atmo results'!$A$37</c:f>
              <c:strCache>
                <c:ptCount val="1"/>
                <c:pt idx="0">
                  <c:v>Si202(g)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results'!$Y$37:$Z$37</c:f>
              <c:numCache>
                <c:formatCode>0.00E+00</c:formatCode>
                <c:ptCount val="2"/>
                <c:pt idx="0">
                  <c:v>2.4393434558037224E-21</c:v>
                </c:pt>
                <c:pt idx="1">
                  <c:v>5.5473292097325879E-9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5FD-46CC-A365-AA54A9E49C6A}"/>
            </c:ext>
          </c:extLst>
        </c:ser>
        <c:ser>
          <c:idx val="17"/>
          <c:order val="17"/>
          <c:tx>
            <c:strRef>
              <c:f>'MOMO Atmo results'!$A$38</c:f>
              <c:strCache>
                <c:ptCount val="1"/>
                <c:pt idx="0">
                  <c:v>Si3(g)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results'!$Y$38:$Z$38</c:f>
              <c:numCache>
                <c:formatCode>0.00E+00</c:formatCode>
                <c:ptCount val="2"/>
                <c:pt idx="0">
                  <c:v>2.9101445477836433E-52</c:v>
                </c:pt>
                <c:pt idx="1">
                  <c:v>1.6712639301233221E-28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5FD-46CC-A365-AA54A9E49C6A}"/>
            </c:ext>
          </c:extLst>
        </c:ser>
        <c:ser>
          <c:idx val="18"/>
          <c:order val="18"/>
          <c:tx>
            <c:strRef>
              <c:f>'MOMO Atmo results'!$A$41</c:f>
              <c:strCache>
                <c:ptCount val="1"/>
                <c:pt idx="0">
                  <c:v>Na(g)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results'!$Y$41:$Z$41</c:f>
              <c:numCache>
                <c:formatCode>0.00E+00</c:formatCode>
                <c:ptCount val="2"/>
                <c:pt idx="0">
                  <c:v>5.7369311520801236E-7</c:v>
                </c:pt>
                <c:pt idx="1">
                  <c:v>5.4853300570697981E-5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5FD-46CC-A365-AA54A9E49C6A}"/>
            </c:ext>
          </c:extLst>
        </c:ser>
        <c:ser>
          <c:idx val="19"/>
          <c:order val="19"/>
          <c:tx>
            <c:strRef>
              <c:f>'MOMO Atmo results'!$A$42</c:f>
              <c:strCache>
                <c:ptCount val="1"/>
                <c:pt idx="0">
                  <c:v>NaO(g)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results'!$Y$42:$Z$42</c:f>
              <c:numCache>
                <c:formatCode>0.00E+00</c:formatCode>
                <c:ptCount val="2"/>
                <c:pt idx="0">
                  <c:v>6.6003579785660346E-13</c:v>
                </c:pt>
                <c:pt idx="1">
                  <c:v>2.4224763479449508E-7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5FD-46CC-A365-AA54A9E49C6A}"/>
            </c:ext>
          </c:extLst>
        </c:ser>
        <c:ser>
          <c:idx val="20"/>
          <c:order val="20"/>
          <c:tx>
            <c:strRef>
              <c:f>'MOMO Atmo results'!$A$43</c:f>
              <c:strCache>
                <c:ptCount val="1"/>
                <c:pt idx="0">
                  <c:v>Na2(g)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results'!$Y$43:$Z$43</c:f>
              <c:numCache>
                <c:formatCode>0.00E+00</c:formatCode>
                <c:ptCount val="2"/>
                <c:pt idx="0">
                  <c:v>7.0831987703133472E-15</c:v>
                </c:pt>
                <c:pt idx="1">
                  <c:v>5.5135004883978954E-12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5FD-46CC-A365-AA54A9E49C6A}"/>
            </c:ext>
          </c:extLst>
        </c:ser>
        <c:ser>
          <c:idx val="21"/>
          <c:order val="21"/>
          <c:tx>
            <c:strRef>
              <c:f>'MOMO Atmo results'!$A$45</c:f>
              <c:strCache>
                <c:ptCount val="1"/>
                <c:pt idx="0">
                  <c:v>Na2O(g)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results'!$Y$45:$Z$45</c:f>
              <c:numCache>
                <c:formatCode>0.00E+00</c:formatCode>
                <c:ptCount val="2"/>
                <c:pt idx="0">
                  <c:v>5.8337967538351519E-17</c:v>
                </c:pt>
                <c:pt idx="1">
                  <c:v>9.2495755190995794E-13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5FD-46CC-A365-AA54A9E49C6A}"/>
            </c:ext>
          </c:extLst>
        </c:ser>
        <c:ser>
          <c:idx val="22"/>
          <c:order val="22"/>
          <c:tx>
            <c:strRef>
              <c:f>'MOMO Atmo results'!$A$48</c:f>
              <c:strCache>
                <c:ptCount val="1"/>
                <c:pt idx="0">
                  <c:v>K(g)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results'!$Y$48:$Z$48</c:f>
              <c:numCache>
                <c:formatCode>0.00E+00</c:formatCode>
                <c:ptCount val="2"/>
                <c:pt idx="0">
                  <c:v>8.6448320573263969E-6</c:v>
                </c:pt>
                <c:pt idx="1">
                  <c:v>1.4188753260956381E-4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5FD-46CC-A365-AA54A9E49C6A}"/>
            </c:ext>
          </c:extLst>
        </c:ser>
        <c:ser>
          <c:idx val="23"/>
          <c:order val="23"/>
          <c:tx>
            <c:strRef>
              <c:f>'MOMO Atmo results'!$A$49</c:f>
              <c:strCache>
                <c:ptCount val="1"/>
                <c:pt idx="0">
                  <c:v>KO(g)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results'!$Y$49:$Z$49</c:f>
              <c:numCache>
                <c:formatCode>0.00E+00</c:formatCode>
                <c:ptCount val="2"/>
                <c:pt idx="0">
                  <c:v>1.4083929485806908E-10</c:v>
                </c:pt>
                <c:pt idx="1">
                  <c:v>3.6380672623809442E-6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5FD-46CC-A365-AA54A9E49C6A}"/>
            </c:ext>
          </c:extLst>
        </c:ser>
        <c:ser>
          <c:idx val="24"/>
          <c:order val="24"/>
          <c:tx>
            <c:strRef>
              <c:f>'MOMO Atmo results'!$A$50</c:f>
              <c:strCache>
                <c:ptCount val="1"/>
                <c:pt idx="0">
                  <c:v>KO2(g)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results'!$Y$50:$Z$50</c:f>
              <c:numCache>
                <c:formatCode>0.00E+00</c:formatCode>
                <c:ptCount val="2"/>
                <c:pt idx="0">
                  <c:v>3.0707277525522407E-7</c:v>
                </c:pt>
                <c:pt idx="1">
                  <c:v>6.668493516661409E-7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5FD-46CC-A365-AA54A9E49C6A}"/>
            </c:ext>
          </c:extLst>
        </c:ser>
        <c:ser>
          <c:idx val="25"/>
          <c:order val="25"/>
          <c:tx>
            <c:strRef>
              <c:f>'MOMO Atmo results'!$A$51</c:f>
              <c:strCache>
                <c:ptCount val="1"/>
                <c:pt idx="0">
                  <c:v>K2(g)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results'!$Y$51:$Z$51</c:f>
              <c:numCache>
                <c:formatCode>0.00E+00</c:formatCode>
                <c:ptCount val="2"/>
                <c:pt idx="0">
                  <c:v>6.6762078846623368E-13</c:v>
                </c:pt>
                <c:pt idx="1">
                  <c:v>2.495800069210987E-11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5FD-46CC-A365-AA54A9E49C6A}"/>
            </c:ext>
          </c:extLst>
        </c:ser>
        <c:ser>
          <c:idx val="26"/>
          <c:order val="26"/>
          <c:tx>
            <c:strRef>
              <c:f>'MOMO Atmo results'!$A$53</c:f>
              <c:strCache>
                <c:ptCount val="1"/>
                <c:pt idx="0">
                  <c:v>K2O(g)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results'!$Y$53:$Z$53</c:f>
              <c:numCache>
                <c:formatCode>0.00E+00</c:formatCode>
                <c:ptCount val="2"/>
                <c:pt idx="0">
                  <c:v>1.6743903708433078E-14</c:v>
                </c:pt>
                <c:pt idx="1">
                  <c:v>8.5772409026644372E-12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5FD-46CC-A365-AA54A9E49C6A}"/>
            </c:ext>
          </c:extLst>
        </c:ser>
        <c:ser>
          <c:idx val="27"/>
          <c:order val="27"/>
          <c:tx>
            <c:strRef>
              <c:f>'MOMO Atmo results'!$A$54</c:f>
              <c:strCache>
                <c:ptCount val="1"/>
                <c:pt idx="0">
                  <c:v>Fe(g)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results'!$Y$54:$Z$54</c:f>
              <c:numCache>
                <c:formatCode>0.00E+00</c:formatCode>
                <c:ptCount val="2"/>
                <c:pt idx="0">
                  <c:v>1.9456804295496081E-10</c:v>
                </c:pt>
                <c:pt idx="1">
                  <c:v>3.0592499963326247E-5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5FD-46CC-A365-AA54A9E49C6A}"/>
            </c:ext>
          </c:extLst>
        </c:ser>
        <c:ser>
          <c:idx val="28"/>
          <c:order val="28"/>
          <c:tx>
            <c:strRef>
              <c:f>'MOMO Atmo results'!$A$55</c:f>
              <c:strCache>
                <c:ptCount val="1"/>
                <c:pt idx="0">
                  <c:v>FeO(g)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'MOMO Atmo results'!$Y$8:$Z$8</c:f>
              <c:numCache>
                <c:formatCode>General</c:formatCode>
                <c:ptCount val="2"/>
                <c:pt idx="0">
                  <c:v>1500</c:v>
                </c:pt>
                <c:pt idx="1">
                  <c:v>2500</c:v>
                </c:pt>
              </c:numCache>
            </c:numRef>
          </c:xVal>
          <c:yVal>
            <c:numRef>
              <c:f>'MOMO Atmo results'!$Y$55:$Z$55</c:f>
              <c:numCache>
                <c:formatCode>0.00E+00</c:formatCode>
                <c:ptCount val="2"/>
                <c:pt idx="0">
                  <c:v>4.5453815703607761E-21</c:v>
                </c:pt>
                <c:pt idx="1">
                  <c:v>2.7267194953961776E-5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5FD-46CC-A365-AA54A9E49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931888"/>
        <c:axId val="789941136"/>
      </c:scatterChart>
      <c:valAx>
        <c:axId val="78993188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941136"/>
        <c:crosses val="autoZero"/>
        <c:crossBetween val="midCat"/>
      </c:valAx>
      <c:valAx>
        <c:axId val="789941136"/>
        <c:scaling>
          <c:logBase val="10"/>
          <c:orientation val="minMax"/>
          <c:min val="1.000000000000001E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93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28574</xdr:rowOff>
    </xdr:from>
    <xdr:to>
      <xdr:col>9</xdr:col>
      <xdr:colOff>742950</xdr:colOff>
      <xdr:row>27</xdr:row>
      <xdr:rowOff>171449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95390B7-182B-4854-A220-9071F38A2A77}"/>
            </a:ext>
          </a:extLst>
        </xdr:cNvPr>
        <xdr:cNvSpPr txBox="1"/>
      </xdr:nvSpPr>
      <xdr:spPr>
        <a:xfrm>
          <a:off x="1524000" y="3962399"/>
          <a:ext cx="607695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Example composition for siderophile-free CB chondrite f</a:t>
          </a:r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rom Weisberg et al. (2000)</a:t>
          </a:r>
          <a:r>
            <a:rPr lang="de-CH"/>
            <a:t> </a:t>
          </a:r>
          <a:r>
            <a:rPr lang="de-CH" sz="1100"/>
            <a:t>, assuming activities for Mg, Ca, Al, Si and</a:t>
          </a:r>
          <a:r>
            <a:rPr lang="de-CH" sz="1100" baseline="0"/>
            <a:t> Fe </a:t>
          </a:r>
          <a:r>
            <a:rPr lang="de-CH" sz="1100"/>
            <a:t>oxides being unity. </a:t>
          </a:r>
        </a:p>
        <a:p>
          <a:endParaRPr lang="de-CH" sz="1100"/>
        </a:p>
        <a:p>
          <a:r>
            <a:rPr lang="de-CH" sz="1100"/>
            <a:t>Due to assuming</a:t>
          </a:r>
          <a:r>
            <a:rPr lang="de-CH" sz="1100" baseline="0"/>
            <a:t> IW-1, we ignore Fe2O3 (is this legal?)</a:t>
          </a:r>
          <a:endParaRPr lang="de-CH" sz="1100"/>
        </a:p>
        <a:p>
          <a:endParaRPr lang="de-CH" sz="1100"/>
        </a:p>
        <a:p>
          <a:r>
            <a:rPr lang="de-CH" sz="1100"/>
            <a:t>Na</a:t>
          </a:r>
          <a:r>
            <a:rPr lang="de-CH" sz="1100" baseline="0"/>
            <a:t> and K metal oxide values are from Lauretta et al. (2007). Ignored are Ti, Cr, and Mn metal oxides (0.17, 0.6, and 0.3 wt% respectively).</a:t>
          </a:r>
          <a:endParaRPr lang="de-CH" sz="1100"/>
        </a:p>
        <a:p>
          <a:endParaRPr lang="de-CH" sz="1100"/>
        </a:p>
        <a:p>
          <a:r>
            <a:rPr lang="de-CH" sz="1100"/>
            <a:t>Activities</a:t>
          </a:r>
          <a:r>
            <a:rPr lang="de-CH" sz="1100" baseline="0"/>
            <a:t> of Na and K oxides are from Sossi et al. (2019).</a:t>
          </a:r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762001</xdr:colOff>
      <xdr:row>1</xdr:row>
      <xdr:rowOff>100852</xdr:rowOff>
    </xdr:from>
    <xdr:to>
      <xdr:col>37</xdr:col>
      <xdr:colOff>125510</xdr:colOff>
      <xdr:row>56</xdr:row>
      <xdr:rowOff>67234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2B9C4D-D54A-4F41-9150-BCBF6FD5C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ah/Filr/Meine%20Dateien/w_side%20projects/MOMO%20vapor%20pressure%20model/JANAF%20tab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Fe(g)"/>
      <sheetName val="FeO(l)"/>
      <sheetName val="FeO(g)"/>
      <sheetName val="SiO2 (l)"/>
      <sheetName val="Si(g)"/>
    </sheetNames>
    <sheetDataSet>
      <sheetData sheetId="0">
        <row r="2">
          <cell r="C2">
            <v>8.3144626181532395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I8" sqref="I8"/>
    </sheetView>
  </sheetViews>
  <sheetFormatPr baseColWidth="10" defaultRowHeight="15" x14ac:dyDescent="0.25"/>
  <cols>
    <col min="8" max="8" width="11.42578125" style="114"/>
  </cols>
  <sheetData>
    <row r="1" spans="1:13" ht="28.5" x14ac:dyDescent="0.45">
      <c r="C1" s="271" t="s">
        <v>123</v>
      </c>
      <c r="D1" s="271"/>
      <c r="E1" s="271"/>
      <c r="F1" s="271"/>
      <c r="G1" s="271"/>
      <c r="H1" s="271"/>
      <c r="I1" s="271"/>
    </row>
    <row r="2" spans="1:13" s="114" customFormat="1" ht="15.75" thickBot="1" x14ac:dyDescent="0.3"/>
    <row r="3" spans="1:13" ht="15.75" thickTop="1" x14ac:dyDescent="0.25">
      <c r="A3" s="177"/>
      <c r="B3" s="179"/>
      <c r="C3" s="180"/>
      <c r="D3" s="180"/>
      <c r="E3" s="180"/>
      <c r="F3" s="180"/>
      <c r="G3" s="180"/>
      <c r="H3" s="180"/>
      <c r="I3" s="180"/>
      <c r="J3" s="181"/>
    </row>
    <row r="4" spans="1:13" s="114" customFormat="1" x14ac:dyDescent="0.25">
      <c r="A4" s="177"/>
      <c r="B4" s="182"/>
      <c r="C4" s="173" t="s">
        <v>121</v>
      </c>
      <c r="D4" s="171"/>
      <c r="E4" s="171"/>
      <c r="F4" s="171"/>
      <c r="G4" s="171"/>
      <c r="H4" s="171"/>
      <c r="I4" s="171"/>
      <c r="J4" s="177"/>
    </row>
    <row r="5" spans="1:13" ht="15.75" thickBot="1" x14ac:dyDescent="0.3">
      <c r="A5" s="177"/>
      <c r="B5" s="182"/>
      <c r="H5" s="171"/>
      <c r="I5" s="114" t="s">
        <v>122</v>
      </c>
      <c r="J5" s="177"/>
    </row>
    <row r="6" spans="1:13" ht="15.75" thickBot="1" x14ac:dyDescent="0.3">
      <c r="A6" s="177"/>
      <c r="B6" s="182"/>
      <c r="C6" s="171"/>
      <c r="D6" s="171"/>
      <c r="E6" s="171" t="s">
        <v>125</v>
      </c>
      <c r="F6" s="171"/>
      <c r="G6" s="127" t="s">
        <v>103</v>
      </c>
      <c r="H6" s="171"/>
      <c r="I6" s="144">
        <v>1500</v>
      </c>
      <c r="J6" s="177"/>
    </row>
    <row r="7" spans="1:13" ht="15.75" thickBot="1" x14ac:dyDescent="0.3">
      <c r="A7" s="177"/>
      <c r="B7" s="182"/>
      <c r="C7" s="47" t="s">
        <v>120</v>
      </c>
      <c r="D7" s="171"/>
      <c r="E7" s="230">
        <v>2.4</v>
      </c>
      <c r="G7" s="175">
        <f>10^-10</f>
        <v>1E-10</v>
      </c>
      <c r="I7" s="144">
        <v>2500</v>
      </c>
      <c r="J7" s="177"/>
    </row>
    <row r="8" spans="1:13" x14ac:dyDescent="0.25">
      <c r="A8" s="177"/>
      <c r="B8" s="182"/>
      <c r="C8" s="171"/>
      <c r="D8" s="171"/>
      <c r="E8" s="183"/>
      <c r="F8" s="171"/>
      <c r="G8" s="171"/>
      <c r="H8" s="171"/>
      <c r="I8" s="171"/>
      <c r="J8" s="177"/>
    </row>
    <row r="9" spans="1:13" x14ac:dyDescent="0.25">
      <c r="A9" s="177"/>
      <c r="B9" s="182"/>
      <c r="C9" s="171"/>
      <c r="D9" s="171"/>
      <c r="E9" s="183" t="s">
        <v>35</v>
      </c>
      <c r="F9" s="171"/>
      <c r="G9" s="171" t="s">
        <v>132</v>
      </c>
      <c r="H9" s="171"/>
      <c r="I9" s="171" t="s">
        <v>70</v>
      </c>
      <c r="J9" s="177"/>
      <c r="M9" t="s">
        <v>136</v>
      </c>
    </row>
    <row r="10" spans="1:13" ht="15.75" thickBot="1" x14ac:dyDescent="0.3">
      <c r="A10" s="177"/>
      <c r="B10" s="182"/>
      <c r="C10" s="171"/>
      <c r="D10" s="171"/>
      <c r="E10" s="183"/>
      <c r="F10" s="171"/>
      <c r="G10" s="171"/>
      <c r="H10" s="171"/>
      <c r="I10" s="171"/>
      <c r="J10" s="177"/>
    </row>
    <row r="11" spans="1:13" ht="15.75" thickBot="1" x14ac:dyDescent="0.3">
      <c r="A11" s="177"/>
      <c r="B11" s="182">
        <v>40.299999999999997</v>
      </c>
      <c r="C11" s="249" t="s">
        <v>104</v>
      </c>
      <c r="D11" s="171"/>
      <c r="E11" s="139">
        <f t="shared" ref="E11:E17" si="0">G11*I11</f>
        <v>0.36899999999999999</v>
      </c>
      <c r="F11" s="184"/>
      <c r="G11" s="190">
        <v>0.36899999999999999</v>
      </c>
      <c r="H11" s="188"/>
      <c r="I11" s="190">
        <v>1</v>
      </c>
      <c r="J11" s="177"/>
      <c r="L11">
        <f t="shared" ref="L11:L17" si="1">G11/B11</f>
        <v>9.1563275434243183E-3</v>
      </c>
      <c r="M11" s="269">
        <f t="shared" ref="M11:M17" si="2">L11/SUM(L$11:L$17)</f>
        <v>0.47755222836087124</v>
      </c>
    </row>
    <row r="12" spans="1:13" ht="15.75" thickBot="1" x14ac:dyDescent="0.3">
      <c r="A12" s="177"/>
      <c r="B12" s="182">
        <v>56.076999999999998</v>
      </c>
      <c r="C12" s="250" t="s">
        <v>107</v>
      </c>
      <c r="D12" s="171"/>
      <c r="E12" s="139">
        <f t="shared" si="0"/>
        <v>3.3000000000000002E-2</v>
      </c>
      <c r="F12" s="184"/>
      <c r="G12" s="190">
        <v>3.3000000000000002E-2</v>
      </c>
      <c r="H12" s="188"/>
      <c r="I12" s="190">
        <v>1</v>
      </c>
      <c r="J12" s="177"/>
      <c r="L12" s="114">
        <f t="shared" si="1"/>
        <v>5.8847655901706581E-4</v>
      </c>
      <c r="M12" s="269">
        <f t="shared" si="2"/>
        <v>3.0692249787258867E-2</v>
      </c>
    </row>
    <row r="13" spans="1:13" ht="15.75" thickBot="1" x14ac:dyDescent="0.3">
      <c r="A13" s="177"/>
      <c r="B13" s="182">
        <v>101.96</v>
      </c>
      <c r="C13" s="251" t="s">
        <v>110</v>
      </c>
      <c r="D13" s="171"/>
      <c r="E13" s="139">
        <f t="shared" si="0"/>
        <v>4.5999999999999999E-2</v>
      </c>
      <c r="F13" s="184"/>
      <c r="G13" s="190">
        <v>4.5999999999999999E-2</v>
      </c>
      <c r="H13" s="188"/>
      <c r="I13" s="190">
        <v>1</v>
      </c>
      <c r="J13" s="177"/>
      <c r="L13" s="114">
        <f t="shared" si="1"/>
        <v>4.5115731659474303E-4</v>
      </c>
      <c r="M13" s="269">
        <f t="shared" si="2"/>
        <v>2.3530305229836214E-2</v>
      </c>
    </row>
    <row r="14" spans="1:13" ht="15.75" thickBot="1" x14ac:dyDescent="0.3">
      <c r="A14" s="177"/>
      <c r="B14" s="182">
        <v>60.08</v>
      </c>
      <c r="C14" s="252" t="s">
        <v>109</v>
      </c>
      <c r="D14" s="171"/>
      <c r="E14" s="139">
        <f t="shared" si="0"/>
        <v>0.50700000000000001</v>
      </c>
      <c r="F14" s="184"/>
      <c r="G14" s="190">
        <v>0.50700000000000001</v>
      </c>
      <c r="H14" s="188"/>
      <c r="I14" s="190">
        <v>1</v>
      </c>
      <c r="J14" s="177"/>
      <c r="L14" s="114">
        <f t="shared" si="1"/>
        <v>8.4387483355525972E-3</v>
      </c>
      <c r="M14" s="269">
        <f t="shared" si="2"/>
        <v>0.44012657401207411</v>
      </c>
    </row>
    <row r="15" spans="1:13" ht="15.75" thickBot="1" x14ac:dyDescent="0.3">
      <c r="A15" s="177"/>
      <c r="B15" s="182">
        <v>61.978900000000003</v>
      </c>
      <c r="C15" s="253" t="s">
        <v>75</v>
      </c>
      <c r="D15" s="171"/>
      <c r="E15" s="140">
        <f t="shared" si="0"/>
        <v>3E-9</v>
      </c>
      <c r="F15" s="184"/>
      <c r="G15" s="262">
        <v>3.0000000000000001E-3</v>
      </c>
      <c r="H15" s="189"/>
      <c r="I15" s="191">
        <f>0.001^2</f>
        <v>9.9999999999999995E-7</v>
      </c>
      <c r="J15" s="177"/>
      <c r="L15" s="114">
        <f t="shared" si="1"/>
        <v>4.8403569601912909E-5</v>
      </c>
      <c r="M15" s="269">
        <f t="shared" si="2"/>
        <v>2.5245091347364922E-3</v>
      </c>
    </row>
    <row r="16" spans="1:13" ht="15.75" thickBot="1" x14ac:dyDescent="0.3">
      <c r="A16" s="177"/>
      <c r="B16" s="182">
        <v>94.2</v>
      </c>
      <c r="C16" s="254" t="s">
        <v>74</v>
      </c>
      <c r="D16" s="171"/>
      <c r="E16" s="140">
        <f t="shared" si="0"/>
        <v>2.9999999999999997E-12</v>
      </c>
      <c r="F16" s="184"/>
      <c r="G16" s="262">
        <v>2.9999999999999997E-4</v>
      </c>
      <c r="H16" s="189"/>
      <c r="I16" s="191">
        <f>0.0001^2</f>
        <v>1E-8</v>
      </c>
      <c r="J16" s="177"/>
      <c r="L16" s="114">
        <f t="shared" si="1"/>
        <v>3.184713375796178E-6</v>
      </c>
      <c r="M16" s="269">
        <f t="shared" si="2"/>
        <v>1.6610010531944752E-4</v>
      </c>
    </row>
    <row r="17" spans="1:13" s="114" customFormat="1" ht="15.75" thickBot="1" x14ac:dyDescent="0.3">
      <c r="A17" s="177"/>
      <c r="B17" s="182">
        <v>71.844999999999999</v>
      </c>
      <c r="C17" s="255" t="s">
        <v>127</v>
      </c>
      <c r="D17" s="171"/>
      <c r="E17" s="140">
        <f t="shared" si="0"/>
        <v>3.5000000000000003E-2</v>
      </c>
      <c r="F17" s="184"/>
      <c r="G17" s="262">
        <v>3.5000000000000003E-2</v>
      </c>
      <c r="H17" s="189"/>
      <c r="I17" s="256">
        <v>1</v>
      </c>
      <c r="J17" s="177"/>
      <c r="L17" s="114">
        <f t="shared" si="1"/>
        <v>4.8715985802769856E-4</v>
      </c>
      <c r="M17" s="269">
        <f t="shared" si="2"/>
        <v>2.5408033369903663E-2</v>
      </c>
    </row>
    <row r="18" spans="1:13" ht="15.75" thickBot="1" x14ac:dyDescent="0.3">
      <c r="A18" s="178"/>
      <c r="B18" s="185"/>
      <c r="C18" s="186"/>
      <c r="D18" s="186"/>
      <c r="E18" s="186"/>
      <c r="F18" s="186"/>
      <c r="G18" s="186"/>
      <c r="H18" s="186"/>
      <c r="I18" s="186"/>
      <c r="J18" s="187"/>
    </row>
    <row r="19" spans="1:13" ht="15.75" thickTop="1" x14ac:dyDescent="0.25">
      <c r="A19" s="46"/>
    </row>
    <row r="20" spans="1:13" x14ac:dyDescent="0.25">
      <c r="A20" s="46"/>
      <c r="B20" s="173" t="s">
        <v>114</v>
      </c>
      <c r="C20" s="171"/>
      <c r="D20" s="171"/>
      <c r="E20" s="171"/>
      <c r="F20" s="171"/>
      <c r="G20" s="171"/>
    </row>
    <row r="21" spans="1:13" x14ac:dyDescent="0.25">
      <c r="A21" s="46"/>
    </row>
    <row r="22" spans="1:13" x14ac:dyDescent="0.25">
      <c r="A22" s="46"/>
    </row>
    <row r="23" spans="1:13" x14ac:dyDescent="0.25">
      <c r="A23" s="46"/>
    </row>
    <row r="24" spans="1:13" x14ac:dyDescent="0.25">
      <c r="A24" s="46"/>
    </row>
    <row r="25" spans="1:13" x14ac:dyDescent="0.25">
      <c r="A25" s="46"/>
    </row>
    <row r="26" spans="1:13" x14ac:dyDescent="0.25">
      <c r="A26" s="46"/>
    </row>
    <row r="27" spans="1:13" x14ac:dyDescent="0.25">
      <c r="A27" s="46"/>
    </row>
    <row r="29" spans="1:13" x14ac:dyDescent="0.25">
      <c r="A29" s="46"/>
    </row>
    <row r="30" spans="1:13" x14ac:dyDescent="0.25">
      <c r="A30" s="46"/>
    </row>
    <row r="31" spans="1:13" x14ac:dyDescent="0.25">
      <c r="A31" s="46"/>
    </row>
    <row r="32" spans="1:13" x14ac:dyDescent="0.25">
      <c r="A32" s="46"/>
    </row>
    <row r="34" spans="1:4" x14ac:dyDescent="0.25">
      <c r="A34" s="46"/>
    </row>
    <row r="35" spans="1:4" x14ac:dyDescent="0.25">
      <c r="A35" s="46"/>
    </row>
    <row r="36" spans="1:4" x14ac:dyDescent="0.25">
      <c r="A36" s="46"/>
    </row>
    <row r="37" spans="1:4" x14ac:dyDescent="0.25">
      <c r="A37" s="46"/>
    </row>
    <row r="38" spans="1:4" x14ac:dyDescent="0.25">
      <c r="A38" s="46"/>
    </row>
    <row r="39" spans="1:4" x14ac:dyDescent="0.25">
      <c r="A39" s="46"/>
    </row>
    <row r="40" spans="1:4" x14ac:dyDescent="0.25">
      <c r="A40" s="46"/>
    </row>
    <row r="41" spans="1:4" x14ac:dyDescent="0.25">
      <c r="A41" s="46"/>
    </row>
    <row r="42" spans="1:4" x14ac:dyDescent="0.25">
      <c r="A42" s="46"/>
    </row>
    <row r="44" spans="1:4" x14ac:dyDescent="0.25">
      <c r="A44" s="5"/>
      <c r="C44" s="87"/>
      <c r="D44" s="87"/>
    </row>
    <row r="45" spans="1:4" x14ac:dyDescent="0.25">
      <c r="A45" s="5"/>
      <c r="C45" s="87"/>
      <c r="D45" s="87"/>
    </row>
    <row r="46" spans="1:4" x14ac:dyDescent="0.25">
      <c r="A46" s="5"/>
      <c r="C46" s="87"/>
      <c r="D46" s="87"/>
    </row>
    <row r="47" spans="1:4" x14ac:dyDescent="0.25">
      <c r="A47" s="5"/>
      <c r="C47" s="87"/>
      <c r="D47" s="87"/>
    </row>
    <row r="48" spans="1:4" x14ac:dyDescent="0.25">
      <c r="C48" s="87"/>
      <c r="D48" s="87"/>
    </row>
    <row r="49" spans="3:4" x14ac:dyDescent="0.25">
      <c r="C49" s="87"/>
      <c r="D49" s="87"/>
    </row>
    <row r="50" spans="3:4" x14ac:dyDescent="0.25">
      <c r="C50" s="87"/>
      <c r="D50" s="87"/>
    </row>
  </sheetData>
  <mergeCells count="1">
    <mergeCell ref="C1:I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1"/>
  <sheetViews>
    <sheetView tabSelected="1" zoomScale="85" zoomScaleNormal="85" workbookViewId="0">
      <pane xSplit="1" topLeftCell="K1" activePane="topRight" state="frozen"/>
      <selection pane="topRight" activeCell="N5" sqref="N5"/>
    </sheetView>
  </sheetViews>
  <sheetFormatPr baseColWidth="10" defaultRowHeight="15" x14ac:dyDescent="0.25"/>
  <cols>
    <col min="2" max="3" width="11.7109375" bestFit="1" customWidth="1"/>
    <col min="4" max="4" width="12.85546875" bestFit="1" customWidth="1"/>
    <col min="5" max="5" width="12.7109375" bestFit="1" customWidth="1"/>
    <col min="6" max="6" width="13" bestFit="1" customWidth="1"/>
    <col min="7" max="7" width="12.7109375" customWidth="1"/>
    <col min="9" max="10" width="12.28515625" customWidth="1"/>
    <col min="11" max="12" width="13.28515625" style="122" customWidth="1"/>
    <col min="13" max="13" width="11.7109375" bestFit="1" customWidth="1"/>
    <col min="14" max="14" width="13" bestFit="1" customWidth="1"/>
    <col min="16" max="16" width="11.7109375" bestFit="1" customWidth="1"/>
    <col min="17" max="18" width="15.7109375" style="122" customWidth="1"/>
    <col min="19" max="19" width="13.42578125" bestFit="1" customWidth="1"/>
    <col min="20" max="20" width="12.42578125" style="122" bestFit="1" customWidth="1"/>
    <col min="21" max="21" width="11.42578125" style="122"/>
    <col min="22" max="22" width="18.5703125" customWidth="1"/>
    <col min="23" max="23" width="12.42578125" customWidth="1"/>
    <col min="25" max="25" width="13.140625" customWidth="1"/>
    <col min="26" max="26" width="12.28515625" bestFit="1" customWidth="1"/>
    <col min="27" max="27" width="11.7109375" bestFit="1" customWidth="1"/>
    <col min="28" max="28" width="12.28515625" bestFit="1" customWidth="1"/>
    <col min="29" max="29" width="11.7109375" customWidth="1"/>
    <col min="33" max="33" width="14.42578125" customWidth="1"/>
  </cols>
  <sheetData>
    <row r="1" spans="1:38" s="114" customFormat="1" x14ac:dyDescent="0.25">
      <c r="K1" s="122"/>
      <c r="L1" s="122"/>
      <c r="Q1" s="122"/>
      <c r="R1" s="122"/>
      <c r="T1" s="122"/>
      <c r="U1" s="122"/>
    </row>
    <row r="2" spans="1:38" ht="28.5" x14ac:dyDescent="0.45">
      <c r="A2" s="226" t="s">
        <v>103</v>
      </c>
      <c r="G2" s="271" t="s">
        <v>124</v>
      </c>
      <c r="H2" s="271"/>
      <c r="I2" s="271"/>
      <c r="J2" s="271"/>
      <c r="K2" s="271"/>
      <c r="L2" s="271"/>
      <c r="M2" s="271"/>
      <c r="N2" s="111"/>
      <c r="O2" s="111"/>
      <c r="P2" s="86"/>
      <c r="Q2" s="174"/>
      <c r="R2" s="174"/>
      <c r="W2" s="274" t="s">
        <v>115</v>
      </c>
      <c r="X2" s="274"/>
      <c r="Y2" s="274"/>
      <c r="Z2" s="274"/>
      <c r="AB2" s="94"/>
      <c r="AC2" s="94"/>
      <c r="AE2" s="94"/>
    </row>
    <row r="3" spans="1:38" x14ac:dyDescent="0.25">
      <c r="A3" s="227">
        <f>pO2_given</f>
        <v>1E-10</v>
      </c>
      <c r="G3" s="52"/>
      <c r="I3" s="44"/>
      <c r="J3" s="44"/>
      <c r="K3" s="192"/>
      <c r="L3" s="192"/>
      <c r="M3" s="86"/>
      <c r="N3" s="111"/>
      <c r="O3" s="111"/>
      <c r="P3" s="86"/>
      <c r="Q3" s="174"/>
      <c r="R3" s="174"/>
      <c r="W3" s="272" t="s">
        <v>33</v>
      </c>
      <c r="X3" s="272"/>
      <c r="Y3" s="272"/>
      <c r="Z3" s="272"/>
      <c r="AB3" s="94"/>
      <c r="AC3" s="94"/>
      <c r="AE3" s="94"/>
    </row>
    <row r="4" spans="1:38" x14ac:dyDescent="0.25">
      <c r="A4" s="228" t="s">
        <v>76</v>
      </c>
      <c r="W4" s="94" t="s">
        <v>116</v>
      </c>
      <c r="Y4" s="277" t="s">
        <v>113</v>
      </c>
      <c r="Z4" s="278"/>
      <c r="AA4" s="94"/>
      <c r="AB4" s="94"/>
      <c r="AC4" s="176"/>
      <c r="AD4" s="94"/>
    </row>
    <row r="5" spans="1:38" x14ac:dyDescent="0.25">
      <c r="A5" s="229" cm="1">
        <f t="array" ref="A5">Tmin_given</f>
        <v>1500</v>
      </c>
      <c r="W5" s="110">
        <f>p_test</f>
        <v>1E-10</v>
      </c>
      <c r="X5" s="172">
        <f>p_test</f>
        <v>1E-10</v>
      </c>
      <c r="Y5" s="270">
        <f>10^(fO2_lowT_IW+belowBuffer)</f>
        <v>6.2790895117220492E-10</v>
      </c>
      <c r="Z5" s="270">
        <f>10^(fO2_hiT_IW+belowBuffer)</f>
        <v>1.0456745020338224E-2</v>
      </c>
      <c r="AC5" s="94"/>
      <c r="AD5" s="94"/>
      <c r="AE5" s="94"/>
      <c r="AF5" s="94"/>
    </row>
    <row r="6" spans="1:38" ht="15.75" thickBot="1" x14ac:dyDescent="0.3">
      <c r="A6" s="229">
        <f>Tmax_given</f>
        <v>2500</v>
      </c>
      <c r="K6" s="276" t="s">
        <v>72</v>
      </c>
      <c r="L6" s="273"/>
      <c r="N6" s="273" t="s">
        <v>24</v>
      </c>
      <c r="O6" s="273"/>
      <c r="Q6" s="273" t="s">
        <v>21</v>
      </c>
      <c r="R6" s="273"/>
      <c r="T6" s="273" t="s">
        <v>30</v>
      </c>
      <c r="U6" s="273"/>
      <c r="W6" s="112" t="s">
        <v>34</v>
      </c>
      <c r="X6" s="113"/>
      <c r="Y6" s="112" t="s">
        <v>58</v>
      </c>
      <c r="Z6" s="112"/>
      <c r="AC6" s="94"/>
      <c r="AD6" s="94"/>
      <c r="AE6" s="94"/>
      <c r="AF6" s="94"/>
      <c r="AG6" s="94"/>
      <c r="AH6" s="94"/>
      <c r="AI6" s="95"/>
      <c r="AJ6" s="94"/>
      <c r="AK6" s="94"/>
    </row>
    <row r="7" spans="1:38" ht="15.75" thickTop="1" x14ac:dyDescent="0.25">
      <c r="K7" s="272" t="s">
        <v>57</v>
      </c>
      <c r="L7" s="272"/>
      <c r="N7" s="275" t="s">
        <v>138</v>
      </c>
      <c r="O7" s="275"/>
      <c r="Q7" s="272" t="s">
        <v>32</v>
      </c>
      <c r="R7" s="272"/>
      <c r="T7" s="275" t="s">
        <v>73</v>
      </c>
      <c r="U7" s="275"/>
      <c r="W7" s="77" t="s">
        <v>23</v>
      </c>
      <c r="X7" s="71" t="s">
        <v>22</v>
      </c>
      <c r="Y7" s="70" t="s">
        <v>23</v>
      </c>
      <c r="Z7" s="71" t="s">
        <v>22</v>
      </c>
      <c r="AC7" s="94"/>
      <c r="AD7" s="95"/>
      <c r="AE7" s="94"/>
      <c r="AF7" s="94"/>
      <c r="AG7" s="94"/>
      <c r="AH7" s="94"/>
      <c r="AI7" s="94"/>
      <c r="AJ7" s="94"/>
      <c r="AK7" s="94"/>
    </row>
    <row r="8" spans="1:38" x14ac:dyDescent="0.25">
      <c r="A8" t="s">
        <v>55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H8" t="s">
        <v>7</v>
      </c>
      <c r="I8" t="s">
        <v>56</v>
      </c>
      <c r="K8" s="122" t="s">
        <v>23</v>
      </c>
      <c r="L8" s="122" t="s">
        <v>22</v>
      </c>
      <c r="N8" t="s">
        <v>23</v>
      </c>
      <c r="O8" t="s">
        <v>22</v>
      </c>
      <c r="Q8" s="122" t="s">
        <v>23</v>
      </c>
      <c r="R8" s="122" t="s">
        <v>22</v>
      </c>
      <c r="T8" s="122" t="s">
        <v>23</v>
      </c>
      <c r="U8" s="122" t="s">
        <v>22</v>
      </c>
      <c r="W8" s="78">
        <f>T_min</f>
        <v>1500</v>
      </c>
      <c r="X8" s="60">
        <f>T_max</f>
        <v>2500</v>
      </c>
      <c r="Y8" s="69">
        <f>T_min</f>
        <v>1500</v>
      </c>
      <c r="Z8" s="60">
        <f>T_max</f>
        <v>2500</v>
      </c>
      <c r="AA8" s="225"/>
      <c r="AB8" s="225"/>
      <c r="AC8" s="94"/>
      <c r="AD8" s="94"/>
      <c r="AE8" s="94"/>
      <c r="AF8" s="94"/>
      <c r="AG8" s="94"/>
      <c r="AH8" s="94"/>
      <c r="AI8" s="69"/>
      <c r="AJ8" s="69"/>
      <c r="AK8" s="94"/>
    </row>
    <row r="9" spans="1:38" s="97" customFormat="1" x14ac:dyDescent="0.25">
      <c r="A9" s="97" t="str">
        <f>'Thermo data'!A6</f>
        <v>O</v>
      </c>
      <c r="B9" s="97">
        <f>'Thermo data'!B6</f>
        <v>18.21</v>
      </c>
      <c r="C9" s="97">
        <f>'Thermo data'!C6/1000</f>
        <v>3.2959999999999999E-3</v>
      </c>
      <c r="D9" s="97">
        <f>'Thermo data'!D6/1000000</f>
        <v>-1.0262E-6</v>
      </c>
      <c r="E9" s="97">
        <f>'Thermo data'!E6/1000000000</f>
        <v>2.0269999999999998E-10</v>
      </c>
      <c r="F9" s="97">
        <f>'Thermo data'!F6/1000000000000</f>
        <v>-1.7239999999999998E-14</v>
      </c>
      <c r="H9" s="97" t="str">
        <f>'Thermo data'!H6</f>
        <v>1000-3000</v>
      </c>
      <c r="I9" s="97">
        <f>'Thermo data'!I6*1000</f>
        <v>29970</v>
      </c>
      <c r="K9" s="193">
        <f t="shared" ref="K9:K56" si="0">B9+C9*T_min+D9*T_min^2+E9*T_min^3+F9*T_min^4</f>
        <v>21.441885000000003</v>
      </c>
      <c r="L9" s="193">
        <f t="shared" ref="L9:L56" si="1">B9+C9*T_max+D9*T_max^2+E9*T_max^3+F9*T_max^4</f>
        <v>22.530000000000005</v>
      </c>
      <c r="M9" s="98"/>
      <c r="N9" s="98">
        <f t="shared" ref="N9:N56" si="2">-(K9-I9/T_min)</f>
        <v>-1.4618850000000023</v>
      </c>
      <c r="O9" s="98">
        <f t="shared" ref="O9:O56" si="3">-(L9-I9/T_max)</f>
        <v>-10.542000000000005</v>
      </c>
      <c r="Q9" s="193">
        <f>N9-'Thermo data'!$L6*N$12-'Thermo data'!$O6*N$10</f>
        <v>12.423738124999996</v>
      </c>
      <c r="R9" s="193">
        <f>O9-'Thermo data'!$L6*O$12-'Thermo data'!$O6*O$10</f>
        <v>4.2445781249999932</v>
      </c>
      <c r="S9" s="98"/>
      <c r="T9" s="209">
        <f t="shared" ref="T9:U13" si="4">EXP(-Q9)</f>
        <v>4.0219724156653657E-6</v>
      </c>
      <c r="U9" s="209">
        <f t="shared" si="4"/>
        <v>1.4341782842563138E-2</v>
      </c>
      <c r="V9" s="100"/>
      <c r="W9" s="101">
        <f>T9*p_test^'Thermo data'!O6</f>
        <v>4.0219724156653662E-11</v>
      </c>
      <c r="X9" s="102">
        <f>U9*p_test^'Thermo data'!O6</f>
        <v>1.4341782842563139E-7</v>
      </c>
      <c r="Y9" s="99">
        <f>T9*p_low^'Thermo data'!O6*aMgO^'Thermo data'!L6</f>
        <v>1.0078303317953309E-10</v>
      </c>
      <c r="Z9" s="103">
        <f>U9*p_high^'Thermo data'!O6*aMgO^'Thermo data'!L6</f>
        <v>1.4665652876842598E-3</v>
      </c>
      <c r="AA9" s="100"/>
      <c r="AB9" s="100"/>
      <c r="AC9" s="99"/>
      <c r="AD9" s="99"/>
      <c r="AE9" s="99"/>
      <c r="AF9" s="99"/>
      <c r="AG9" s="99"/>
      <c r="AH9" s="99"/>
      <c r="AI9" s="99"/>
      <c r="AJ9" s="99"/>
      <c r="AK9" s="99"/>
      <c r="AL9" s="100"/>
    </row>
    <row r="10" spans="1:38" s="97" customFormat="1" x14ac:dyDescent="0.25">
      <c r="A10" s="97" t="str">
        <f>'Thermo data'!A7</f>
        <v>O2</v>
      </c>
      <c r="B10" s="97">
        <f>'Thermo data'!B7</f>
        <v>22.986999999999998</v>
      </c>
      <c r="C10" s="97">
        <f>'Thermo data'!C7/1000</f>
        <v>4.5769000000000001E-3</v>
      </c>
      <c r="D10" s="97">
        <f>'Thermo data'!D7/1000000</f>
        <v>-1.2100999999999999E-6</v>
      </c>
      <c r="E10" s="97">
        <f>'Thermo data'!E7/1000000000</f>
        <v>2.154E-10</v>
      </c>
      <c r="F10" s="97">
        <f>'Thermo data'!F7/1000000000000</f>
        <v>-1.686E-14</v>
      </c>
      <c r="H10" s="97" t="str">
        <f>'Thermo data'!H7</f>
        <v>1000-3000</v>
      </c>
      <c r="I10" s="97">
        <f>'Thermo data'!I7*1000</f>
        <v>0</v>
      </c>
      <c r="K10" s="193">
        <f t="shared" si="0"/>
        <v>27.771246249999997</v>
      </c>
      <c r="L10" s="193">
        <f t="shared" si="1"/>
        <v>29.573156249999997</v>
      </c>
      <c r="M10" s="98"/>
      <c r="N10" s="98">
        <f t="shared" si="2"/>
        <v>-27.771246249999997</v>
      </c>
      <c r="O10" s="98">
        <f t="shared" si="3"/>
        <v>-29.573156249999997</v>
      </c>
      <c r="Q10" s="193">
        <f>N10-'Thermo data'!$L7*N$12-'Thermo data'!$O7*N$10</f>
        <v>0</v>
      </c>
      <c r="R10" s="193">
        <f>O10-'Thermo data'!$L7*O$12-'Thermo data'!$O7*O$10</f>
        <v>0</v>
      </c>
      <c r="S10" s="98"/>
      <c r="T10" s="209">
        <f t="shared" si="4"/>
        <v>1</v>
      </c>
      <c r="U10" s="209">
        <f t="shared" si="4"/>
        <v>1</v>
      </c>
      <c r="V10" s="100"/>
      <c r="W10" s="101">
        <f>T10*p_test^'Thermo data'!O7</f>
        <v>1E-10</v>
      </c>
      <c r="X10" s="102">
        <f>U10*p_test^'Thermo data'!O7</f>
        <v>1E-10</v>
      </c>
      <c r="Y10" s="99">
        <f>T10*p_low^'Thermo data'!O7*aMgO^'Thermo data'!L7</f>
        <v>6.2790895117220492E-10</v>
      </c>
      <c r="Z10" s="103">
        <f>U10*p_high^'Thermo data'!O7*aMgO^'Thermo data'!L7</f>
        <v>1.0456745020338224E-2</v>
      </c>
      <c r="AA10" s="100"/>
      <c r="AB10" s="100"/>
      <c r="AC10" s="99"/>
      <c r="AD10" s="99"/>
      <c r="AE10" s="99"/>
      <c r="AF10" s="99"/>
      <c r="AG10" s="99"/>
      <c r="AH10" s="99"/>
      <c r="AI10" s="99"/>
      <c r="AJ10" s="99"/>
      <c r="AK10" s="99"/>
      <c r="AL10" s="100"/>
    </row>
    <row r="11" spans="1:38" s="19" customFormat="1" x14ac:dyDescent="0.25">
      <c r="A11" s="19" t="str">
        <f>'Thermo data'!A8</f>
        <v>Mg(g)</v>
      </c>
      <c r="B11" s="19">
        <f>'Thermo data'!B8</f>
        <v>16.939</v>
      </c>
      <c r="C11" s="19">
        <f>'Thermo data'!C8/1000</f>
        <v>2.7458000000000001E-3</v>
      </c>
      <c r="D11" s="19">
        <f>'Thermo data'!D8/1000000</f>
        <v>-6.0729999999999999E-7</v>
      </c>
      <c r="E11" s="19">
        <f>'Thermo data'!E8/1000000000</f>
        <v>6.2170000000000003E-11</v>
      </c>
      <c r="F11" s="19">
        <f>'Thermo data'!F8/1000000000000</f>
        <v>0</v>
      </c>
      <c r="H11" s="19" t="str">
        <f>'Thermo data'!H8</f>
        <v>1000-3000</v>
      </c>
      <c r="I11" s="19">
        <f>'Thermo data'!I8*1000</f>
        <v>17700</v>
      </c>
      <c r="K11" s="194">
        <f t="shared" si="0"/>
        <v>19.901098750000003</v>
      </c>
      <c r="L11" s="194">
        <f t="shared" si="1"/>
        <v>20.97928125</v>
      </c>
      <c r="M11" s="25"/>
      <c r="N11" s="25">
        <f t="shared" si="2"/>
        <v>-8.101098750000002</v>
      </c>
      <c r="O11" s="25">
        <f t="shared" si="3"/>
        <v>-13.89928125</v>
      </c>
      <c r="Q11" s="194">
        <f>N11-'Thermo data'!$L8*N$12-'Thermo data'!$O8*N$10</f>
        <v>32.282619791666662</v>
      </c>
      <c r="R11" s="194">
        <f>O11-'Thermo data'!$L8*O$12-'Thermo data'!$O8*O$10</f>
        <v>9.9535156250000014</v>
      </c>
      <c r="S11" s="25"/>
      <c r="T11" s="210">
        <f t="shared" si="4"/>
        <v>9.5463282416106104E-15</v>
      </c>
      <c r="U11" s="210">
        <f t="shared" si="4"/>
        <v>4.7560136076093521E-5</v>
      </c>
      <c r="V11" s="20"/>
      <c r="W11" s="72">
        <f>T11*p_test^'Thermo data'!O8</f>
        <v>9.5463282416106092E-10</v>
      </c>
      <c r="X11" s="61">
        <f>U11*p_test^'Thermo data'!O8</f>
        <v>4.7560136076093515</v>
      </c>
      <c r="Y11" s="162">
        <f>T11*p_low^'Thermo data'!O8*aMgO^'Thermo data'!L8</f>
        <v>1.4057703922843663E-10</v>
      </c>
      <c r="Z11" s="154">
        <f>U11*p_high^'Thermo data'!O8*aMgO^'Thermo data'!L8</f>
        <v>1.7162130325156964E-4</v>
      </c>
      <c r="AA11" s="20"/>
      <c r="AB11" s="20"/>
      <c r="AC11" s="53"/>
      <c r="AD11" s="53"/>
      <c r="AE11" s="53"/>
      <c r="AF11" s="53"/>
      <c r="AG11" s="53"/>
      <c r="AH11" s="53"/>
      <c r="AI11" s="53"/>
      <c r="AJ11" s="53"/>
      <c r="AK11" s="53"/>
      <c r="AL11" s="20"/>
    </row>
    <row r="12" spans="1:38" s="120" customFormat="1" x14ac:dyDescent="0.25">
      <c r="A12" s="120" t="str">
        <f>'Thermo data'!A9</f>
        <v>MgO(l)</v>
      </c>
      <c r="B12" s="120">
        <f>'Thermo data'!B9</f>
        <v>-0.80400000000000005</v>
      </c>
      <c r="C12" s="120">
        <f>'Thermo data'!C9/1000</f>
        <v>5.1066999999999996E-3</v>
      </c>
      <c r="D12" s="120">
        <f>'Thermo data'!D9/1000000</f>
        <v>-3.615E-7</v>
      </c>
      <c r="E12" s="120">
        <f>'Thermo data'!E9/1000000000</f>
        <v>0</v>
      </c>
      <c r="F12" s="120">
        <f>'Thermo data'!F9/1000000000000</f>
        <v>0</v>
      </c>
      <c r="H12" s="120" t="str">
        <f>'Thermo data'!H9</f>
        <v>3100-3500</v>
      </c>
      <c r="I12" s="120">
        <f>'Thermo data'!I9*1000</f>
        <v>-72340</v>
      </c>
      <c r="K12" s="195">
        <f t="shared" si="0"/>
        <v>6.0426749999999991</v>
      </c>
      <c r="L12" s="195">
        <f t="shared" si="1"/>
        <v>9.7033749999999976</v>
      </c>
      <c r="M12" s="123"/>
      <c r="N12" s="123">
        <f t="shared" si="2"/>
        <v>-54.269341666666662</v>
      </c>
      <c r="O12" s="123">
        <f t="shared" si="3"/>
        <v>-38.639375000000001</v>
      </c>
      <c r="Q12" s="195">
        <f>N12-'Thermo data'!$L9*N$12-'Thermo data'!$O9*N$10</f>
        <v>0</v>
      </c>
      <c r="R12" s="195">
        <f>O12-'Thermo data'!$L9*O$12-'Thermo data'!$O9*O$10</f>
        <v>0</v>
      </c>
      <c r="S12" s="123"/>
      <c r="T12" s="211">
        <f t="shared" si="4"/>
        <v>1</v>
      </c>
      <c r="U12" s="211">
        <f t="shared" si="4"/>
        <v>1</v>
      </c>
      <c r="V12" s="121"/>
      <c r="W12" s="163">
        <f>T12*p_test^'Thermo data'!O9</f>
        <v>1</v>
      </c>
      <c r="X12" s="153">
        <f>U12*p_test^'Thermo data'!O9</f>
        <v>1</v>
      </c>
      <c r="Y12" s="163">
        <f>T12*p_low^'Thermo data'!O9*aMgO^'Thermo data'!L9</f>
        <v>0.36899999999999999</v>
      </c>
      <c r="Z12" s="153">
        <f>U12*p_high^'Thermo data'!O9*aMgO^'Thermo data'!L9</f>
        <v>0.36899999999999999</v>
      </c>
      <c r="AA12" s="121"/>
      <c r="AB12" s="121"/>
      <c r="AC12" s="146"/>
      <c r="AD12" s="146"/>
      <c r="AE12" s="146"/>
      <c r="AF12" s="146"/>
      <c r="AG12" s="146"/>
      <c r="AH12" s="146"/>
      <c r="AI12" s="146"/>
      <c r="AJ12" s="146"/>
      <c r="AK12" s="146"/>
      <c r="AL12" s="121"/>
    </row>
    <row r="13" spans="1:38" s="29" customFormat="1" x14ac:dyDescent="0.25">
      <c r="A13" s="19" t="str">
        <f>'Thermo data'!A10</f>
        <v>MgO(g)</v>
      </c>
      <c r="B13" s="29">
        <f>'Thermo data'!B10</f>
        <v>23.16</v>
      </c>
      <c r="C13" s="29">
        <f>'Thermo data'!C10/1000</f>
        <v>5.9000000000000007E-3</v>
      </c>
      <c r="D13" s="29">
        <f>'Thermo data'!D10/1000000</f>
        <v>-1.175E-6</v>
      </c>
      <c r="E13" s="29">
        <f>'Thermo data'!E10/1000000000</f>
        <v>1.043E-10</v>
      </c>
      <c r="F13" s="29">
        <f>'Thermo data'!F10/1000000000000</f>
        <v>0</v>
      </c>
      <c r="H13" s="29" t="str">
        <f>'Thermo data'!H10</f>
        <v>1000-3000</v>
      </c>
      <c r="I13" s="29">
        <f>'Thermo data'!I10*1000</f>
        <v>7000</v>
      </c>
      <c r="K13" s="196">
        <f t="shared" si="0"/>
        <v>29.718262500000005</v>
      </c>
      <c r="L13" s="196">
        <f t="shared" si="1"/>
        <v>32.195937500000007</v>
      </c>
      <c r="M13" s="30"/>
      <c r="N13" s="30">
        <f t="shared" si="2"/>
        <v>-25.051595833333337</v>
      </c>
      <c r="O13" s="25">
        <f t="shared" si="3"/>
        <v>-29.395937500000006</v>
      </c>
      <c r="Q13" s="196">
        <f>N13-'Thermo data'!$L10*N$12-'Thermo data'!$O10*N$10</f>
        <v>29.217745833333325</v>
      </c>
      <c r="R13" s="196">
        <f>O13-'Thermo data'!$L10*O$12-'Thermo data'!$O10*O$10</f>
        <v>9.2434374999999953</v>
      </c>
      <c r="S13" s="30"/>
      <c r="T13" s="212">
        <f t="shared" si="4"/>
        <v>2.04594620739758E-13</v>
      </c>
      <c r="U13" s="212">
        <f t="shared" si="4"/>
        <v>9.6744458904443723E-5</v>
      </c>
      <c r="V13" s="28"/>
      <c r="W13" s="73">
        <f>T13*p_test^'Thermo data'!O10</f>
        <v>2.04594620739758E-13</v>
      </c>
      <c r="X13" s="62">
        <f>U13*p_test^'Thermo data'!O10</f>
        <v>9.6744458904443723E-5</v>
      </c>
      <c r="Y13" s="164">
        <f>T13*p_low^'Thermo data'!O10*aMgO^'Thermo data'!L10</f>
        <v>7.5495415052970702E-14</v>
      </c>
      <c r="Z13" s="154">
        <f>U13*p_high^'Thermo data'!O10*aMgO^'Thermo data'!L10</f>
        <v>3.5698705335739735E-5</v>
      </c>
      <c r="AA13" s="28"/>
      <c r="AB13" s="28"/>
      <c r="AC13" s="54"/>
      <c r="AD13" s="54"/>
      <c r="AE13" s="54"/>
      <c r="AF13" s="54"/>
      <c r="AG13" s="54"/>
      <c r="AH13" s="54"/>
      <c r="AI13" s="54"/>
      <c r="AJ13" s="54"/>
      <c r="AK13" s="54"/>
      <c r="AL13" s="28"/>
    </row>
    <row r="14" spans="1:38" s="19" customFormat="1" x14ac:dyDescent="0.25">
      <c r="A14" s="19" t="str">
        <f>'Thermo data'!A11</f>
        <v>Mg2(g)</v>
      </c>
      <c r="B14" s="19">
        <f>'Thermo data'!B11</f>
        <v>28.571000000000002</v>
      </c>
      <c r="C14" s="19">
        <f>'Thermo data'!C11/1000</f>
        <v>2.3570000000000002E-3</v>
      </c>
      <c r="D14" s="19">
        <f>'Thermo data'!D11/1000000</f>
        <v>7.8400000000000003E-7</v>
      </c>
      <c r="E14" s="19">
        <f>'Thermo data'!E11/1000000000</f>
        <v>-5.9700000000000001E-10</v>
      </c>
      <c r="F14" s="19">
        <f>'Thermo data'!F11/1000000000000</f>
        <v>9.7299999999999999E-14</v>
      </c>
      <c r="H14" s="19" t="str">
        <f>'Thermo data'!H11</f>
        <v>298-2900</v>
      </c>
      <c r="I14" s="19">
        <f>'Thermo data'!I11*1000</f>
        <v>34700</v>
      </c>
      <c r="K14" s="194">
        <f t="shared" si="0"/>
        <v>32.348206250000004</v>
      </c>
      <c r="L14" s="194">
        <f t="shared" si="1"/>
        <v>33.836156250000002</v>
      </c>
      <c r="M14" s="25"/>
      <c r="N14" s="25">
        <f t="shared" si="2"/>
        <v>-9.2148729166666712</v>
      </c>
      <c r="O14" s="25">
        <f t="shared" si="3"/>
        <v>-19.956156249999999</v>
      </c>
      <c r="Q14" s="194">
        <f>N14-'Thermo data'!$L11*N$12-'Thermo data'!$O11*N$10</f>
        <v>71.552564166666656</v>
      </c>
      <c r="R14" s="194">
        <f>O14-'Thermo data'!$L11*O$12-'Thermo data'!$O11*O$10</f>
        <v>27.749437500000006</v>
      </c>
      <c r="S14" s="25"/>
      <c r="T14" s="210">
        <f>EXP(-Q14)</f>
        <v>8.4162032753438156E-32</v>
      </c>
      <c r="U14" s="210">
        <f>EXP(-R14)</f>
        <v>8.8832609076239738E-13</v>
      </c>
      <c r="V14" s="20"/>
      <c r="W14" s="72">
        <f>T14*p_test^'Thermo data'!O11</f>
        <v>8.416203275343816E-22</v>
      </c>
      <c r="X14" s="61">
        <f>U14*p_test^'Thermo data'!O11</f>
        <v>8.883260907623973E-3</v>
      </c>
      <c r="Y14" s="162">
        <f>T14*p_low^'Thermo data'!O11*aMgO^'Thermo data'!L11</f>
        <v>1.8250395252922724E-23</v>
      </c>
      <c r="Z14" s="154">
        <f>U14*p_high^'Thermo data'!O11*aMgO^'Thermo data'!L11</f>
        <v>1.1567210313442881E-11</v>
      </c>
      <c r="AA14" s="20"/>
      <c r="AB14" s="20"/>
      <c r="AC14" s="53"/>
      <c r="AD14" s="53"/>
      <c r="AE14" s="53"/>
      <c r="AF14" s="53"/>
      <c r="AG14" s="53"/>
      <c r="AH14" s="53"/>
      <c r="AI14" s="53"/>
      <c r="AJ14" s="53"/>
      <c r="AK14" s="53"/>
      <c r="AL14" s="20"/>
    </row>
    <row r="15" spans="1:38" s="41" customFormat="1" hidden="1" x14ac:dyDescent="0.25">
      <c r="A15" s="41" t="str">
        <f>'Thermo data'!A12</f>
        <v>O</v>
      </c>
      <c r="B15" s="41">
        <f>'Thermo data'!B12</f>
        <v>18.21</v>
      </c>
      <c r="C15" s="41">
        <f>'Thermo data'!C12/1000</f>
        <v>3.2959999999999999E-3</v>
      </c>
      <c r="D15" s="41">
        <f>'Thermo data'!D12/1000000</f>
        <v>-1.0262E-6</v>
      </c>
      <c r="E15" s="41">
        <f>'Thermo data'!E12/1000000000</f>
        <v>2.0269999999999998E-10</v>
      </c>
      <c r="F15" s="41">
        <f>'Thermo data'!F12/1000000000000</f>
        <v>-1.7239999999999998E-14</v>
      </c>
      <c r="H15" s="41" t="str">
        <f>'Thermo data'!H12</f>
        <v>1000-3000</v>
      </c>
      <c r="I15" s="41">
        <f>'Thermo data'!I12*1000</f>
        <v>29970</v>
      </c>
      <c r="K15" s="197">
        <f t="shared" si="0"/>
        <v>21.441885000000003</v>
      </c>
      <c r="L15" s="197">
        <f t="shared" si="1"/>
        <v>22.530000000000005</v>
      </c>
      <c r="M15" s="42"/>
      <c r="N15" s="42">
        <f t="shared" si="2"/>
        <v>-1.4618850000000023</v>
      </c>
      <c r="O15" s="42">
        <f t="shared" si="3"/>
        <v>-10.542000000000005</v>
      </c>
      <c r="Q15" s="197">
        <f>N15-'Thermo data'!$L12*N$18-'Thermo data'!$O12*N$10</f>
        <v>12.423738124999996</v>
      </c>
      <c r="R15" s="197">
        <f>O15-'Thermo data'!$L12*O$18-'Thermo data'!$O12*O$10</f>
        <v>4.2445781249999932</v>
      </c>
      <c r="S15" s="42"/>
      <c r="T15" s="213">
        <f t="shared" ref="T15:U19" si="5">EXP(-Q15)</f>
        <v>4.0219724156653657E-6</v>
      </c>
      <c r="U15" s="213">
        <f t="shared" si="5"/>
        <v>1.4341782842563138E-2</v>
      </c>
      <c r="V15" s="43"/>
      <c r="W15" s="74">
        <f>T15*p_test^'Thermo data'!O12</f>
        <v>4.0219724156653662E-11</v>
      </c>
      <c r="X15" s="63">
        <f>U15*p_test^'Thermo data'!O12</f>
        <v>1.4341782842563139E-7</v>
      </c>
      <c r="Y15" s="55">
        <f>T15*p_test^'Thermo data'!O12*aCaO^'Thermo data'!L12</f>
        <v>4.0219724156653662E-11</v>
      </c>
      <c r="Z15" s="79">
        <f>U15*p_test^'Thermo data'!O12*aCaO^'Thermo data'!L12</f>
        <v>1.4341782842563139E-7</v>
      </c>
      <c r="AA15" s="43"/>
      <c r="AB15" s="43"/>
      <c r="AC15" s="55"/>
      <c r="AD15" s="55"/>
      <c r="AE15" s="55"/>
      <c r="AF15" s="55"/>
      <c r="AG15" s="55"/>
      <c r="AH15" s="55"/>
      <c r="AI15" s="55"/>
      <c r="AJ15" s="55"/>
      <c r="AK15" s="55"/>
      <c r="AL15" s="43"/>
    </row>
    <row r="16" spans="1:38" s="41" customFormat="1" hidden="1" x14ac:dyDescent="0.25">
      <c r="A16" s="41" t="str">
        <f>'Thermo data'!A13</f>
        <v>O2</v>
      </c>
      <c r="B16" s="41">
        <f>'Thermo data'!B13</f>
        <v>22.986999999999998</v>
      </c>
      <c r="C16" s="41">
        <f>'Thermo data'!C13/1000</f>
        <v>4.5769000000000001E-3</v>
      </c>
      <c r="D16" s="41">
        <f>'Thermo data'!D13/1000000</f>
        <v>-1.2100999999999999E-6</v>
      </c>
      <c r="E16" s="41">
        <f>'Thermo data'!E13/1000000000</f>
        <v>2.154E-10</v>
      </c>
      <c r="F16" s="41">
        <f>'Thermo data'!F13/1000000000000</f>
        <v>-1.686E-14</v>
      </c>
      <c r="H16" s="41" t="str">
        <f>'Thermo data'!H13</f>
        <v>1000-3000</v>
      </c>
      <c r="I16" s="41">
        <f>'Thermo data'!I13*1000</f>
        <v>0</v>
      </c>
      <c r="K16" s="197">
        <f t="shared" si="0"/>
        <v>27.771246249999997</v>
      </c>
      <c r="L16" s="197">
        <f t="shared" si="1"/>
        <v>29.573156249999997</v>
      </c>
      <c r="M16" s="42"/>
      <c r="N16" s="42">
        <f t="shared" si="2"/>
        <v>-27.771246249999997</v>
      </c>
      <c r="O16" s="42">
        <f t="shared" si="3"/>
        <v>-29.573156249999997</v>
      </c>
      <c r="Q16" s="197">
        <f>N16-'Thermo data'!$L13*N$18-'Thermo data'!$O13*N$10</f>
        <v>0</v>
      </c>
      <c r="R16" s="197">
        <f>O16-'Thermo data'!$L13*O$18-'Thermo data'!$O13*O$10</f>
        <v>0</v>
      </c>
      <c r="S16" s="42"/>
      <c r="T16" s="213">
        <f t="shared" si="5"/>
        <v>1</v>
      </c>
      <c r="U16" s="213">
        <f t="shared" si="5"/>
        <v>1</v>
      </c>
      <c r="V16" s="43"/>
      <c r="W16" s="74">
        <f>T16*p_test^'Thermo data'!O13</f>
        <v>1E-10</v>
      </c>
      <c r="X16" s="63">
        <f>U16*p_test^'Thermo data'!O13</f>
        <v>1E-10</v>
      </c>
      <c r="Y16" s="55">
        <f>T16*p_test^'Thermo data'!O13*aCaO^'Thermo data'!L13</f>
        <v>1E-10</v>
      </c>
      <c r="Z16" s="79">
        <f>U16*p_test^'Thermo data'!O13*aCaO^'Thermo data'!L13</f>
        <v>1E-10</v>
      </c>
      <c r="AA16" s="43"/>
      <c r="AB16" s="43"/>
      <c r="AC16" s="55"/>
      <c r="AD16" s="55"/>
      <c r="AE16" s="55"/>
      <c r="AF16" s="55"/>
      <c r="AG16" s="55"/>
      <c r="AH16" s="55"/>
      <c r="AI16" s="55"/>
      <c r="AJ16" s="55"/>
      <c r="AK16" s="55"/>
      <c r="AL16" s="43"/>
    </row>
    <row r="17" spans="1:38" s="41" customFormat="1" x14ac:dyDescent="0.25">
      <c r="A17" s="41" t="str">
        <f>'Thermo data'!A14</f>
        <v>Ca(g)</v>
      </c>
      <c r="B17" s="41">
        <f>'Thermo data'!B14</f>
        <v>17.84</v>
      </c>
      <c r="C17" s="41">
        <f>'Thermo data'!C14/1000</f>
        <v>2.5369999999999998E-3</v>
      </c>
      <c r="D17" s="41">
        <f>'Thermo data'!D14/1000000</f>
        <v>-5.1549999999999998E-7</v>
      </c>
      <c r="E17" s="41">
        <f>'Thermo data'!E14/1000000000</f>
        <v>4.9399999999999999E-11</v>
      </c>
      <c r="F17" s="41">
        <f>'Thermo data'!F14/1000000000000</f>
        <v>0</v>
      </c>
      <c r="H17" s="41" t="str">
        <f>'Thermo data'!H14</f>
        <v>1500-3000</v>
      </c>
      <c r="I17" s="41">
        <f>'Thermo data'!I14*1000</f>
        <v>21400</v>
      </c>
      <c r="K17" s="197">
        <f t="shared" si="0"/>
        <v>20.652349999999998</v>
      </c>
      <c r="L17" s="197">
        <f t="shared" si="1"/>
        <v>21.732499999999998</v>
      </c>
      <c r="M17" s="42"/>
      <c r="N17" s="42">
        <f t="shared" si="2"/>
        <v>-6.3856833333333309</v>
      </c>
      <c r="O17" s="42">
        <f t="shared" si="3"/>
        <v>-13.172499999999998</v>
      </c>
      <c r="Q17" s="197">
        <f>N17-'Thermo data'!$L14*N$18-'Thermo data'!$O14*N$10</f>
        <v>38.959410208333338</v>
      </c>
      <c r="R17" s="197">
        <f>O17-'Thermo data'!$L14*O$18-'Thermo data'!$O14*O$10</f>
        <v>14.432271874999998</v>
      </c>
      <c r="S17" s="42"/>
      <c r="T17" s="213">
        <f>EXP(-Q17)</f>
        <v>1.2026607243452406E-17</v>
      </c>
      <c r="U17" s="213">
        <f t="shared" si="5"/>
        <v>5.3968949339635414E-7</v>
      </c>
      <c r="V17" s="43"/>
      <c r="W17" s="74">
        <f>T17*p_test^'Thermo data'!O14</f>
        <v>1.2026607243452404E-12</v>
      </c>
      <c r="X17" s="63">
        <f>U17*p_test^'Thermo data'!O14</f>
        <v>5.3968949339635405E-2</v>
      </c>
      <c r="Y17" s="55">
        <f>T17*p_low^'Thermo data'!O14*aCaO^'Thermo data'!L14</f>
        <v>1.5838306062234964E-14</v>
      </c>
      <c r="Z17" s="79">
        <f>U17*p_high^'Thermo data'!O14*aCaO^'Thermo data'!L14</f>
        <v>1.741645027304122E-7</v>
      </c>
      <c r="AA17" s="43"/>
      <c r="AB17" s="43"/>
      <c r="AC17" s="55"/>
      <c r="AD17" s="55"/>
      <c r="AE17" s="55"/>
      <c r="AF17" s="55"/>
      <c r="AG17" s="55"/>
      <c r="AH17" s="55"/>
      <c r="AI17" s="55"/>
      <c r="AJ17" s="55"/>
      <c r="AK17" s="55"/>
      <c r="AL17" s="43"/>
    </row>
    <row r="18" spans="1:38" s="128" customFormat="1" x14ac:dyDescent="0.25">
      <c r="A18" s="128" t="str">
        <f>'Thermo data'!A15</f>
        <v>CaO(l)</v>
      </c>
      <c r="B18" s="128">
        <f>'Thermo data'!B15</f>
        <v>0.92400000000000004</v>
      </c>
      <c r="C18" s="128">
        <f>'Thermo data'!C15/1000</f>
        <v>5.9219999999999993E-3</v>
      </c>
      <c r="D18" s="128">
        <f>'Thermo data'!D15/1000000</f>
        <v>-7.3160000000000001E-7</v>
      </c>
      <c r="E18" s="128">
        <f>'Thermo data'!E15/1000000000</f>
        <v>4.3599999999999997E-11</v>
      </c>
      <c r="F18" s="128">
        <f>'Thermo data'!F15/1000000000000</f>
        <v>0</v>
      </c>
      <c r="H18" s="128" t="str">
        <f>'Thermo data'!H15</f>
        <v>2900-3800</v>
      </c>
      <c r="I18" s="128">
        <f>'Thermo data'!I15*1000</f>
        <v>-76384</v>
      </c>
      <c r="K18" s="198">
        <f t="shared" si="0"/>
        <v>8.3080499999999979</v>
      </c>
      <c r="L18" s="198">
        <f t="shared" si="1"/>
        <v>11.837749999999998</v>
      </c>
      <c r="M18" s="129"/>
      <c r="N18" s="129">
        <f t="shared" si="2"/>
        <v>-59.230716666666666</v>
      </c>
      <c r="O18" s="129">
        <f t="shared" si="3"/>
        <v>-42.391349999999996</v>
      </c>
      <c r="Q18" s="198">
        <f>N18-'Thermo data'!$L15*N$18-'Thermo data'!$O15*N$10</f>
        <v>0</v>
      </c>
      <c r="R18" s="198">
        <f>O18-'Thermo data'!$L15*O$18-'Thermo data'!$O15*O$10</f>
        <v>0</v>
      </c>
      <c r="S18" s="129"/>
      <c r="T18" s="214">
        <f t="shared" si="5"/>
        <v>1</v>
      </c>
      <c r="U18" s="214">
        <f t="shared" si="5"/>
        <v>1</v>
      </c>
      <c r="V18" s="130"/>
      <c r="W18" s="165">
        <f>T18*p_test^'Thermo data'!O15</f>
        <v>1</v>
      </c>
      <c r="X18" s="155">
        <f>U18*p_test^'Thermo data'!O15</f>
        <v>1</v>
      </c>
      <c r="Y18" s="147">
        <f>T18*p_low^'Thermo data'!O15*aCaO^'Thermo data'!L15</f>
        <v>3.3000000000000002E-2</v>
      </c>
      <c r="Z18" s="155">
        <f>U18*p_high^'Thermo data'!O15*aCaO^'Thermo data'!L15</f>
        <v>3.3000000000000002E-2</v>
      </c>
      <c r="AA18" s="130"/>
      <c r="AB18" s="130"/>
      <c r="AC18" s="147"/>
      <c r="AD18" s="147"/>
      <c r="AE18" s="147"/>
      <c r="AF18" s="147"/>
      <c r="AG18" s="147"/>
      <c r="AH18" s="147"/>
      <c r="AI18" s="147"/>
      <c r="AJ18" s="147"/>
      <c r="AK18" s="147"/>
      <c r="AL18" s="130"/>
    </row>
    <row r="19" spans="1:38" s="41" customFormat="1" x14ac:dyDescent="0.25">
      <c r="A19" s="41" t="str">
        <f>'Thermo data'!A16</f>
        <v>CaO(g)</v>
      </c>
      <c r="B19" s="41">
        <f>'Thermo data'!B16</f>
        <v>24.83</v>
      </c>
      <c r="C19" s="41">
        <f>'Thermo data'!C16/1000</f>
        <v>4.5789999999999997E-3</v>
      </c>
      <c r="D19" s="41">
        <f>'Thermo data'!D16/1000000</f>
        <v>-9.8950000000000001E-7</v>
      </c>
      <c r="E19" s="41">
        <f>'Thermo data'!E16/1000000000</f>
        <v>1.144E-10</v>
      </c>
      <c r="F19" s="41">
        <f>'Thermo data'!F16/1000000000000</f>
        <v>0</v>
      </c>
      <c r="H19" s="41" t="str">
        <f>'Thermo data'!H16</f>
        <v>1000-3000</v>
      </c>
      <c r="I19" s="41">
        <f>'Thermo data'!I16*1000</f>
        <v>5300</v>
      </c>
      <c r="K19" s="197">
        <f t="shared" si="0"/>
        <v>29.858224999999994</v>
      </c>
      <c r="L19" s="197">
        <f t="shared" si="1"/>
        <v>31.880624999999998</v>
      </c>
      <c r="M19" s="42"/>
      <c r="N19" s="42">
        <f t="shared" si="2"/>
        <v>-26.324891666666659</v>
      </c>
      <c r="O19" s="42">
        <f t="shared" si="3"/>
        <v>-29.760624999999997</v>
      </c>
      <c r="Q19" s="197">
        <f>N19-'Thermo data'!$L16*N$18-'Thermo data'!$O16*N$10</f>
        <v>32.905825000000007</v>
      </c>
      <c r="R19" s="197">
        <f>O19-'Thermo data'!$L16*O$18-'Thermo data'!$O16*O$10</f>
        <v>12.630724999999998</v>
      </c>
      <c r="S19" s="42"/>
      <c r="T19" s="213">
        <f t="shared" si="5"/>
        <v>5.1189605195332E-15</v>
      </c>
      <c r="U19" s="213">
        <f t="shared" si="5"/>
        <v>3.2699855239222649E-6</v>
      </c>
      <c r="V19" s="43"/>
      <c r="W19" s="74">
        <f>T19*p_test^'Thermo data'!O16</f>
        <v>5.1189605195332E-15</v>
      </c>
      <c r="X19" s="63">
        <f>U19*p_test^'Thermo data'!O16</f>
        <v>3.2699855239222649E-6</v>
      </c>
      <c r="Y19" s="55">
        <f>T19*p_low^'Thermo data'!O16*aCaO^'Thermo data'!L16</f>
        <v>1.6892569714459561E-16</v>
      </c>
      <c r="Z19" s="79">
        <f>U19*p_high^'Thermo data'!O16*aCaO^'Thermo data'!L16</f>
        <v>1.0790952228943475E-7</v>
      </c>
      <c r="AA19" s="43"/>
      <c r="AB19" s="43"/>
      <c r="AC19" s="55"/>
      <c r="AD19" s="55"/>
      <c r="AE19" s="55"/>
      <c r="AF19" s="55"/>
      <c r="AG19" s="55"/>
      <c r="AH19" s="55"/>
      <c r="AI19" s="55"/>
      <c r="AJ19" s="55"/>
      <c r="AK19" s="55"/>
      <c r="AL19" s="43"/>
    </row>
    <row r="20" spans="1:38" s="41" customFormat="1" x14ac:dyDescent="0.25">
      <c r="A20" s="41" t="str">
        <f>'Thermo data'!A17</f>
        <v>Ca2(g)</v>
      </c>
      <c r="B20" s="41">
        <f>'Thermo data'!B17</f>
        <v>29.904</v>
      </c>
      <c r="C20" s="41">
        <f>'Thermo data'!C17/1000</f>
        <v>3.0310000000000003E-3</v>
      </c>
      <c r="D20" s="41">
        <f>'Thermo data'!D17/1000000</f>
        <v>5.51E-7</v>
      </c>
      <c r="E20" s="41">
        <f>'Thermo data'!E17/1000000000</f>
        <v>-5.7140000000000001E-10</v>
      </c>
      <c r="F20" s="41">
        <f>'Thermo data'!F17/1000000000000</f>
        <v>9.7999999999999999E-14</v>
      </c>
      <c r="H20" s="41" t="str">
        <f>'Thermo data'!H17</f>
        <v>298-2900</v>
      </c>
      <c r="I20" s="41">
        <f>'Thermo data'!I17*1000</f>
        <v>41600</v>
      </c>
      <c r="K20" s="197">
        <f t="shared" si="0"/>
        <v>34.257899999999999</v>
      </c>
      <c r="L20" s="197">
        <f t="shared" si="1"/>
        <v>35.825249999999997</v>
      </c>
      <c r="M20" s="42"/>
      <c r="N20" s="42">
        <f t="shared" si="2"/>
        <v>-6.5245666666666651</v>
      </c>
      <c r="O20" s="42">
        <f t="shared" si="3"/>
        <v>-19.185249999999996</v>
      </c>
      <c r="Q20" s="197">
        <f>N20-'Thermo data'!$L17*N$18-'Thermo data'!$O17*N$10</f>
        <v>84.165620416666684</v>
      </c>
      <c r="R20" s="197">
        <f>O20-'Thermo data'!$L17*O$18-'Thermo data'!$O17*O$10</f>
        <v>36.024293749999998</v>
      </c>
      <c r="S20" s="42"/>
      <c r="T20" s="213">
        <f>EXP(-Q20)</f>
        <v>2.801144333184489E-37</v>
      </c>
      <c r="U20" s="213">
        <f>EXP(-R20)</f>
        <v>2.2638518884493965E-16</v>
      </c>
      <c r="V20" s="43"/>
      <c r="W20" s="74">
        <f>T20*p_test^'Thermo data'!O17</f>
        <v>2.8011443331844889E-27</v>
      </c>
      <c r="X20" s="63">
        <f>U20*p_test^'Thermo data'!O17</f>
        <v>2.2638518884493967E-6</v>
      </c>
      <c r="Y20" s="55">
        <f>T20*p_low^'Thermo data'!O17*aCaO^'Thermo data'!L17</f>
        <v>4.8581027124127104E-31</v>
      </c>
      <c r="Z20" s="79">
        <f>U20*p_high^'Thermo data'!O17*aCaO^'Thermo data'!L17</f>
        <v>2.3576502073315848E-17</v>
      </c>
      <c r="AA20" s="43"/>
      <c r="AB20" s="43"/>
      <c r="AC20" s="55"/>
      <c r="AD20" s="55"/>
      <c r="AE20" s="55"/>
      <c r="AF20" s="55"/>
      <c r="AG20" s="55"/>
      <c r="AH20" s="55"/>
      <c r="AI20" s="55"/>
      <c r="AJ20" s="55"/>
      <c r="AK20" s="55"/>
      <c r="AL20" s="43"/>
    </row>
    <row r="21" spans="1:38" s="21" customFormat="1" hidden="1" x14ac:dyDescent="0.25">
      <c r="A21" s="21" t="str">
        <f>'Thermo data'!A18</f>
        <v>O</v>
      </c>
      <c r="B21" s="21">
        <f>'Thermo data'!B18</f>
        <v>18.21</v>
      </c>
      <c r="C21" s="21">
        <f>'Thermo data'!C18/1000</f>
        <v>3.2959999999999999E-3</v>
      </c>
      <c r="D21" s="21">
        <f>'Thermo data'!D18/1000000</f>
        <v>-1.0262E-6</v>
      </c>
      <c r="E21" s="21">
        <f>'Thermo data'!E18/1000000000</f>
        <v>2.0269999999999998E-10</v>
      </c>
      <c r="F21" s="21">
        <f>'Thermo data'!F18/1000000000000</f>
        <v>-1.7239999999999998E-14</v>
      </c>
      <c r="H21" s="21" t="str">
        <f>'Thermo data'!H18</f>
        <v>1000-3000</v>
      </c>
      <c r="I21" s="21">
        <f>'Thermo data'!I18*1000</f>
        <v>29970</v>
      </c>
      <c r="K21" s="199">
        <f t="shared" si="0"/>
        <v>21.441885000000003</v>
      </c>
      <c r="L21" s="199">
        <f t="shared" si="1"/>
        <v>22.530000000000005</v>
      </c>
      <c r="M21" s="26"/>
      <c r="N21" s="26">
        <f t="shared" si="2"/>
        <v>-1.4618850000000023</v>
      </c>
      <c r="O21" s="26">
        <f t="shared" si="3"/>
        <v>-10.542000000000005</v>
      </c>
      <c r="Q21" s="199">
        <f>N21-'Thermo data'!$L18*N$18-'Thermo data'!$O18*N$10</f>
        <v>12.423738124999996</v>
      </c>
      <c r="R21" s="199">
        <f>O21-'Thermo data'!$L18*O$18-'Thermo data'!$O18*O$10</f>
        <v>4.2445781249999932</v>
      </c>
      <c r="S21" s="26"/>
      <c r="T21" s="215">
        <f t="shared" ref="T21:U27" si="6">EXP(-Q21)</f>
        <v>4.0219724156653657E-6</v>
      </c>
      <c r="U21" s="215">
        <f t="shared" si="6"/>
        <v>1.4341782842563138E-2</v>
      </c>
      <c r="V21" s="22"/>
      <c r="W21" s="75">
        <f>T21*p_test^'Thermo data'!O18</f>
        <v>4.0219724156653662E-11</v>
      </c>
      <c r="X21" s="64">
        <f>U21*p_test^'Thermo data'!O18</f>
        <v>1.4341782842563139E-7</v>
      </c>
      <c r="Y21" s="56">
        <f>T21*p_test^'Thermo data'!O18*aCaO^'Thermo data'!L18</f>
        <v>4.0219724156653662E-11</v>
      </c>
      <c r="Z21" s="80">
        <f>U21*p_test^'Thermo data'!O18*aCaO^'Thermo data'!L18</f>
        <v>1.4341782842563139E-7</v>
      </c>
      <c r="AA21" s="22"/>
      <c r="AB21" s="22"/>
      <c r="AC21" s="56"/>
      <c r="AD21" s="56"/>
      <c r="AE21" s="56"/>
      <c r="AF21" s="56"/>
      <c r="AG21" s="56"/>
      <c r="AH21" s="56"/>
      <c r="AI21" s="56"/>
      <c r="AJ21" s="56"/>
      <c r="AK21" s="56"/>
      <c r="AL21" s="22"/>
    </row>
    <row r="22" spans="1:38" s="21" customFormat="1" hidden="1" x14ac:dyDescent="0.25">
      <c r="A22" s="21" t="str">
        <f>'Thermo data'!A19</f>
        <v>O2</v>
      </c>
      <c r="B22" s="21">
        <f>'Thermo data'!B19</f>
        <v>22.986999999999998</v>
      </c>
      <c r="C22" s="21">
        <f>'Thermo data'!C19/1000</f>
        <v>4.5769000000000001E-3</v>
      </c>
      <c r="D22" s="21">
        <f>'Thermo data'!D19/1000000</f>
        <v>-1.2100999999999999E-6</v>
      </c>
      <c r="E22" s="21">
        <f>'Thermo data'!E19/1000000000</f>
        <v>2.154E-10</v>
      </c>
      <c r="F22" s="21">
        <f>'Thermo data'!F19/1000000000000</f>
        <v>-1.686E-14</v>
      </c>
      <c r="H22" s="21" t="str">
        <f>'Thermo data'!H19</f>
        <v>1000-3000</v>
      </c>
      <c r="I22" s="21">
        <f>'Thermo data'!I19*1000</f>
        <v>0</v>
      </c>
      <c r="K22" s="199">
        <f t="shared" si="0"/>
        <v>27.771246249999997</v>
      </c>
      <c r="L22" s="199">
        <f t="shared" si="1"/>
        <v>29.573156249999997</v>
      </c>
      <c r="M22" s="26"/>
      <c r="N22" s="26">
        <f t="shared" si="2"/>
        <v>-27.771246249999997</v>
      </c>
      <c r="O22" s="26">
        <f t="shared" si="3"/>
        <v>-29.573156249999997</v>
      </c>
      <c r="Q22" s="199">
        <f>N22-'Thermo data'!$L19*N$18-'Thermo data'!$O19*N$10</f>
        <v>0</v>
      </c>
      <c r="R22" s="199">
        <f>O22-'Thermo data'!$L19*O$18-'Thermo data'!$O19*O$10</f>
        <v>0</v>
      </c>
      <c r="S22" s="26"/>
      <c r="T22" s="215">
        <f t="shared" si="6"/>
        <v>1</v>
      </c>
      <c r="U22" s="215">
        <f t="shared" si="6"/>
        <v>1</v>
      </c>
      <c r="V22" s="22"/>
      <c r="W22" s="75">
        <f>T22*p_test^'Thermo data'!O19</f>
        <v>1E-10</v>
      </c>
      <c r="X22" s="64">
        <f>U22*p_test^'Thermo data'!O19</f>
        <v>1E-10</v>
      </c>
      <c r="Y22" s="56">
        <f>T22*p_test^'Thermo data'!O19*aCaO^'Thermo data'!L19</f>
        <v>1E-10</v>
      </c>
      <c r="Z22" s="80">
        <f>U22*p_test^'Thermo data'!O19*aCaO^'Thermo data'!L19</f>
        <v>1E-10</v>
      </c>
      <c r="AA22" s="22"/>
      <c r="AB22" s="22"/>
      <c r="AC22" s="56"/>
      <c r="AD22" s="56"/>
      <c r="AE22" s="56"/>
      <c r="AF22" s="56"/>
      <c r="AG22" s="56"/>
      <c r="AH22" s="56"/>
      <c r="AI22" s="56"/>
      <c r="AJ22" s="56"/>
      <c r="AK22" s="56"/>
      <c r="AL22" s="22"/>
    </row>
    <row r="23" spans="1:38" s="21" customFormat="1" x14ac:dyDescent="0.25">
      <c r="A23" s="21" t="str">
        <f>'Thermo data'!A20</f>
        <v>Al(g)</v>
      </c>
      <c r="B23" s="21">
        <f>'Thermo data'!B20</f>
        <v>18.649000000000001</v>
      </c>
      <c r="C23" s="21">
        <f>'Thermo data'!C20/1000</f>
        <v>3.2317000000000001E-3</v>
      </c>
      <c r="D23" s="21">
        <f>'Thermo data'!D20/1000000</f>
        <v>-9.9050000000000009E-7</v>
      </c>
      <c r="E23" s="21">
        <f>'Thermo data'!E20/1000000000</f>
        <v>1.9300000000000001E-10</v>
      </c>
      <c r="F23" s="21">
        <f>'Thermo data'!F20/1000000000000</f>
        <v>-1.62E-14</v>
      </c>
      <c r="H23" s="21" t="str">
        <f>'Thermo data'!H20</f>
        <v>1000-3000</v>
      </c>
      <c r="I23" s="21">
        <f>'Thermo data'!I20*1000</f>
        <v>39600</v>
      </c>
      <c r="K23" s="199">
        <f t="shared" si="0"/>
        <v>21.837287499999999</v>
      </c>
      <c r="L23" s="199">
        <f t="shared" si="1"/>
        <v>22.920437500000002</v>
      </c>
      <c r="M23" s="26"/>
      <c r="N23" s="26">
        <f t="shared" si="2"/>
        <v>4.5627124999999999</v>
      </c>
      <c r="O23" s="26">
        <f t="shared" si="3"/>
        <v>-7.0804375000000022</v>
      </c>
      <c r="Q23" s="199">
        <f>N23-'Thermo data'!$L20*N$29-'Thermo data'!$O20*N$10</f>
        <v>62.581318437499952</v>
      </c>
      <c r="R23" s="199">
        <f>O23-'Thermo data'!$L20*O$29-'Thermo data'!$O20*O$10</f>
        <v>22.699335937499871</v>
      </c>
      <c r="S23" s="26"/>
      <c r="T23" s="215">
        <f t="shared" si="6"/>
        <v>6.6264165397231741E-28</v>
      </c>
      <c r="U23" s="215">
        <f t="shared" si="6"/>
        <v>1.3861290310643692E-10</v>
      </c>
      <c r="V23" s="22"/>
      <c r="W23" s="75">
        <f>T23*p_test^'Thermo data'!O20</f>
        <v>2.0954568990536834E-20</v>
      </c>
      <c r="X23" s="64">
        <f>U23*p_test^'Thermo data'!O20</f>
        <v>4.383324869045694E-3</v>
      </c>
      <c r="Y23" s="56">
        <f>T23*p_low^'Thermo data'!O20*aAl2O3^'Thermo data'!L20</f>
        <v>1.1330136512802789E-21</v>
      </c>
      <c r="Z23" s="80">
        <f>U23*p_high^'Thermo data'!O20*aAl2O3^'Thermo data'!L20</f>
        <v>9.0914925389686242E-10</v>
      </c>
      <c r="AA23" s="22"/>
      <c r="AB23" s="22"/>
      <c r="AC23" s="56"/>
      <c r="AD23" s="56"/>
      <c r="AE23" s="56"/>
      <c r="AF23" s="56"/>
      <c r="AG23" s="56"/>
      <c r="AH23" s="56"/>
      <c r="AI23" s="56"/>
      <c r="AJ23" s="56"/>
      <c r="AK23" s="56"/>
      <c r="AL23" s="22"/>
    </row>
    <row r="24" spans="1:38" s="21" customFormat="1" x14ac:dyDescent="0.25">
      <c r="A24" s="21" t="str">
        <f>'Thermo data'!A21</f>
        <v>AlO(g)</v>
      </c>
      <c r="B24" s="21">
        <f>'Thermo data'!B21</f>
        <v>24.765000000000001</v>
      </c>
      <c r="C24" s="21">
        <f>'Thermo data'!C21/1000</f>
        <v>4.254E-3</v>
      </c>
      <c r="D24" s="21">
        <f>'Thermo data'!D21/1000000</f>
        <v>-8.0869999999999998E-7</v>
      </c>
      <c r="E24" s="21">
        <f>'Thermo data'!E21/1000000000</f>
        <v>7.93E-11</v>
      </c>
      <c r="F24" s="21">
        <f>'Thermo data'!F21/1000000000000</f>
        <v>0</v>
      </c>
      <c r="H24" s="21" t="str">
        <f>'Thermo data'!H21</f>
        <v>1000-3000</v>
      </c>
      <c r="I24" s="21">
        <f>'Thermo data'!I21*1000</f>
        <v>8100</v>
      </c>
      <c r="K24" s="199">
        <f t="shared" si="0"/>
        <v>29.5940625</v>
      </c>
      <c r="L24" s="199">
        <f t="shared" si="1"/>
        <v>31.584687499999998</v>
      </c>
      <c r="M24" s="26"/>
      <c r="N24" s="26">
        <f t="shared" si="2"/>
        <v>-24.194062500000001</v>
      </c>
      <c r="O24" s="26">
        <f t="shared" si="3"/>
        <v>-28.344687499999999</v>
      </c>
      <c r="Q24" s="199">
        <f>N24-'Thermo data'!$L21*N$29-'Thermo data'!$O21*N$10</f>
        <v>47.71016656249995</v>
      </c>
      <c r="R24" s="199">
        <f>O24-'Thermo data'!$L21*O$29-'Thermo data'!$O21*O$10</f>
        <v>16.221664062499872</v>
      </c>
      <c r="S24" s="26"/>
      <c r="T24" s="215">
        <f t="shared" si="6"/>
        <v>1.9043112418632835E-21</v>
      </c>
      <c r="U24" s="215">
        <f t="shared" si="6"/>
        <v>9.0161433980509502E-8</v>
      </c>
      <c r="V24" s="22"/>
      <c r="W24" s="75">
        <f>T24*p_test^'Thermo data'!O21</f>
        <v>6.0219608981517653E-19</v>
      </c>
      <c r="X24" s="64">
        <f>U24*p_test^'Thermo data'!O21</f>
        <v>2.8511548848531143E-5</v>
      </c>
      <c r="Y24" s="56">
        <f>T24*p_low^'Thermo data'!O21*aAl2O3^'Thermo data'!L21</f>
        <v>8.1591079380265646E-20</v>
      </c>
      <c r="Z24" s="80">
        <f>U24*p_high^'Thermo data'!O21*aAl2O3^'Thermo data'!L21</f>
        <v>6.0471479839291956E-8</v>
      </c>
      <c r="AA24" s="22"/>
      <c r="AB24" s="22"/>
      <c r="AC24" s="56"/>
      <c r="AD24" s="56"/>
      <c r="AE24" s="56"/>
      <c r="AF24" s="56"/>
      <c r="AG24" s="56"/>
      <c r="AH24" s="56"/>
      <c r="AI24" s="56"/>
      <c r="AJ24" s="56"/>
      <c r="AK24" s="56"/>
      <c r="AL24" s="22"/>
    </row>
    <row r="25" spans="1:38" s="21" customFormat="1" x14ac:dyDescent="0.25">
      <c r="A25" s="21" t="str">
        <f>'Thermo data'!A22</f>
        <v>AlO2(g)</v>
      </c>
      <c r="B25" s="21">
        <f>'Thermo data'!B22</f>
        <v>29.114000000000001</v>
      </c>
      <c r="C25" s="21">
        <f>'Thermo data'!C22/1000</f>
        <v>3.2799999999999999E-3</v>
      </c>
      <c r="D25" s="21">
        <f>'Thermo data'!D22/1000000</f>
        <v>2.4785000000000001E-6</v>
      </c>
      <c r="E25" s="21">
        <f>'Thermo data'!E22/1000000000</f>
        <v>-1.4446000000000002E-9</v>
      </c>
      <c r="F25" s="21">
        <f>'Thermo data'!F22/1000000000000</f>
        <v>2.2084E-13</v>
      </c>
      <c r="H25" s="21" t="str">
        <f>'Thermo data'!H22</f>
        <v>298-2900</v>
      </c>
      <c r="I25" s="21">
        <f>'Thermo data'!I22*1000</f>
        <v>-10400</v>
      </c>
      <c r="K25" s="199">
        <f t="shared" si="0"/>
        <v>35.853102499999999</v>
      </c>
      <c r="L25" s="199">
        <f t="shared" si="1"/>
        <v>38.859312500000001</v>
      </c>
      <c r="M25" s="26"/>
      <c r="N25" s="26">
        <f t="shared" si="2"/>
        <v>-42.786435833333329</v>
      </c>
      <c r="O25" s="26">
        <f t="shared" si="3"/>
        <v>-43.019312499999998</v>
      </c>
      <c r="Q25" s="199">
        <f>N25-'Thermo data'!$L22*N$29-'Thermo data'!$O22*N$10</f>
        <v>43.003416354166617</v>
      </c>
      <c r="R25" s="199">
        <f>O25-'Thermo data'!$L22*O$29-'Thermo data'!$O22*O$10</f>
        <v>16.333617187499872</v>
      </c>
      <c r="S25" s="26"/>
      <c r="T25" s="215">
        <f t="shared" si="6"/>
        <v>2.1079173301637935E-19</v>
      </c>
      <c r="U25" s="215">
        <f t="shared" si="6"/>
        <v>8.061209090147144E-8</v>
      </c>
      <c r="V25" s="22"/>
      <c r="W25" s="75">
        <f>T25*p_test^'Thermo data'!O22</f>
        <v>6.6658198826587371E-22</v>
      </c>
      <c r="X25" s="64">
        <f>U25*p_test^'Thermo data'!O22</f>
        <v>2.5491781419718577E-10</v>
      </c>
      <c r="Y25" s="56">
        <f>T25*p_low^'Thermo data'!O22*aAl2O3^'Thermo data'!L22</f>
        <v>2.2631151856918717E-22</v>
      </c>
      <c r="Z25" s="80">
        <f>U25*p_high^'Thermo data'!O22*aAl2O3^'Thermo data'!L22</f>
        <v>5.5287662817800096E-9</v>
      </c>
      <c r="AA25" s="22"/>
      <c r="AB25" s="22"/>
      <c r="AC25" s="56"/>
      <c r="AD25" s="56"/>
      <c r="AE25" s="56"/>
      <c r="AF25" s="56"/>
      <c r="AG25" s="56"/>
      <c r="AH25" s="56"/>
      <c r="AI25" s="56"/>
      <c r="AJ25" s="56"/>
      <c r="AK25" s="56"/>
      <c r="AL25" s="22"/>
    </row>
    <row r="26" spans="1:38" s="21" customFormat="1" x14ac:dyDescent="0.25">
      <c r="A26" s="21" t="str">
        <f>'Thermo data'!A23</f>
        <v>Al2(g)</v>
      </c>
      <c r="B26" s="21">
        <f>'Thermo data'!B23</f>
        <v>25.766999999999999</v>
      </c>
      <c r="C26" s="21">
        <f>'Thermo data'!C23/1000</f>
        <v>6.3990000000000002E-3</v>
      </c>
      <c r="D26" s="21">
        <f>'Thermo data'!D23/1000000</f>
        <v>-1.866E-6</v>
      </c>
      <c r="E26" s="21">
        <f>'Thermo data'!E23/1000000000</f>
        <v>3.5659999999999999E-10</v>
      </c>
      <c r="F26" s="21">
        <f>'Thermo data'!F23/1000000000000</f>
        <v>-2.9899999999999998E-14</v>
      </c>
      <c r="H26" s="21" t="str">
        <f>'Thermo data'!H23</f>
        <v>1000-3000</v>
      </c>
      <c r="I26" s="21">
        <f>'Thermo data'!I23*1000</f>
        <v>59000</v>
      </c>
      <c r="K26" s="199">
        <f t="shared" si="0"/>
        <v>32.219156249999997</v>
      </c>
      <c r="L26" s="199">
        <f t="shared" si="1"/>
        <v>34.505906249999995</v>
      </c>
      <c r="M26" s="26"/>
      <c r="N26" s="26">
        <f t="shared" si="2"/>
        <v>7.1141770833333382</v>
      </c>
      <c r="O26" s="26">
        <f t="shared" si="3"/>
        <v>-10.905906249999994</v>
      </c>
      <c r="Q26" s="199">
        <f>N26-'Thermo data'!$L23*N$29-'Thermo data'!$O23*N$10</f>
        <v>123.15138895833324</v>
      </c>
      <c r="R26" s="199">
        <f>O26-'Thermo data'!$L23*O$29-'Thermo data'!$O23*O$10</f>
        <v>48.653640624999746</v>
      </c>
      <c r="S26" s="26"/>
      <c r="T26" s="215">
        <f t="shared" si="6"/>
        <v>3.2811896780132276E-54</v>
      </c>
      <c r="U26" s="215">
        <f t="shared" si="6"/>
        <v>7.4129718691615152E-22</v>
      </c>
      <c r="V26" s="22"/>
      <c r="W26" s="75">
        <f>T26*p_test^'Thermo data'!O23</f>
        <v>3.2811896780132237E-39</v>
      </c>
      <c r="X26" s="64">
        <f>U26*p_test^'Thermo data'!O23</f>
        <v>7.4129718691615058E-7</v>
      </c>
      <c r="Y26" s="56">
        <f>T26*p_low^'Thermo data'!O23*aAl2O3^'Thermo data'!L23</f>
        <v>9.5927727671564927E-42</v>
      </c>
      <c r="Z26" s="80">
        <f>U26*p_high^'Thermo data'!O23*aAl2O3^'Thermo data'!L23</f>
        <v>3.1890065145143854E-20</v>
      </c>
      <c r="AA26" s="22"/>
      <c r="AB26" s="22"/>
      <c r="AC26" s="56"/>
      <c r="AD26" s="56"/>
      <c r="AE26" s="56"/>
      <c r="AF26" s="56"/>
      <c r="AG26" s="56"/>
      <c r="AH26" s="56"/>
      <c r="AI26" s="56"/>
      <c r="AJ26" s="56"/>
      <c r="AK26" s="56"/>
      <c r="AL26" s="22"/>
    </row>
    <row r="27" spans="1:38" s="89" customFormat="1" x14ac:dyDescent="0.25">
      <c r="A27" s="89" t="str">
        <f>'Thermo data'!A24</f>
        <v>Al2O(g)</v>
      </c>
      <c r="B27" s="89">
        <f>'Thermo data'!B24</f>
        <v>29.123000000000001</v>
      </c>
      <c r="C27" s="89">
        <f>'Thermo data'!C24/1000</f>
        <v>3.4750000000000002E-3</v>
      </c>
      <c r="D27" s="89">
        <f>'Thermo data'!D24/1000000</f>
        <v>2.3889999999999999E-6</v>
      </c>
      <c r="E27" s="89">
        <f>'Thermo data'!E24/1000000000</f>
        <v>-1.4244000000000002E-9</v>
      </c>
      <c r="F27" s="89">
        <f>'Thermo data'!F24/1000000000000</f>
        <v>2.1885E-13</v>
      </c>
      <c r="H27" s="89" t="str">
        <f>'Thermo data'!H24</f>
        <v>290-2900</v>
      </c>
      <c r="I27" s="89">
        <f>'Thermo data'!I24*1000</f>
        <v>-17500</v>
      </c>
      <c r="K27" s="200">
        <f t="shared" si="0"/>
        <v>36.011328125000006</v>
      </c>
      <c r="L27" s="200">
        <f t="shared" si="1"/>
        <v>39.034328125000002</v>
      </c>
      <c r="M27" s="90"/>
      <c r="N27" s="90">
        <f t="shared" si="2"/>
        <v>-47.67799479166667</v>
      </c>
      <c r="O27" s="90">
        <f t="shared" si="3"/>
        <v>-46.034328125000002</v>
      </c>
      <c r="Q27" s="200">
        <f>N27-'Thermo data'!$L24*N$29-'Thermo data'!$O24*N$10</f>
        <v>82.244840208333244</v>
      </c>
      <c r="R27" s="200">
        <f>O27-'Thermo data'!$L24*O$29-'Thermo data'!$O24*O$10</f>
        <v>28.311796874999743</v>
      </c>
      <c r="S27" s="90"/>
      <c r="T27" s="216">
        <f t="shared" si="6"/>
        <v>1.9121402022020294E-36</v>
      </c>
      <c r="U27" s="216">
        <f t="shared" si="6"/>
        <v>5.0622413204032311E-13</v>
      </c>
      <c r="V27" s="91"/>
      <c r="W27" s="92">
        <f>T27*p_test^'Thermo data'!O24</f>
        <v>1.9121402022020295E-26</v>
      </c>
      <c r="X27" s="80">
        <f>U27*p_test^'Thermo data'!O24</f>
        <v>5.0622413204032312E-3</v>
      </c>
      <c r="Y27" s="56">
        <f>T27*p_low^'Thermo data'!O24*aAl2O3^'Thermo data'!L24</f>
        <v>1.4008153433246825E-28</v>
      </c>
      <c r="Z27" s="80">
        <f>U27*p_high^'Thermo data'!O24*aAl2O3^'Thermo data'!L24</f>
        <v>2.2269176525355944E-12</v>
      </c>
      <c r="AA27" s="91"/>
      <c r="AB27" s="91"/>
      <c r="AC27" s="93"/>
      <c r="AD27" s="93"/>
      <c r="AE27" s="93"/>
      <c r="AF27" s="93"/>
      <c r="AG27" s="93"/>
      <c r="AH27" s="93"/>
      <c r="AI27" s="93"/>
      <c r="AJ27" s="93"/>
      <c r="AK27" s="93"/>
      <c r="AL27" s="91"/>
    </row>
    <row r="28" spans="1:38" s="21" customFormat="1" x14ac:dyDescent="0.25">
      <c r="A28" s="21" t="str">
        <f>'Thermo data'!A25</f>
        <v>Al2O2(g)</v>
      </c>
      <c r="B28" s="21">
        <f>'Thermo data'!B25</f>
        <v>32.197000000000003</v>
      </c>
      <c r="C28" s="21">
        <f>'Thermo data'!C25/1000</f>
        <v>4.4840000000000001E-3</v>
      </c>
      <c r="D28" s="21">
        <f>'Thermo data'!D25/1000000</f>
        <v>3.337E-6</v>
      </c>
      <c r="E28" s="21">
        <f>'Thermo data'!E25/1000000000</f>
        <v>-1.9574999999999999E-9</v>
      </c>
      <c r="F28" s="21">
        <f>'Thermo data'!F25/1000000000000</f>
        <v>2.9959999999999996E-13</v>
      </c>
      <c r="H28" s="21" t="str">
        <f>'Thermo data'!H25</f>
        <v>298-2900</v>
      </c>
      <c r="I28" s="21">
        <f>'Thermo data'!I25*1000</f>
        <v>-47500</v>
      </c>
      <c r="K28" s="199">
        <f t="shared" si="0"/>
        <v>41.341412500000004</v>
      </c>
      <c r="L28" s="199">
        <f t="shared" si="1"/>
        <v>45.380437499999999</v>
      </c>
      <c r="M28" s="26"/>
      <c r="N28" s="26">
        <f t="shared" si="2"/>
        <v>-73.008079166666676</v>
      </c>
      <c r="O28" s="26">
        <f t="shared" si="3"/>
        <v>-64.380437499999999</v>
      </c>
      <c r="Q28" s="199">
        <f>N28-'Thermo data'!$L25*N$29-'Thermo data'!$O25*N$10</f>
        <v>70.800378958333226</v>
      </c>
      <c r="R28" s="199">
        <f>O28-'Thermo data'!$L25*O$29-'Thermo data'!$O25*O$10</f>
        <v>24.752265624999744</v>
      </c>
      <c r="S28" s="26"/>
      <c r="T28" s="215">
        <f>EXP(-Q28)</f>
        <v>1.7856079125063407E-31</v>
      </c>
      <c r="U28" s="215">
        <f>EXP(-R28)</f>
        <v>1.7792116944720704E-11</v>
      </c>
      <c r="V28" s="22"/>
      <c r="W28" s="75">
        <f>T28*p_test^'Thermo data'!O25</f>
        <v>1.7856079125063406E-26</v>
      </c>
      <c r="X28" s="64">
        <f>U28*p_test^'Thermo data'!O25</f>
        <v>1.7792116944720702E-6</v>
      </c>
      <c r="Y28" s="56">
        <f>T28*p_low^'Thermo data'!O25*aAl2O3^'Thermo data'!L25</f>
        <v>3.2778992154269387E-28</v>
      </c>
      <c r="Z28" s="80">
        <f>U28*p_high^'Thermo data'!O25*aAl2O3^'Thermo data'!L25</f>
        <v>8.0036335681620157E-12</v>
      </c>
      <c r="AA28" s="22"/>
      <c r="AB28" s="22"/>
      <c r="AC28" s="56"/>
      <c r="AD28" s="56"/>
      <c r="AE28" s="56"/>
      <c r="AF28" s="56"/>
      <c r="AG28" s="56"/>
      <c r="AH28" s="56"/>
      <c r="AI28" s="56"/>
      <c r="AJ28" s="56"/>
      <c r="AK28" s="56"/>
      <c r="AL28" s="22"/>
    </row>
    <row r="29" spans="1:38" s="116" customFormat="1" x14ac:dyDescent="0.25">
      <c r="A29" s="116" t="str">
        <f>'Thermo data'!A26</f>
        <v>Al2O3(l)</v>
      </c>
      <c r="B29" s="116">
        <f>'Thermo data'!B26</f>
        <v>232.345</v>
      </c>
      <c r="C29" s="116">
        <f>'Thermo data'!C26/1000</f>
        <v>-0.33662200000000003</v>
      </c>
      <c r="D29" s="116">
        <f>'Thermo data'!D26/1000000</f>
        <v>1.9367199999999998E-4</v>
      </c>
      <c r="E29" s="116">
        <f>'Thermo data'!E26/1000000000</f>
        <v>-4.8103200000000002E-8</v>
      </c>
      <c r="F29" s="116">
        <f>'Thermo data'!F26/1000000000000</f>
        <v>4.4461000000000006E-12</v>
      </c>
      <c r="H29" s="116" t="str">
        <f>'Thermo data'!H26</f>
        <v>2327·3000</v>
      </c>
      <c r="I29" s="116">
        <f>'Thermo data'!I26*1000</f>
        <v>-201540</v>
      </c>
      <c r="K29" s="201">
        <f t="shared" si="0"/>
        <v>23.334081249999873</v>
      </c>
      <c r="L29" s="201">
        <f t="shared" si="1"/>
        <v>23.303281249999742</v>
      </c>
      <c r="M29" s="124"/>
      <c r="N29" s="124">
        <f t="shared" si="2"/>
        <v>-157.6940812499999</v>
      </c>
      <c r="O29" s="124">
        <f t="shared" si="3"/>
        <v>-103.91928124999974</v>
      </c>
      <c r="Q29" s="201">
        <f>N29-'Thermo data'!$L26*N$29-'Thermo data'!$O26*N$10</f>
        <v>0</v>
      </c>
      <c r="R29" s="201">
        <f>O29-'Thermo data'!$L26*O$29-'Thermo data'!$O26*O$10</f>
        <v>0</v>
      </c>
      <c r="S29" s="124"/>
      <c r="T29" s="217">
        <f>EXP(-Q29)</f>
        <v>1</v>
      </c>
      <c r="U29" s="217">
        <f>EXP(-R29)</f>
        <v>1</v>
      </c>
      <c r="V29" s="117"/>
      <c r="W29" s="166">
        <f>T29*p_test^'Thermo data'!O26</f>
        <v>1</v>
      </c>
      <c r="X29" s="156">
        <f>U29*p_test^'Thermo data'!O26</f>
        <v>1</v>
      </c>
      <c r="Y29" s="148">
        <f>T29*p_low^'Thermo data'!O26*aAl2O3^'Thermo data'!L26</f>
        <v>4.5999999999999999E-2</v>
      </c>
      <c r="Z29" s="156">
        <f>U29*p_high^'Thermo data'!O26*aAl2O3^'Thermo data'!L26</f>
        <v>4.5999999999999999E-2</v>
      </c>
      <c r="AA29" s="117"/>
      <c r="AB29" s="117"/>
      <c r="AC29" s="148"/>
      <c r="AD29" s="148"/>
      <c r="AE29" s="148"/>
      <c r="AF29" s="148"/>
      <c r="AG29" s="148"/>
      <c r="AH29" s="148"/>
      <c r="AI29" s="148"/>
      <c r="AJ29" s="148"/>
      <c r="AK29" s="148"/>
      <c r="AL29" s="117"/>
    </row>
    <row r="30" spans="1:38" s="23" customFormat="1" hidden="1" x14ac:dyDescent="0.25">
      <c r="A30" s="23" t="str">
        <f>'Thermo data'!A27</f>
        <v>O</v>
      </c>
      <c r="B30" s="23">
        <f>'Thermo data'!B27</f>
        <v>18.21</v>
      </c>
      <c r="C30" s="23">
        <f>'Thermo data'!C27/1000</f>
        <v>3.2959999999999999E-3</v>
      </c>
      <c r="D30" s="23">
        <f>'Thermo data'!D27/1000000</f>
        <v>-1.0262E-6</v>
      </c>
      <c r="E30" s="23">
        <f>'Thermo data'!E27/1000000000</f>
        <v>2.0269999999999998E-10</v>
      </c>
      <c r="F30" s="23">
        <f>'Thermo data'!F27/1000000000000</f>
        <v>-1.7239999999999998E-14</v>
      </c>
      <c r="H30" s="23" t="str">
        <f>'Thermo data'!H27</f>
        <v>1000-3000</v>
      </c>
      <c r="I30" s="23">
        <f>'Thermo data'!I27*1000</f>
        <v>29970</v>
      </c>
      <c r="K30" s="202">
        <f t="shared" si="0"/>
        <v>21.441885000000003</v>
      </c>
      <c r="L30" s="202">
        <f t="shared" si="1"/>
        <v>22.530000000000005</v>
      </c>
      <c r="M30" s="27"/>
      <c r="N30" s="27">
        <f t="shared" si="2"/>
        <v>-1.4618850000000023</v>
      </c>
      <c r="O30" s="27">
        <f t="shared" si="3"/>
        <v>-10.542000000000005</v>
      </c>
      <c r="Q30" s="202">
        <f>N30-'Thermo data'!$L27*N$34-'Thermo data'!$O27*N$10</f>
        <v>12.423738124999996</v>
      </c>
      <c r="R30" s="202">
        <f>O30-'Thermo data'!$L27*O$34-'Thermo data'!$O27*O$10</f>
        <v>4.2445781249999932</v>
      </c>
      <c r="S30" s="27"/>
      <c r="T30" s="218">
        <f t="shared" ref="T30:U37" si="7">EXP(-Q30)</f>
        <v>4.0219724156653657E-6</v>
      </c>
      <c r="U30" s="218">
        <f t="shared" si="7"/>
        <v>1.4341782842563138E-2</v>
      </c>
      <c r="V30" s="24"/>
      <c r="W30" s="76">
        <f>T30*p_test^'Thermo data'!O27</f>
        <v>4.0219724156653662E-11</v>
      </c>
      <c r="X30" s="65">
        <f>U30*p_test^'Thermo data'!O27</f>
        <v>1.4341782842563139E-7</v>
      </c>
      <c r="Y30" s="56">
        <f>T30*p_low^'Thermo data'!O27*aAl2O3^'Thermo data'!L27</f>
        <v>1.0078303317953309E-10</v>
      </c>
      <c r="Z30" s="80">
        <f>U30*p_high^'Thermo data'!O27*aAl2O3^'Thermo data'!L27</f>
        <v>1.4665652876842598E-3</v>
      </c>
      <c r="AA30" s="24"/>
      <c r="AB30" s="24"/>
      <c r="AC30" s="57"/>
      <c r="AD30" s="57"/>
      <c r="AE30" s="57"/>
      <c r="AF30" s="57"/>
      <c r="AG30" s="57"/>
      <c r="AH30" s="57"/>
      <c r="AI30" s="57"/>
      <c r="AJ30" s="57"/>
      <c r="AK30" s="57"/>
      <c r="AL30" s="24"/>
    </row>
    <row r="31" spans="1:38" s="23" customFormat="1" hidden="1" x14ac:dyDescent="0.25">
      <c r="A31" s="23" t="str">
        <f>'Thermo data'!A28</f>
        <v>O2</v>
      </c>
      <c r="B31" s="23">
        <f>'Thermo data'!B28</f>
        <v>22.986999999999998</v>
      </c>
      <c r="C31" s="23">
        <f>'Thermo data'!C28/1000</f>
        <v>4.5769000000000001E-3</v>
      </c>
      <c r="D31" s="23">
        <f>'Thermo data'!D28/1000000</f>
        <v>-1.2100999999999999E-6</v>
      </c>
      <c r="E31" s="23">
        <f>'Thermo data'!E28/1000000000</f>
        <v>2.154E-10</v>
      </c>
      <c r="F31" s="23">
        <f>'Thermo data'!F28/1000000000000</f>
        <v>-1.686E-14</v>
      </c>
      <c r="H31" s="23" t="str">
        <f>'Thermo data'!H28</f>
        <v>1000-3000</v>
      </c>
      <c r="I31" s="23">
        <f>'Thermo data'!I28*1000</f>
        <v>0</v>
      </c>
      <c r="K31" s="202">
        <f t="shared" si="0"/>
        <v>27.771246249999997</v>
      </c>
      <c r="L31" s="202">
        <f t="shared" si="1"/>
        <v>29.573156249999997</v>
      </c>
      <c r="M31" s="27"/>
      <c r="N31" s="27">
        <f t="shared" si="2"/>
        <v>-27.771246249999997</v>
      </c>
      <c r="O31" s="27">
        <f t="shared" si="3"/>
        <v>-29.573156249999997</v>
      </c>
      <c r="Q31" s="202">
        <f>N31-'Thermo data'!$L28*N$34-'Thermo data'!$O28*N$10</f>
        <v>0</v>
      </c>
      <c r="R31" s="202">
        <f>O31-'Thermo data'!$L28*O$34-'Thermo data'!$O28*O$10</f>
        <v>0</v>
      </c>
      <c r="S31" s="27"/>
      <c r="T31" s="218">
        <f t="shared" si="7"/>
        <v>1</v>
      </c>
      <c r="U31" s="218">
        <f t="shared" si="7"/>
        <v>1</v>
      </c>
      <c r="V31" s="24"/>
      <c r="W31" s="76">
        <f>T31*p_test^'Thermo data'!O28</f>
        <v>1E-10</v>
      </c>
      <c r="X31" s="65">
        <f>U31*p_test^'Thermo data'!O28</f>
        <v>1E-10</v>
      </c>
      <c r="Y31" s="56">
        <f>T31*p_low^'Thermo data'!O28*aAl2O3^'Thermo data'!L28</f>
        <v>6.2790895117220492E-10</v>
      </c>
      <c r="Z31" s="80">
        <f>U31*p_high^'Thermo data'!O28*aAl2O3^'Thermo data'!L28</f>
        <v>1.0456745020338224E-2</v>
      </c>
      <c r="AA31" s="24"/>
      <c r="AB31" s="24"/>
      <c r="AC31" s="57"/>
      <c r="AD31" s="57"/>
      <c r="AE31" s="57"/>
      <c r="AF31" s="57"/>
      <c r="AG31" s="57"/>
      <c r="AH31" s="57"/>
      <c r="AI31" s="57"/>
      <c r="AJ31" s="57"/>
      <c r="AK31" s="57"/>
      <c r="AL31" s="24"/>
    </row>
    <row r="32" spans="1:38" s="23" customFormat="1" x14ac:dyDescent="0.25">
      <c r="A32" s="23" t="str">
        <f>'Thermo data'!A29</f>
        <v>Si(g)</v>
      </c>
      <c r="B32" s="23">
        <f>'Thermo data'!B29</f>
        <v>19.039000000000001</v>
      </c>
      <c r="C32" s="23">
        <f>'Thermo data'!C29/1000</f>
        <v>3.32E-3</v>
      </c>
      <c r="D32" s="23">
        <f>'Thermo data'!D29/1000000</f>
        <v>-1.0484E-6</v>
      </c>
      <c r="E32" s="23">
        <f>'Thermo data'!E29/1000000000</f>
        <v>2.1279999999999998E-10</v>
      </c>
      <c r="F32" s="23">
        <f>'Thermo data'!F29/1000000000000</f>
        <v>-1.85E-14</v>
      </c>
      <c r="H32" s="23" t="str">
        <f>'Thermo data'!H29</f>
        <v>1000-3000</v>
      </c>
      <c r="I32" s="23">
        <f>'Thermo data'!I29*1000</f>
        <v>54200</v>
      </c>
      <c r="K32" s="202">
        <f t="shared" si="0"/>
        <v>22.284643750000004</v>
      </c>
      <c r="L32" s="202">
        <f t="shared" si="1"/>
        <v>23.388843750000003</v>
      </c>
      <c r="M32" s="27"/>
      <c r="N32" s="27">
        <f t="shared" si="2"/>
        <v>13.848689583333329</v>
      </c>
      <c r="O32" s="27">
        <f t="shared" si="3"/>
        <v>-1.7088437500000033</v>
      </c>
      <c r="Q32" s="202">
        <f>N32-'Thermo data'!$L29*N$34-'Thermo data'!$O29*N$10</f>
        <v>70.195768333333319</v>
      </c>
      <c r="R32" s="202">
        <f>O32-'Thermo data'!$L29*O$34-'Thermo data'!$O29*O$10</f>
        <v>27.464875000000006</v>
      </c>
      <c r="S32" s="27"/>
      <c r="T32" s="218">
        <f t="shared" si="7"/>
        <v>3.2686254651253232E-31</v>
      </c>
      <c r="U32" s="218">
        <f t="shared" si="7"/>
        <v>1.1807456148613976E-12</v>
      </c>
      <c r="V32" s="24"/>
      <c r="W32" s="76">
        <f>T32*p_test^'Thermo data'!O29</f>
        <v>3.2686254651253234E-21</v>
      </c>
      <c r="X32" s="65">
        <f>U32*p_test^'Thermo data'!O29</f>
        <v>1.1807456148613976E-2</v>
      </c>
      <c r="Y32" s="57">
        <f>T32*p_low^'Thermo data'!O29*aSiO2^'Thermo data'!L29</f>
        <v>2.639225173848575E-22</v>
      </c>
      <c r="Z32" s="81">
        <f>U32*p_high^'Thermo data'!O29*aSiO2^'Thermo data'!L29</f>
        <v>5.7248983844435907E-11</v>
      </c>
      <c r="AA32" s="24"/>
      <c r="AB32" s="24"/>
      <c r="AC32" s="57"/>
      <c r="AD32" s="57"/>
      <c r="AE32" s="57"/>
      <c r="AF32" s="57"/>
      <c r="AG32" s="57"/>
      <c r="AH32" s="57"/>
      <c r="AI32" s="57"/>
      <c r="AJ32" s="57"/>
      <c r="AK32" s="57"/>
      <c r="AL32" s="24"/>
    </row>
    <row r="33" spans="1:38" s="23" customFormat="1" x14ac:dyDescent="0.25">
      <c r="A33" s="23" t="str">
        <f>'Thermo data'!A30</f>
        <v>SiO(g)</v>
      </c>
      <c r="B33" s="23">
        <f>'Thermo data'!B30</f>
        <v>23.681999999999999</v>
      </c>
      <c r="C33" s="23">
        <f>'Thermo data'!C30/1000</f>
        <v>4.7876000000000004E-3</v>
      </c>
      <c r="D33" s="23">
        <f>'Thermo data'!D30/1000000</f>
        <v>-1.288E-6</v>
      </c>
      <c r="E33" s="23">
        <f>'Thermo data'!E30/1000000000</f>
        <v>2.2909999999999999E-10</v>
      </c>
      <c r="F33" s="23">
        <f>'Thermo data'!F30/1000000000000</f>
        <v>-1.7970000000000001E-14</v>
      </c>
      <c r="H33" s="23" t="str">
        <f>'Thermo data'!H30</f>
        <v>1000-3000</v>
      </c>
      <c r="I33" s="23">
        <f>'Thermo data'!I30*1000</f>
        <v>-11900</v>
      </c>
      <c r="K33" s="202">
        <f t="shared" si="0"/>
        <v>28.647639374999997</v>
      </c>
      <c r="L33" s="202">
        <f t="shared" si="1"/>
        <v>30.478734374999995</v>
      </c>
      <c r="M33" s="27"/>
      <c r="N33" s="27">
        <f t="shared" si="2"/>
        <v>-36.580972708333334</v>
      </c>
      <c r="O33" s="27">
        <f t="shared" si="3"/>
        <v>-35.238734374999993</v>
      </c>
      <c r="Q33" s="202">
        <f>N33-'Thermo data'!$L30*N$34-'Thermo data'!$O30*N$10</f>
        <v>33.651729166666669</v>
      </c>
      <c r="R33" s="202">
        <f>O33-'Thermo data'!$L30*O$34-'Thermo data'!$O30*O$10</f>
        <v>8.7215625000000117</v>
      </c>
      <c r="S33" s="27"/>
      <c r="T33" s="218">
        <f t="shared" si="7"/>
        <v>2.4279498745709634E-15</v>
      </c>
      <c r="U33" s="218">
        <f t="shared" si="7"/>
        <v>1.6303225390740052E-4</v>
      </c>
      <c r="V33" s="24"/>
      <c r="W33" s="76">
        <f>T33*p_test^'Thermo data'!O30</f>
        <v>2.427949874570963E-10</v>
      </c>
      <c r="X33" s="65">
        <f>U33*p_test^'Thermo data'!O30</f>
        <v>16.30322539074005</v>
      </c>
      <c r="Y33" s="57">
        <f>T33*p_low^'Thermo data'!O30*aSiO2^'Thermo data'!L30</f>
        <v>4.9124635237032412E-11</v>
      </c>
      <c r="Z33" s="81">
        <f>U33*p_high^'Thermo data'!O30*aSiO2^'Thermo data'!L30</f>
        <v>8.0831982944431385E-4</v>
      </c>
      <c r="AA33" s="24"/>
      <c r="AB33" s="24"/>
      <c r="AC33" s="57"/>
      <c r="AD33" s="57"/>
      <c r="AE33" s="57"/>
      <c r="AF33" s="57"/>
      <c r="AG33" s="57"/>
      <c r="AH33" s="57"/>
      <c r="AI33" s="57"/>
      <c r="AJ33" s="57"/>
      <c r="AK33" s="57"/>
      <c r="AL33" s="24"/>
    </row>
    <row r="34" spans="1:38" s="118" customFormat="1" x14ac:dyDescent="0.25">
      <c r="A34" s="118" t="str">
        <f>'Thermo data'!A31</f>
        <v>SiO2(l)</v>
      </c>
      <c r="B34" s="118">
        <f>'Thermo data'!B31</f>
        <v>2.12</v>
      </c>
      <c r="C34" s="118">
        <f>'Thermo data'!C31/1000</f>
        <v>7.6492000000000001E-3</v>
      </c>
      <c r="D34" s="118">
        <f>'Thermo data'!D31/1000000</f>
        <v>-1.2587999999999999E-6</v>
      </c>
      <c r="E34" s="118">
        <f>'Thermo data'!E31/1000000000</f>
        <v>9.9799999999999994E-11</v>
      </c>
      <c r="F34" s="118">
        <f>'Thermo data'!F31/1000000000000</f>
        <v>0</v>
      </c>
      <c r="H34" s="118" t="str">
        <f>'Thermo data'!H31</f>
        <v>1996-3000</v>
      </c>
      <c r="I34" s="118">
        <f>'Thermo data'!I31*1000</f>
        <v>-109530</v>
      </c>
      <c r="K34" s="203">
        <f t="shared" si="0"/>
        <v>11.098325000000001</v>
      </c>
      <c r="L34" s="203">
        <f t="shared" si="1"/>
        <v>14.934875000000002</v>
      </c>
      <c r="M34" s="125"/>
      <c r="N34" s="125">
        <f t="shared" si="2"/>
        <v>-84.118324999999999</v>
      </c>
      <c r="O34" s="125">
        <f t="shared" si="3"/>
        <v>-58.746875000000003</v>
      </c>
      <c r="Q34" s="203">
        <f>N34-'Thermo data'!$L31*N$34-'Thermo data'!$O31*N$10</f>
        <v>0</v>
      </c>
      <c r="R34" s="203">
        <f>O34-'Thermo data'!$L31*O$34-'Thermo data'!$O31*O$10</f>
        <v>0</v>
      </c>
      <c r="S34" s="125"/>
      <c r="T34" s="219">
        <f t="shared" si="7"/>
        <v>1</v>
      </c>
      <c r="U34" s="219">
        <f t="shared" si="7"/>
        <v>1</v>
      </c>
      <c r="V34" s="119"/>
      <c r="W34" s="167">
        <f>T34*p_test^'Thermo data'!O31</f>
        <v>1</v>
      </c>
      <c r="X34" s="157">
        <f>U34*p_test^'Thermo data'!O31</f>
        <v>1</v>
      </c>
      <c r="Y34" s="149">
        <f>T34*p_low^'Thermo data'!O31*aSiO2^'Thermo data'!L31</f>
        <v>0.50700000000000001</v>
      </c>
      <c r="Z34" s="157">
        <f>U34*p_high^'Thermo data'!O31*aSiO2^'Thermo data'!L31</f>
        <v>0.50700000000000001</v>
      </c>
      <c r="AA34" s="119"/>
      <c r="AB34" s="119"/>
      <c r="AC34" s="149"/>
      <c r="AD34" s="149"/>
      <c r="AE34" s="149"/>
      <c r="AF34" s="149"/>
      <c r="AG34" s="149"/>
      <c r="AH34" s="149"/>
      <c r="AI34" s="149"/>
      <c r="AJ34" s="149"/>
      <c r="AK34" s="149"/>
      <c r="AL34" s="119"/>
    </row>
    <row r="35" spans="1:38" s="23" customFormat="1" x14ac:dyDescent="0.25">
      <c r="A35" s="23" t="str">
        <f>'Thermo data'!A32</f>
        <v>SiO2(g)</v>
      </c>
      <c r="B35" s="23">
        <f>'Thermo data'!B32</f>
        <v>24.696000000000002</v>
      </c>
      <c r="C35" s="23">
        <f>'Thermo data'!C32/1000</f>
        <v>7.4669999999999997E-3</v>
      </c>
      <c r="D35" s="23">
        <f>'Thermo data'!D32/1000000</f>
        <v>-1.8979999999999999E-6</v>
      </c>
      <c r="E35" s="23">
        <f>'Thermo data'!E32/1000000000</f>
        <v>3.194E-10</v>
      </c>
      <c r="F35" s="23">
        <f>'Thermo data'!F32/1000000000000</f>
        <v>-2.38E-14</v>
      </c>
      <c r="H35" s="23" t="str">
        <f>'Thermo data'!H32</f>
        <v>1000-3000</v>
      </c>
      <c r="I35" s="23">
        <f>'Thermo data'!I32*1000</f>
        <v>-38700</v>
      </c>
      <c r="K35" s="202">
        <f t="shared" si="0"/>
        <v>32.583487500000004</v>
      </c>
      <c r="L35" s="202">
        <f t="shared" si="1"/>
        <v>35.561937500000006</v>
      </c>
      <c r="M35" s="27"/>
      <c r="N35" s="27">
        <f t="shared" si="2"/>
        <v>-58.383487500000001</v>
      </c>
      <c r="O35" s="27">
        <f t="shared" si="3"/>
        <v>-51.041937500000003</v>
      </c>
      <c r="Q35" s="202">
        <f>N35-'Thermo data'!$L32*N$34-'Thermo data'!$O32*N$10</f>
        <v>25.734837499999998</v>
      </c>
      <c r="R35" s="202">
        <f>O35-'Thermo data'!$L32*O$34-'Thermo data'!$O32*O$10</f>
        <v>7.7049374999999998</v>
      </c>
      <c r="S35" s="27"/>
      <c r="T35" s="218">
        <f t="shared" si="7"/>
        <v>6.6604271286618717E-12</v>
      </c>
      <c r="U35" s="218">
        <f t="shared" si="7"/>
        <v>4.5059685931368368E-4</v>
      </c>
      <c r="V35" s="24"/>
      <c r="W35" s="76">
        <f>T35*p_test^'Thermo data'!O32</f>
        <v>6.6604271286618717E-12</v>
      </c>
      <c r="X35" s="65">
        <f>U35*p_test^'Thermo data'!O32</f>
        <v>4.5059685931368368E-4</v>
      </c>
      <c r="Y35" s="57">
        <f>T35*p_low^'Thermo data'!O32*aSiO2^'Thermo data'!L32</f>
        <v>3.3768365542315688E-12</v>
      </c>
      <c r="Z35" s="81">
        <f>U35*p_high^'Thermo data'!O32*aSiO2^'Thermo data'!L32</f>
        <v>2.2845260767203764E-4</v>
      </c>
      <c r="AA35" s="24"/>
      <c r="AB35" s="24"/>
      <c r="AC35" s="57"/>
      <c r="AD35" s="57"/>
      <c r="AE35" s="57"/>
      <c r="AF35" s="57"/>
      <c r="AG35" s="57"/>
      <c r="AH35" s="57"/>
      <c r="AI35" s="57"/>
      <c r="AJ35" s="57"/>
      <c r="AK35" s="57"/>
      <c r="AL35" s="24"/>
    </row>
    <row r="36" spans="1:38" s="23" customFormat="1" x14ac:dyDescent="0.25">
      <c r="A36" s="23" t="str">
        <f>'Thermo data'!A33</f>
        <v>Si2(g)</v>
      </c>
      <c r="B36" s="23">
        <f>'Thermo data'!B33</f>
        <v>25.52</v>
      </c>
      <c r="C36" s="23">
        <f>'Thermo data'!C33/1000</f>
        <v>5.5890000000000002E-3</v>
      </c>
      <c r="D36" s="23">
        <f>'Thermo data'!D33/1000000</f>
        <v>-1.3680000000000001E-6</v>
      </c>
      <c r="E36" s="23">
        <f>'Thermo data'!E33/1000000000</f>
        <v>2.1E-10</v>
      </c>
      <c r="F36" s="23">
        <f>'Thermo data'!F33/1000000000000</f>
        <v>-1.386E-14</v>
      </c>
      <c r="H36" s="23" t="str">
        <f>'Thermo data'!H33</f>
        <v>1000-3000</v>
      </c>
      <c r="I36" s="23">
        <f>'Thermo data'!I33*1000</f>
        <v>67900</v>
      </c>
      <c r="K36" s="202">
        <f t="shared" si="0"/>
        <v>31.46408375</v>
      </c>
      <c r="L36" s="202">
        <f t="shared" si="1"/>
        <v>33.682343749999994</v>
      </c>
      <c r="M36" s="27"/>
      <c r="N36" s="27">
        <f t="shared" si="2"/>
        <v>13.802582916666665</v>
      </c>
      <c r="O36" s="27">
        <f t="shared" si="3"/>
        <v>-6.5223437499999939</v>
      </c>
      <c r="Q36" s="202">
        <f>N36-'Thermo data'!$L33*N$34-'Thermo data'!$O33*N$10</f>
        <v>126.49674041666667</v>
      </c>
      <c r="R36" s="202">
        <f>O36-'Thermo data'!$L33*O$34-'Thermo data'!$O33*O$10</f>
        <v>51.825093750000022</v>
      </c>
      <c r="S36" s="27"/>
      <c r="T36" s="218">
        <f t="shared" si="7"/>
        <v>1.1565479903291979E-55</v>
      </c>
      <c r="U36" s="218">
        <f t="shared" si="7"/>
        <v>3.1091935654833717E-23</v>
      </c>
      <c r="V36" s="24"/>
      <c r="W36" s="76">
        <f>T36*p_test^'Thermo data'!O33</f>
        <v>1.1565479903291977E-35</v>
      </c>
      <c r="X36" s="65">
        <f>U36*p_test^'Thermo data'!O33</f>
        <v>3.1091935654833712E-3</v>
      </c>
      <c r="Y36" s="57">
        <f>T36*p_low^'Thermo data'!O33*aSiO2^'Thermo data'!L33</f>
        <v>7.5402583901809995E-38</v>
      </c>
      <c r="Z36" s="81">
        <f>U36*p_high^'Thermo data'!O33*aSiO2^'Thermo data'!L33</f>
        <v>7.3092134127219209E-20</v>
      </c>
      <c r="AA36" s="24"/>
      <c r="AB36" s="24"/>
      <c r="AC36" s="57"/>
      <c r="AD36" s="57"/>
      <c r="AE36" s="57"/>
      <c r="AF36" s="57"/>
      <c r="AG36" s="57"/>
      <c r="AH36" s="57"/>
      <c r="AI36" s="57"/>
      <c r="AJ36" s="57"/>
      <c r="AK36" s="57"/>
      <c r="AL36" s="24"/>
    </row>
    <row r="37" spans="1:38" s="23" customFormat="1" x14ac:dyDescent="0.25">
      <c r="A37" s="23" t="str">
        <f>'Thermo data'!A34</f>
        <v>Si202(g)</v>
      </c>
      <c r="B37" s="23">
        <f>'Thermo data'!B34</f>
        <v>33.340000000000003</v>
      </c>
      <c r="C37" s="23">
        <f>'Thermo data'!C34/1000</f>
        <v>1.0626E-2</v>
      </c>
      <c r="D37" s="23">
        <f>'Thermo data'!D34/1000000</f>
        <v>-2.8599999999999997E-6</v>
      </c>
      <c r="E37" s="23">
        <f>'Thermo data'!E34/1000000000</f>
        <v>5.09E-10</v>
      </c>
      <c r="F37" s="23">
        <f>'Thermo data'!F34/1000000000000</f>
        <v>-4E-14</v>
      </c>
      <c r="H37" s="23" t="str">
        <f>'Thermo data'!H34</f>
        <v>1000-3000</v>
      </c>
      <c r="I37" s="23">
        <f>'Thermo data'!I34*1000</f>
        <v>-43220</v>
      </c>
      <c r="K37" s="202">
        <f t="shared" si="0"/>
        <v>44.359375</v>
      </c>
      <c r="L37" s="202">
        <f t="shared" si="1"/>
        <v>48.420625000000001</v>
      </c>
      <c r="M37" s="27"/>
      <c r="N37" s="27">
        <f t="shared" si="2"/>
        <v>-73.172708333333333</v>
      </c>
      <c r="O37" s="27">
        <f t="shared" si="3"/>
        <v>-65.708624999999998</v>
      </c>
      <c r="Q37" s="202">
        <f>N37-'Thermo data'!$L34*N$34-'Thermo data'!$O34*N$10</f>
        <v>67.292695416666675</v>
      </c>
      <c r="R37" s="202">
        <f>O37-'Thermo data'!$L34*O$34-'Thermo data'!$O34*O$10</f>
        <v>22.211968750000011</v>
      </c>
      <c r="S37" s="27"/>
      <c r="T37" s="218">
        <f t="shared" si="7"/>
        <v>5.9587300121085743E-30</v>
      </c>
      <c r="U37" s="218">
        <f t="shared" si="7"/>
        <v>2.2566517313838223E-10</v>
      </c>
      <c r="V37" s="24"/>
      <c r="W37" s="76">
        <f>T37*p_test^'Thermo data'!O34</f>
        <v>5.9587300121085739E-20</v>
      </c>
      <c r="X37" s="65">
        <f>U37*p_test^'Thermo data'!O34</f>
        <v>2.2566517313838221</v>
      </c>
      <c r="Y37" s="57">
        <f>T37*p_low^'Thermo data'!O34*aSiO2^'Thermo data'!L34</f>
        <v>2.4393434558037224E-21</v>
      </c>
      <c r="Z37" s="81">
        <f>U37*p_high^'Thermo data'!O34*aSiO2^'Thermo data'!L34</f>
        <v>5.5473292097325879E-9</v>
      </c>
      <c r="AA37" s="24"/>
      <c r="AB37" s="24"/>
      <c r="AC37" s="57"/>
      <c r="AD37" s="57"/>
      <c r="AE37" s="57"/>
      <c r="AF37" s="57"/>
      <c r="AG37" s="57"/>
      <c r="AH37" s="57"/>
      <c r="AI37" s="57"/>
      <c r="AJ37" s="57"/>
      <c r="AK37" s="57"/>
      <c r="AL37" s="24"/>
    </row>
    <row r="38" spans="1:38" s="23" customFormat="1" x14ac:dyDescent="0.25">
      <c r="A38" s="23" t="str">
        <f>'Thermo data'!A35</f>
        <v>Si3(g)</v>
      </c>
      <c r="B38" s="23">
        <f>'Thermo data'!B35</f>
        <v>29.042000000000002</v>
      </c>
      <c r="C38" s="23">
        <f>'Thermo data'!C35/1000</f>
        <v>9.1400000000000006E-3</v>
      </c>
      <c r="D38" s="23">
        <f>'Thermo data'!D35/1000000</f>
        <v>-2.7879999999999998E-6</v>
      </c>
      <c r="E38" s="23">
        <f>'Thermo data'!E35/1000000000</f>
        <v>5.8320000000000001E-10</v>
      </c>
      <c r="F38" s="23">
        <f>'Thermo data'!F35/1000000000000</f>
        <v>-5.2760000000000001E-14</v>
      </c>
      <c r="H38" s="23" t="str">
        <f>'Thermo data'!H35</f>
        <v>1000-3000</v>
      </c>
      <c r="I38" s="23">
        <f>'Thermo data'!I35*1000</f>
        <v>74000</v>
      </c>
      <c r="K38" s="202">
        <f t="shared" si="0"/>
        <v>38.1802025</v>
      </c>
      <c r="L38" s="202">
        <f t="shared" si="1"/>
        <v>41.518562500000009</v>
      </c>
      <c r="M38" s="27"/>
      <c r="N38" s="27">
        <f t="shared" si="2"/>
        <v>11.153130833333336</v>
      </c>
      <c r="O38" s="27">
        <f t="shared" si="3"/>
        <v>-11.918562500000007</v>
      </c>
      <c r="Q38" s="202">
        <f>N38-'Thermo data'!$L35*N$34-'Thermo data'!$O35*N$10</f>
        <v>180.19436708333333</v>
      </c>
      <c r="R38" s="202">
        <f>O38-'Thermo data'!$L35*O$34-'Thermo data'!$O35*O$10</f>
        <v>75.602593750000025</v>
      </c>
      <c r="S38" s="27"/>
      <c r="T38" s="218">
        <f>EXP(-Q38)</f>
        <v>5.5281612913214216E-79</v>
      </c>
      <c r="U38" s="218">
        <f>EXP(-R38)</f>
        <v>1.4662590875787073E-33</v>
      </c>
      <c r="V38" s="24"/>
      <c r="W38" s="76">
        <f>T38*p_test^'Thermo data'!O35</f>
        <v>5.5281612913214208E-49</v>
      </c>
      <c r="X38" s="65">
        <f>U38*p_test^'Thermo data'!O35</f>
        <v>1.4662590875787072E-3</v>
      </c>
      <c r="Y38" s="57">
        <f>T38*p_low^'Thermo data'!O35*aSiO2^'Thermo data'!L35</f>
        <v>2.9101445477836433E-52</v>
      </c>
      <c r="Z38" s="81">
        <f>U38*p_high^'Thermo data'!O35*aSiO2^'Thermo data'!L35</f>
        <v>1.6712639301233221E-28</v>
      </c>
      <c r="AA38" s="24"/>
      <c r="AB38" s="24"/>
      <c r="AC38" s="57"/>
      <c r="AD38" s="57"/>
      <c r="AE38" s="57"/>
      <c r="AF38" s="57"/>
      <c r="AG38" s="57"/>
      <c r="AH38" s="57"/>
      <c r="AI38" s="57"/>
      <c r="AJ38" s="57"/>
      <c r="AK38" s="57"/>
      <c r="AL38" s="24"/>
    </row>
    <row r="39" spans="1:38" s="35" customFormat="1" hidden="1" x14ac:dyDescent="0.25">
      <c r="A39" s="35" t="str">
        <f>'Thermo data'!A36</f>
        <v>O</v>
      </c>
      <c r="B39" s="35">
        <f>'Thermo data'!B36</f>
        <v>18.21</v>
      </c>
      <c r="C39" s="35">
        <f>'Thermo data'!C36/1000</f>
        <v>3.2959999999999999E-3</v>
      </c>
      <c r="D39" s="35">
        <f>'Thermo data'!D36/1000000</f>
        <v>-1.0262E-6</v>
      </c>
      <c r="E39" s="35">
        <f>'Thermo data'!E36/1000000000</f>
        <v>2.0269999999999998E-10</v>
      </c>
      <c r="F39" s="35">
        <f>'Thermo data'!F36/1000000000000</f>
        <v>-1.7239999999999998E-14</v>
      </c>
      <c r="H39" s="35" t="str">
        <f>'Thermo data'!H36</f>
        <v>1000-3000</v>
      </c>
      <c r="I39" s="35">
        <f>'Thermo data'!I36*1000</f>
        <v>29970</v>
      </c>
      <c r="K39" s="204">
        <f t="shared" si="0"/>
        <v>21.441885000000003</v>
      </c>
      <c r="L39" s="204">
        <f t="shared" si="1"/>
        <v>22.530000000000005</v>
      </c>
      <c r="M39" s="36"/>
      <c r="N39" s="36">
        <f t="shared" si="2"/>
        <v>-1.4618850000000023</v>
      </c>
      <c r="O39" s="36">
        <f t="shared" si="3"/>
        <v>-10.542000000000005</v>
      </c>
      <c r="Q39" s="204">
        <f>N39-'Thermo data'!$L36*N$44-'Thermo data'!$O36*N$10</f>
        <v>12.423738124999996</v>
      </c>
      <c r="R39" s="204">
        <f>O39-'Thermo data'!$L36*O$44-'Thermo data'!$O36*O$10</f>
        <v>4.2445781249999932</v>
      </c>
      <c r="S39" s="36"/>
      <c r="T39" s="220">
        <f t="shared" ref="T39:U44" si="8">EXP(-Q39)</f>
        <v>4.0219724156653657E-6</v>
      </c>
      <c r="U39" s="220">
        <f t="shared" si="8"/>
        <v>1.4341782842563138E-2</v>
      </c>
      <c r="V39" s="37"/>
      <c r="W39" s="82">
        <f>T39*p_test^'Thermo data'!O36</f>
        <v>4.0219724156653662E-11</v>
      </c>
      <c r="X39" s="66">
        <f>U39*p_test^'Thermo data'!O36</f>
        <v>1.4341782842563139E-7</v>
      </c>
      <c r="Y39" s="58">
        <f>T39*p_test^'Thermo data'!O36*aNa2O^'Thermo data'!L36</f>
        <v>4.0219724156653662E-11</v>
      </c>
      <c r="Z39" s="83">
        <f>U39*p_test^'Thermo data'!O36*aNa2O^'Thermo data'!L36</f>
        <v>1.4341782842563139E-7</v>
      </c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8" s="35" customFormat="1" hidden="1" x14ac:dyDescent="0.25">
      <c r="A40" s="35" t="str">
        <f>'Thermo data'!A37</f>
        <v>O2</v>
      </c>
      <c r="B40" s="35">
        <f>'Thermo data'!B37</f>
        <v>22.986999999999998</v>
      </c>
      <c r="C40" s="35">
        <f>'Thermo data'!C37/1000</f>
        <v>4.5769000000000001E-3</v>
      </c>
      <c r="D40" s="35">
        <f>'Thermo data'!D37/1000000</f>
        <v>-1.2100999999999999E-6</v>
      </c>
      <c r="E40" s="35">
        <f>'Thermo data'!E37/1000000000</f>
        <v>2.154E-10</v>
      </c>
      <c r="F40" s="35">
        <f>'Thermo data'!F37/1000000000000</f>
        <v>-1.686E-14</v>
      </c>
      <c r="H40" s="35" t="str">
        <f>'Thermo data'!H37</f>
        <v>1000-3000</v>
      </c>
      <c r="I40" s="35">
        <f>'Thermo data'!I37*1000</f>
        <v>0</v>
      </c>
      <c r="K40" s="204">
        <f t="shared" si="0"/>
        <v>27.771246249999997</v>
      </c>
      <c r="L40" s="204">
        <f t="shared" si="1"/>
        <v>29.573156249999997</v>
      </c>
      <c r="M40" s="36"/>
      <c r="N40" s="36">
        <f t="shared" si="2"/>
        <v>-27.771246249999997</v>
      </c>
      <c r="O40" s="36">
        <f t="shared" si="3"/>
        <v>-29.573156249999997</v>
      </c>
      <c r="Q40" s="204">
        <f>N40-'Thermo data'!$L37*N$44-'Thermo data'!$O37*N$10</f>
        <v>0</v>
      </c>
      <c r="R40" s="204">
        <f>O40-'Thermo data'!$L37*O$44-'Thermo data'!$O37*O$10</f>
        <v>0</v>
      </c>
      <c r="S40" s="36"/>
      <c r="T40" s="220">
        <f t="shared" si="8"/>
        <v>1</v>
      </c>
      <c r="U40" s="220">
        <f t="shared" si="8"/>
        <v>1</v>
      </c>
      <c r="V40" s="37"/>
      <c r="W40" s="82">
        <f>T40*p_test^'Thermo data'!O37</f>
        <v>1E-10</v>
      </c>
      <c r="X40" s="66">
        <f>U40*p_test^'Thermo data'!O37</f>
        <v>1E-10</v>
      </c>
      <c r="Y40" s="58">
        <f>T40*p_test^'Thermo data'!O37*aNa2O^'Thermo data'!L37</f>
        <v>1E-10</v>
      </c>
      <c r="Z40" s="83">
        <f>U40*p_test^'Thermo data'!O37*aNa2O^'Thermo data'!L37</f>
        <v>1E-10</v>
      </c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8" s="35" customFormat="1" x14ac:dyDescent="0.25">
      <c r="A41" s="35" t="str">
        <f>'Thermo data'!A38</f>
        <v>Na(g)</v>
      </c>
      <c r="B41" s="35">
        <f>'Thermo data'!B38</f>
        <v>17.440000000000001</v>
      </c>
      <c r="C41" s="35">
        <f>'Thermo data'!C38/1000</f>
        <v>2.9350000000000001E-3</v>
      </c>
      <c r="D41" s="35">
        <f>'Thermo data'!D38/1000000</f>
        <v>-7.0799999999999993E-7</v>
      </c>
      <c r="E41" s="35">
        <f>'Thermo data'!E38/1000000000</f>
        <v>7.8999999999999999E-11</v>
      </c>
      <c r="F41" s="35">
        <f>'Thermo data'!F38/1000000000000</f>
        <v>0</v>
      </c>
      <c r="H41" s="35" t="str">
        <f>'Thermo data'!H38</f>
        <v>800-3000</v>
      </c>
      <c r="I41" s="35">
        <f>'Thermo data'!I38*1000</f>
        <v>12880</v>
      </c>
      <c r="K41" s="204">
        <f t="shared" si="0"/>
        <v>20.516125000000002</v>
      </c>
      <c r="L41" s="204">
        <f t="shared" si="1"/>
        <v>21.586875000000003</v>
      </c>
      <c r="M41" s="36"/>
      <c r="N41" s="36">
        <f t="shared" si="2"/>
        <v>-11.929458333333336</v>
      </c>
      <c r="O41" s="36">
        <f t="shared" si="3"/>
        <v>-16.434875000000002</v>
      </c>
      <c r="Q41" s="204">
        <f>N41-'Thermo data'!$L38*N$44-'Thermo data'!$O38*N$10</f>
        <v>9.856000937499994</v>
      </c>
      <c r="R41" s="204">
        <f>O41-'Thermo data'!$L38*O$44-'Thermo data'!$O38*O$10</f>
        <v>1.1386484374999952</v>
      </c>
      <c r="S41" s="36"/>
      <c r="T41" s="220">
        <f t="shared" si="8"/>
        <v>5.2431608256185545E-5</v>
      </c>
      <c r="U41" s="220">
        <f t="shared" si="8"/>
        <v>0.32025156945471744</v>
      </c>
      <c r="V41" s="37"/>
      <c r="W41" s="82">
        <f>T41*p_test^'Thermo data'!O38</f>
        <v>1.6580330347523552E-2</v>
      </c>
      <c r="X41" s="66">
        <f>U41*p_test^'Thermo data'!O38</f>
        <v>101.27243837205152</v>
      </c>
      <c r="Y41" s="58">
        <f>T41*p_low^'Thermo data'!O38*aNa2O^'Thermo data'!L38</f>
        <v>5.7369311520801236E-7</v>
      </c>
      <c r="Z41" s="83">
        <f>U41*p_high^'Thermo data'!O38*aNa2O^'Thermo data'!L38</f>
        <v>5.4853300570697981E-5</v>
      </c>
    </row>
    <row r="42" spans="1:38" s="35" customFormat="1" x14ac:dyDescent="0.25">
      <c r="A42" s="35" t="str">
        <f>'Thermo data'!A39</f>
        <v>NaO(g)</v>
      </c>
      <c r="B42" s="35">
        <f>'Thermo data'!B39</f>
        <v>25.75</v>
      </c>
      <c r="C42" s="35">
        <f>'Thermo data'!C39/1000</f>
        <v>4.9320000000000006E-3</v>
      </c>
      <c r="D42" s="35">
        <f>'Thermo data'!D39/1000000</f>
        <v>-1.06E-6</v>
      </c>
      <c r="E42" s="35">
        <f>'Thermo data'!E39/1000000000</f>
        <v>1.06E-10</v>
      </c>
      <c r="F42" s="35">
        <f>'Thermo data'!F39/1000000000000</f>
        <v>0</v>
      </c>
      <c r="H42" s="35" t="str">
        <f>'Thermo data'!H39</f>
        <v>1200-3000</v>
      </c>
      <c r="I42" s="35">
        <f>'Thermo data'!I39*1000</f>
        <v>12580</v>
      </c>
      <c r="K42" s="204">
        <f t="shared" si="0"/>
        <v>31.120750000000001</v>
      </c>
      <c r="L42" s="204">
        <f t="shared" si="1"/>
        <v>33.111249999999998</v>
      </c>
      <c r="M42" s="36"/>
      <c r="N42" s="36">
        <f t="shared" si="2"/>
        <v>-22.734083333333334</v>
      </c>
      <c r="O42" s="36">
        <f t="shared" si="3"/>
        <v>-28.079249999999998</v>
      </c>
      <c r="Q42" s="204">
        <f>N42-'Thermo data'!$L39*N$44-'Thermo data'!$O39*N$10</f>
        <v>12.936999062499995</v>
      </c>
      <c r="R42" s="204">
        <f>O42-'Thermo data'!$L39*O$44-'Thermo data'!$O39*O$10</f>
        <v>4.280851562499997</v>
      </c>
      <c r="S42" s="36"/>
      <c r="T42" s="220">
        <f t="shared" si="8"/>
        <v>2.4073137407941905E-6</v>
      </c>
      <c r="U42" s="220">
        <f t="shared" si="8"/>
        <v>1.3830879212185511E-2</v>
      </c>
      <c r="V42" s="37"/>
      <c r="W42" s="82">
        <f>T42*p_test^'Thermo data'!O39</f>
        <v>7.6125944635298399E-9</v>
      </c>
      <c r="X42" s="66">
        <f>U42*p_test^'Thermo data'!O39</f>
        <v>4.373708035318147E-5</v>
      </c>
      <c r="Y42" s="58">
        <f>T42*p_low^'Thermo data'!O39*aNa2O^'Thermo data'!L39</f>
        <v>6.6003579785660346E-13</v>
      </c>
      <c r="Z42" s="83">
        <f>U42*p_high^'Thermo data'!O39*aNa2O^'Thermo data'!L39</f>
        <v>2.4224763479449508E-7</v>
      </c>
    </row>
    <row r="43" spans="1:38" s="35" customFormat="1" x14ac:dyDescent="0.25">
      <c r="A43" s="35" t="str">
        <f>'Thermo data'!A40</f>
        <v>Na2(g)</v>
      </c>
      <c r="B43" s="35">
        <f>'Thermo data'!B40</f>
        <v>25.93</v>
      </c>
      <c r="C43" s="35">
        <f>'Thermo data'!C40/1000</f>
        <v>5.1110000000000001E-3</v>
      </c>
      <c r="D43" s="35">
        <f>'Thermo data'!D40/1000000</f>
        <v>-1.1009999999999999E-6</v>
      </c>
      <c r="E43" s="35">
        <f>'Thermo data'!E40/1000000000</f>
        <v>1.0299999999999999E-10</v>
      </c>
      <c r="F43" s="35">
        <f>'Thermo data'!F40/1000000000000</f>
        <v>0</v>
      </c>
      <c r="H43" s="35" t="str">
        <f>'Thermo data'!H40</f>
        <v>1400-3000</v>
      </c>
      <c r="I43" s="35">
        <f>'Thermo data'!I40*1000</f>
        <v>17170</v>
      </c>
      <c r="K43" s="204">
        <f t="shared" si="0"/>
        <v>31.466875000000002</v>
      </c>
      <c r="L43" s="204">
        <f t="shared" si="1"/>
        <v>33.435624999999995</v>
      </c>
      <c r="M43" s="36"/>
      <c r="N43" s="36">
        <f t="shared" si="2"/>
        <v>-20.020208333333336</v>
      </c>
      <c r="O43" s="36">
        <f t="shared" si="3"/>
        <v>-26.567624999999992</v>
      </c>
      <c r="Q43" s="204">
        <f>N43-'Thermo data'!$L40*N$44-'Thermo data'!$O40*N$10</f>
        <v>23.550710208333324</v>
      </c>
      <c r="R43" s="204">
        <f>O43-'Thermo data'!$L40*O$44-'Thermo data'!$O40*O$10</f>
        <v>8.5794218750000013</v>
      </c>
      <c r="S43" s="36"/>
      <c r="T43" s="220">
        <f t="shared" si="8"/>
        <v>5.9163861484582984E-11</v>
      </c>
      <c r="U43" s="220">
        <f t="shared" si="8"/>
        <v>1.8793359511569779E-4</v>
      </c>
      <c r="V43" s="37"/>
      <c r="W43" s="82">
        <f>T43*p_test^'Thermo data'!O40</f>
        <v>5.9163861484582973E-6</v>
      </c>
      <c r="X43" s="66">
        <f>U43*p_test^'Thermo data'!O40</f>
        <v>18.793359511569776</v>
      </c>
      <c r="Y43" s="58">
        <f>T43*p_low^'Thermo data'!O40*aNa2O^'Thermo data'!L40</f>
        <v>7.0831987703133472E-15</v>
      </c>
      <c r="Z43" s="83">
        <f>U43*p_high^'Thermo data'!O40*aNa2O^'Thermo data'!L40</f>
        <v>5.5135004883978954E-12</v>
      </c>
    </row>
    <row r="44" spans="1:38" s="131" customFormat="1" x14ac:dyDescent="0.25">
      <c r="A44" s="143" t="str">
        <f>'Thermo data'!A41</f>
        <v>Na2O(l)</v>
      </c>
      <c r="B44" s="143">
        <f>'Thermo data'!B41</f>
        <v>4.82</v>
      </c>
      <c r="C44" s="143">
        <f>'Thermo data'!C41/1000</f>
        <v>1.9292E-2</v>
      </c>
      <c r="D44" s="143">
        <f>'Thermo data'!D41/1000000</f>
        <v>-5.2670000000000006E-6</v>
      </c>
      <c r="E44" s="143">
        <f>'Thermo data'!E41/1000000000</f>
        <v>6.2300000000000002E-10</v>
      </c>
      <c r="F44" s="143">
        <f>'Thermo data'!F41/1000000000000</f>
        <v>0</v>
      </c>
      <c r="H44" s="131" t="str">
        <f>'Thermo data'!H41</f>
        <v>825-3000</v>
      </c>
      <c r="I44" s="131">
        <f>'Thermo data'!I41*1000</f>
        <v>-50170</v>
      </c>
      <c r="K44" s="205">
        <f t="shared" si="0"/>
        <v>24.009874999999994</v>
      </c>
      <c r="L44" s="205">
        <f t="shared" si="1"/>
        <v>29.865624999999994</v>
      </c>
      <c r="M44" s="132"/>
      <c r="N44" s="132">
        <f t="shared" si="2"/>
        <v>-57.456541666666659</v>
      </c>
      <c r="O44" s="132">
        <f t="shared" si="3"/>
        <v>-49.933624999999992</v>
      </c>
      <c r="Q44" s="205">
        <f>N44-'Thermo data'!$L41*N$44-'Thermo data'!$O41*N$10</f>
        <v>0</v>
      </c>
      <c r="R44" s="205">
        <f>O44-'Thermo data'!$L41*O$44-'Thermo data'!$O41*O$10</f>
        <v>0</v>
      </c>
      <c r="S44" s="132"/>
      <c r="T44" s="221">
        <f t="shared" si="8"/>
        <v>1</v>
      </c>
      <c r="U44" s="221">
        <f t="shared" si="8"/>
        <v>1</v>
      </c>
      <c r="V44" s="133"/>
      <c r="W44" s="168">
        <f>T44*p_test^'Thermo data'!O41</f>
        <v>1</v>
      </c>
      <c r="X44" s="158">
        <f>U44*p_test^'Thermo data'!O41</f>
        <v>1</v>
      </c>
      <c r="Y44" s="150">
        <f>T44*p_low^'Thermo data'!O41*aNa2O^'Thermo data'!L41</f>
        <v>3E-9</v>
      </c>
      <c r="Z44" s="158">
        <f>U44*p_high^'Thermo data'!O41*aNa2O^'Thermo data'!L41</f>
        <v>3E-9</v>
      </c>
    </row>
    <row r="45" spans="1:38" s="35" customFormat="1" x14ac:dyDescent="0.25">
      <c r="A45" s="35" t="str">
        <f>'Thermo data'!A42</f>
        <v>Na2O(g)</v>
      </c>
      <c r="B45" s="35">
        <f>'Thermo data'!B42</f>
        <v>28.65</v>
      </c>
      <c r="C45" s="35">
        <f>'Thermo data'!C42/1000</f>
        <v>7.8009999999999998E-3</v>
      </c>
      <c r="D45" s="35">
        <f>'Thermo data'!D42/1000000</f>
        <v>-1.6730000000000001E-6</v>
      </c>
      <c r="E45" s="35">
        <f>'Thermo data'!E42/1000000000</f>
        <v>1.6800000000000001E-10</v>
      </c>
      <c r="F45" s="35">
        <f>'Thermo data'!F42/1000000000000</f>
        <v>0</v>
      </c>
      <c r="H45" s="35" t="str">
        <f>'Thermo data'!H42</f>
        <v>1200-3000</v>
      </c>
      <c r="I45" s="35">
        <f>'Thermo data'!I42*1000</f>
        <v>-3820</v>
      </c>
      <c r="K45" s="204">
        <f t="shared" si="0"/>
        <v>37.154250000000005</v>
      </c>
      <c r="L45" s="204">
        <f t="shared" si="1"/>
        <v>40.321249999999992</v>
      </c>
      <c r="M45" s="36"/>
      <c r="N45" s="36">
        <f t="shared" si="2"/>
        <v>-39.700916666666672</v>
      </c>
      <c r="O45" s="36">
        <f t="shared" si="3"/>
        <v>-41.849249999999991</v>
      </c>
      <c r="Q45" s="204">
        <f>N45-'Thermo data'!$L42*N$44-'Thermo data'!$O42*N$10</f>
        <v>17.755624999999988</v>
      </c>
      <c r="R45" s="204">
        <f>O45-'Thermo data'!$L42*O$44-'Thermo data'!$O42*O$10</f>
        <v>8.0843750000000014</v>
      </c>
      <c r="S45" s="36"/>
      <c r="T45" s="220">
        <f>EXP(-Q45)</f>
        <v>1.9445989179450508E-8</v>
      </c>
      <c r="U45" s="220">
        <f>EXP(-R45)</f>
        <v>3.0831918396998599E-4</v>
      </c>
      <c r="V45" s="37"/>
      <c r="W45" s="82">
        <f>T45*p_test^'Thermo data'!O42</f>
        <v>1.9445989179450508E-8</v>
      </c>
      <c r="X45" s="66">
        <f>U45*p_test^'Thermo data'!O42</f>
        <v>3.0831918396998599E-4</v>
      </c>
      <c r="Y45" s="58">
        <f>T45*p_low^'Thermo data'!O42*aNa2O^'Thermo data'!L42</f>
        <v>5.8337967538351519E-17</v>
      </c>
      <c r="Z45" s="83">
        <f>U45*p_high^'Thermo data'!O42*aNa2O^'Thermo data'!L42</f>
        <v>9.2495755190995794E-13</v>
      </c>
    </row>
    <row r="46" spans="1:38" s="38" customFormat="1" hidden="1" x14ac:dyDescent="0.25">
      <c r="A46" s="38" t="str">
        <f>'Thermo data'!A43</f>
        <v>O</v>
      </c>
      <c r="B46" s="38">
        <f>'Thermo data'!B43</f>
        <v>18.21</v>
      </c>
      <c r="C46" s="38">
        <f>'Thermo data'!C43/1000</f>
        <v>3.2959999999999999E-3</v>
      </c>
      <c r="D46" s="38">
        <f>'Thermo data'!D43/1000000</f>
        <v>-1.0262E-6</v>
      </c>
      <c r="E46" s="38">
        <f>'Thermo data'!E43/1000000000</f>
        <v>2.0269999999999998E-10</v>
      </c>
      <c r="F46" s="38">
        <f>'Thermo data'!F43/1000000000000</f>
        <v>-1.7239999999999998E-14</v>
      </c>
      <c r="H46" s="38" t="str">
        <f>'Thermo data'!H43</f>
        <v>1000-3000</v>
      </c>
      <c r="I46" s="38">
        <f>'Thermo data'!I43*1000</f>
        <v>29970</v>
      </c>
      <c r="K46" s="206">
        <f t="shared" si="0"/>
        <v>21.441885000000003</v>
      </c>
      <c r="L46" s="206">
        <f t="shared" si="1"/>
        <v>22.530000000000005</v>
      </c>
      <c r="M46" s="39"/>
      <c r="N46" s="39">
        <f t="shared" si="2"/>
        <v>-1.4618850000000023</v>
      </c>
      <c r="O46" s="39">
        <f t="shared" si="3"/>
        <v>-10.542000000000005</v>
      </c>
      <c r="Q46" s="206">
        <f>N46-'Thermo data'!$L43*N$52-'Thermo data'!$O43*N$10</f>
        <v>12.423738124999996</v>
      </c>
      <c r="R46" s="206">
        <f>O46-'Thermo data'!$L43*O$52-'Thermo data'!$O43*O$10</f>
        <v>4.2445781249999932</v>
      </c>
      <c r="S46" s="39"/>
      <c r="T46" s="222">
        <f t="shared" ref="T46:U53" si="9">EXP(-Q46)</f>
        <v>4.0219724156653657E-6</v>
      </c>
      <c r="U46" s="222">
        <f>EXP(-R46)</f>
        <v>1.4341782842563138E-2</v>
      </c>
      <c r="V46" s="40"/>
      <c r="W46" s="84">
        <f>T46*p_test^'Thermo data'!O43</f>
        <v>4.0219724156653662E-11</v>
      </c>
      <c r="X46" s="67">
        <f>U46*p_test^'Thermo data'!O43</f>
        <v>1.4341782842563139E-7</v>
      </c>
      <c r="Y46" s="59">
        <f>T46*p_test^'Thermo data'!O43*aK2O^'Thermo data'!L43</f>
        <v>4.0219724156653662E-11</v>
      </c>
      <c r="Z46" s="68">
        <f>U46*p_test^'Thermo data'!O43*aK2O^'Thermo data'!L43</f>
        <v>1.4341782842563139E-7</v>
      </c>
    </row>
    <row r="47" spans="1:38" s="38" customFormat="1" hidden="1" x14ac:dyDescent="0.25">
      <c r="A47" s="38" t="str">
        <f>'Thermo data'!A44</f>
        <v>O2</v>
      </c>
      <c r="B47" s="38">
        <f>'Thermo data'!B44</f>
        <v>22.986999999999998</v>
      </c>
      <c r="C47" s="38">
        <f>'Thermo data'!C44/1000</f>
        <v>4.5769000000000001E-3</v>
      </c>
      <c r="D47" s="38">
        <f>'Thermo data'!D44/1000000</f>
        <v>-1.2100999999999999E-6</v>
      </c>
      <c r="E47" s="38">
        <f>'Thermo data'!E44/1000000000</f>
        <v>2.154E-10</v>
      </c>
      <c r="F47" s="38">
        <f>'Thermo data'!F44/1000000000000</f>
        <v>-1.686E-14</v>
      </c>
      <c r="H47" s="38" t="str">
        <f>'Thermo data'!H44</f>
        <v>1000-3000</v>
      </c>
      <c r="I47" s="38">
        <f>'Thermo data'!I44*1000</f>
        <v>0</v>
      </c>
      <c r="K47" s="206">
        <f t="shared" si="0"/>
        <v>27.771246249999997</v>
      </c>
      <c r="L47" s="206">
        <f t="shared" si="1"/>
        <v>29.573156249999997</v>
      </c>
      <c r="M47" s="39"/>
      <c r="N47" s="39">
        <f t="shared" si="2"/>
        <v>-27.771246249999997</v>
      </c>
      <c r="O47" s="39">
        <f t="shared" si="3"/>
        <v>-29.573156249999997</v>
      </c>
      <c r="Q47" s="206">
        <f>N47-'Thermo data'!$L44*N$52-'Thermo data'!$O44*N$10</f>
        <v>0</v>
      </c>
      <c r="R47" s="206">
        <f>O47-'Thermo data'!$L44*O$52-'Thermo data'!$O44*O$10</f>
        <v>0</v>
      </c>
      <c r="S47" s="39"/>
      <c r="T47" s="222">
        <f t="shared" si="9"/>
        <v>1</v>
      </c>
      <c r="U47" s="222">
        <f t="shared" si="9"/>
        <v>1</v>
      </c>
      <c r="V47" s="40"/>
      <c r="W47" s="84">
        <f>T47*p_test^'Thermo data'!O44</f>
        <v>1E-10</v>
      </c>
      <c r="X47" s="67">
        <f>U47*p_test^'Thermo data'!O44</f>
        <v>1E-10</v>
      </c>
      <c r="Y47" s="59">
        <f>T47*p_test^'Thermo data'!O44*aK2O^'Thermo data'!L44</f>
        <v>1E-10</v>
      </c>
      <c r="Z47" s="68">
        <f>U47*p_test^'Thermo data'!O44*aK2O^'Thermo data'!L44</f>
        <v>1E-10</v>
      </c>
    </row>
    <row r="48" spans="1:38" s="38" customFormat="1" x14ac:dyDescent="0.25">
      <c r="A48" s="38" t="str">
        <f>'Thermo data'!A45</f>
        <v>K(g)</v>
      </c>
      <c r="B48" s="38">
        <f>'Thermo data'!B45</f>
        <v>18.43</v>
      </c>
      <c r="C48" s="38">
        <f>'Thermo data'!C45/1000</f>
        <v>2.624E-3</v>
      </c>
      <c r="D48" s="38">
        <f>'Thermo data'!D45/1000000</f>
        <v>-5.5300000000000004E-7</v>
      </c>
      <c r="E48" s="38">
        <f>'Thermo data'!E45/1000000000</f>
        <v>5.4000000000000001E-11</v>
      </c>
      <c r="F48" s="38">
        <f>'Thermo data'!F45/1000000000000</f>
        <v>0</v>
      </c>
      <c r="H48" s="38" t="str">
        <f>'Thermo data'!H45</f>
        <v>1400-3000</v>
      </c>
      <c r="I48" s="38">
        <f>'Thermo data'!I45*1000</f>
        <v>10730</v>
      </c>
      <c r="K48" s="206">
        <f t="shared" si="0"/>
        <v>21.303999999999998</v>
      </c>
      <c r="L48" s="206">
        <f t="shared" si="1"/>
        <v>22.377500000000001</v>
      </c>
      <c r="M48" s="39"/>
      <c r="N48" s="39">
        <f t="shared" si="2"/>
        <v>-14.150666666666666</v>
      </c>
      <c r="O48" s="39">
        <f t="shared" si="3"/>
        <v>-18.085500000000003</v>
      </c>
      <c r="Q48" s="206">
        <f>N48-'Thermo data'!$L45*N$52-'Thermo data'!$O45*N$10</f>
        <v>3.6895009375000054</v>
      </c>
      <c r="R48" s="206">
        <f>O48-'Thermo data'!$L45*O$52-'Thermo data'!$O45*O$10</f>
        <v>-3.2656015625000059</v>
      </c>
      <c r="S48" s="39"/>
      <c r="T48" s="222">
        <f>EXP(-Q48)</f>
        <v>2.498446774236824E-2</v>
      </c>
      <c r="U48" s="222">
        <f>EXP(-R48)</f>
        <v>26.195864701786828</v>
      </c>
      <c r="V48" s="40"/>
      <c r="W48" s="84">
        <f>T48*p_test^'Thermo data'!O45</f>
        <v>7.9007824192888592</v>
      </c>
      <c r="X48" s="67">
        <f>U48*p_test^'Thermo data'!O45</f>
        <v>8283.8597735253898</v>
      </c>
      <c r="Y48" s="59">
        <f>T48*p_low^'Thermo data'!O45*aK2O^'Thermo data'!L45</f>
        <v>8.6448320573263969E-6</v>
      </c>
      <c r="Z48" s="68">
        <f>U48*p_high^'Thermo data'!O45*aK2O^'Thermo data'!L45</f>
        <v>1.4188753260956381E-4</v>
      </c>
    </row>
    <row r="49" spans="1:27" s="38" customFormat="1" x14ac:dyDescent="0.25">
      <c r="A49" s="38" t="str">
        <f>'Thermo data'!A46</f>
        <v>KO(g)</v>
      </c>
      <c r="B49" s="38">
        <f>'Thermo data'!B46</f>
        <v>27.11</v>
      </c>
      <c r="C49" s="38">
        <f>'Thermo data'!C46/1000</f>
        <v>4.8460000000000005E-3</v>
      </c>
      <c r="D49" s="38">
        <f>'Thermo data'!D46/1000000</f>
        <v>-1.0269999999999999E-6</v>
      </c>
      <c r="E49" s="38">
        <f>'Thermo data'!E46/1000000000</f>
        <v>1E-10</v>
      </c>
      <c r="F49" s="38">
        <f>'Thermo data'!F46/1000000000000</f>
        <v>0</v>
      </c>
      <c r="H49" s="38" t="str">
        <f>'Thermo data'!H46</f>
        <v>1000-3000</v>
      </c>
      <c r="I49" s="38">
        <f>'Thermo data'!I46*1000</f>
        <v>7200</v>
      </c>
      <c r="K49" s="206">
        <f t="shared" si="0"/>
        <v>32.405749999999998</v>
      </c>
      <c r="L49" s="206">
        <f t="shared" si="1"/>
        <v>34.368750000000006</v>
      </c>
      <c r="M49" s="39"/>
      <c r="N49" s="39">
        <f t="shared" si="2"/>
        <v>-27.605749999999997</v>
      </c>
      <c r="O49" s="39">
        <f t="shared" si="3"/>
        <v>-31.488750000000007</v>
      </c>
      <c r="Q49" s="206">
        <f>N49-'Thermo data'!$L46*N$52-'Thermo data'!$O46*N$10</f>
        <v>4.1200407291666732</v>
      </c>
      <c r="R49" s="206">
        <f>O49-'Thermo data'!$L46*O$52-'Thermo data'!$O46*O$10</f>
        <v>-1.882273437500011</v>
      </c>
      <c r="S49" s="39"/>
      <c r="T49" s="222">
        <f t="shared" ref="T49:T52" si="10">EXP(-Q49)</f>
        <v>1.6243852829887186E-2</v>
      </c>
      <c r="U49" s="222">
        <f t="shared" si="9"/>
        <v>6.5684207946970732</v>
      </c>
      <c r="V49" s="40"/>
      <c r="W49" s="84">
        <f>T49*p_test^'Thermo data'!O46</f>
        <v>5.1367572919015152E-5</v>
      </c>
      <c r="X49" s="67">
        <f>U49*p_test^'Thermo data'!O46</f>
        <v>2.0771170341655983E-2</v>
      </c>
      <c r="Y49" s="59">
        <f>T49*p_low^'Thermo data'!O46*aK2O^'Thermo data'!L46</f>
        <v>1.4083929485806908E-10</v>
      </c>
      <c r="Z49" s="68">
        <f>U49*p_high^'Thermo data'!O46*aK2O^'Thermo data'!L46</f>
        <v>3.6380672623809442E-6</v>
      </c>
    </row>
    <row r="50" spans="1:27" s="49" customFormat="1" x14ac:dyDescent="0.25">
      <c r="A50" s="49" t="str">
        <f>'Thermo data'!A47</f>
        <v>KO2(g)</v>
      </c>
      <c r="B50" s="49">
        <f>'Thermo data'!B47</f>
        <v>29.4</v>
      </c>
      <c r="C50" s="49">
        <f>'Thermo data'!C47/1000</f>
        <v>6.9370000000000005E-3</v>
      </c>
      <c r="D50" s="49">
        <f>'Thermo data'!D47/1000000</f>
        <v>-1.4530000000000001E-6</v>
      </c>
      <c r="E50" s="49">
        <f>'Thermo data'!E47/1000000000</f>
        <v>1.4399999999999999E-10</v>
      </c>
      <c r="F50" s="49">
        <f>'Thermo data'!F47/1000000000000</f>
        <v>0</v>
      </c>
      <c r="H50" s="49" t="str">
        <f>'Thermo data'!H47</f>
        <v>1200-3000</v>
      </c>
      <c r="I50" s="49">
        <f>'Thermo data'!I47*1000</f>
        <v>600</v>
      </c>
      <c r="K50" s="207">
        <f t="shared" si="0"/>
        <v>37.022249999999993</v>
      </c>
      <c r="L50" s="207">
        <f t="shared" si="1"/>
        <v>39.911249999999995</v>
      </c>
      <c r="M50" s="50"/>
      <c r="N50" s="50">
        <f t="shared" si="2"/>
        <v>-36.622249999999994</v>
      </c>
      <c r="O50" s="50">
        <f t="shared" si="3"/>
        <v>-39.671249999999993</v>
      </c>
      <c r="Q50" s="207">
        <f>N50-'Thermo data'!$L47*N$52-'Thermo data'!$O47*N$10</f>
        <v>-0.94191479166665104</v>
      </c>
      <c r="R50" s="207">
        <f>O50-'Thermo data'!$L47*O$52-'Thermo data'!$O47*O$10</f>
        <v>-10.031453124999999</v>
      </c>
      <c r="S50" s="50"/>
      <c r="T50" s="223">
        <f t="shared" si="10"/>
        <v>2.5648879454053302</v>
      </c>
      <c r="U50" s="223">
        <f t="shared" si="9"/>
        <v>22730.27749302084</v>
      </c>
      <c r="V50" s="51"/>
      <c r="W50" s="85">
        <f>T50*p_test^'Thermo data'!O47</f>
        <v>256488.79454053298</v>
      </c>
      <c r="X50" s="68">
        <f>U50*p_test^'Thermo data'!O47</f>
        <v>2273027749.3020835</v>
      </c>
      <c r="Y50" s="59">
        <f>T50*p_low^'Thermo data'!O47*aK2O^'Thermo data'!L47</f>
        <v>3.0707277525522407E-7</v>
      </c>
      <c r="Z50" s="68">
        <f>U50*p_high^'Thermo data'!O47*aK2O^'Thermo data'!L47</f>
        <v>6.668493516661409E-7</v>
      </c>
    </row>
    <row r="51" spans="1:27" s="38" customFormat="1" x14ac:dyDescent="0.25">
      <c r="A51" s="38" t="str">
        <f>'Thermo data'!A48</f>
        <v>K2(g)</v>
      </c>
      <c r="B51" s="38">
        <f>'Thermo data'!B48</f>
        <v>28.29</v>
      </c>
      <c r="C51" s="38">
        <f>'Thermo data'!C48/1000</f>
        <v>5.2469999999999999E-3</v>
      </c>
      <c r="D51" s="38">
        <f>'Thermo data'!D48/1000000</f>
        <v>-1.2470000000000001E-6</v>
      </c>
      <c r="E51" s="38">
        <f>'Thermo data'!E48/1000000000</f>
        <v>1.27E-10</v>
      </c>
      <c r="F51" s="38">
        <f>'Thermo data'!F48/1000000000000</f>
        <v>0</v>
      </c>
      <c r="H51" s="38" t="str">
        <f>'Thermo data'!H48</f>
        <v>1400-3000</v>
      </c>
      <c r="I51" s="38">
        <f>'Thermo data'!I48*1000</f>
        <v>15300</v>
      </c>
      <c r="K51" s="206">
        <f t="shared" si="0"/>
        <v>33.783374999999992</v>
      </c>
      <c r="L51" s="206">
        <f t="shared" si="1"/>
        <v>35.598124999999996</v>
      </c>
      <c r="M51" s="39"/>
      <c r="N51" s="39">
        <f t="shared" si="2"/>
        <v>-23.583374999999993</v>
      </c>
      <c r="O51" s="39">
        <f t="shared" si="3"/>
        <v>-29.478124999999995</v>
      </c>
      <c r="Q51" s="206">
        <f>N51-'Thermo data'!$L48*N$52-'Thermo data'!$O48*N$10</f>
        <v>12.09696020833335</v>
      </c>
      <c r="R51" s="206">
        <f>O51-'Thermo data'!$L48*O$52-'Thermo data'!$O48*O$10</f>
        <v>0.16167187499999969</v>
      </c>
      <c r="S51" s="39"/>
      <c r="T51" s="222">
        <f t="shared" si="10"/>
        <v>5.5764387155969893E-6</v>
      </c>
      <c r="U51" s="222">
        <f t="shared" si="9"/>
        <v>0.85072030134728882</v>
      </c>
      <c r="V51" s="40"/>
      <c r="W51" s="84">
        <f>T51*p_test^'Thermo data'!O48</f>
        <v>0.55764387155969886</v>
      </c>
      <c r="X51" s="67">
        <f>U51*p_test^'Thermo data'!O48</f>
        <v>85072.030134728877</v>
      </c>
      <c r="Y51" s="59">
        <f>T51*p_low^'Thermo data'!O48*aK2O^'Thermo data'!L48</f>
        <v>6.6762078846623368E-13</v>
      </c>
      <c r="Z51" s="68">
        <f>U51*p_high^'Thermo data'!O48*aK2O^'Thermo data'!L48</f>
        <v>2.495800069210987E-11</v>
      </c>
    </row>
    <row r="52" spans="1:27" s="134" customFormat="1" ht="14.25" customHeight="1" x14ac:dyDescent="0.25">
      <c r="A52" s="142" t="str">
        <f>'Thermo data'!A49</f>
        <v>K2O(l)</v>
      </c>
      <c r="B52" s="142">
        <f>'Thermo data'!B49</f>
        <v>0.8</v>
      </c>
      <c r="C52" s="142">
        <f>'Thermo data'!C49/1000</f>
        <v>1.8889E-2</v>
      </c>
      <c r="D52" s="142">
        <f>'Thermo data'!D49/1000000</f>
        <v>-4.532E-6</v>
      </c>
      <c r="E52" s="142">
        <f>'Thermo data'!E49/1000000000</f>
        <v>4.6700000000000004E-10</v>
      </c>
      <c r="F52" s="134">
        <f>'Thermo data'!F49/1000000000000</f>
        <v>0</v>
      </c>
      <c r="H52" s="134" t="str">
        <f>'Thermo data'!H49</f>
        <v>1190 -3000</v>
      </c>
      <c r="I52" s="134">
        <f>'Thermo data'!I49*1000</f>
        <v>-43580</v>
      </c>
      <c r="K52" s="208">
        <f t="shared" si="0"/>
        <v>20.512625000000003</v>
      </c>
      <c r="L52" s="208">
        <f t="shared" si="1"/>
        <v>26.994374999999994</v>
      </c>
      <c r="M52" s="135"/>
      <c r="N52" s="135">
        <f t="shared" si="2"/>
        <v>-49.565958333333342</v>
      </c>
      <c r="O52" s="135">
        <f t="shared" si="3"/>
        <v>-44.426374999999993</v>
      </c>
      <c r="Q52" s="208">
        <f>N52-'Thermo data'!$L49*N$52-'Thermo data'!$O49*N$10</f>
        <v>0</v>
      </c>
      <c r="R52" s="208">
        <f>O52-'Thermo data'!$L49*O$52-'Thermo data'!$O49*O$10</f>
        <v>0</v>
      </c>
      <c r="S52" s="135"/>
      <c r="T52" s="224">
        <f t="shared" si="10"/>
        <v>1</v>
      </c>
      <c r="U52" s="224">
        <f t="shared" si="9"/>
        <v>1</v>
      </c>
      <c r="V52" s="136"/>
      <c r="W52" s="170">
        <f>T52*p_test^'Thermo data'!O49</f>
        <v>1</v>
      </c>
      <c r="X52" s="161">
        <f>U52*p_test^'Thermo data'!O49</f>
        <v>1</v>
      </c>
      <c r="Y52" s="152">
        <f>T52*p_low^'Thermo data'!O49*aK2O^'Thermo data'!L49</f>
        <v>2.9999999999999997E-12</v>
      </c>
      <c r="Z52" s="161">
        <f>U52*p_high^'Thermo data'!O49*aK2O^'Thermo data'!L49</f>
        <v>2.9999999999999997E-12</v>
      </c>
    </row>
    <row r="53" spans="1:27" s="38" customFormat="1" x14ac:dyDescent="0.25">
      <c r="A53" s="38" t="str">
        <f>'Thermo data'!A50</f>
        <v>K2O(g)</v>
      </c>
      <c r="B53" s="38">
        <f>'Thermo data'!B50</f>
        <v>31.83</v>
      </c>
      <c r="C53" s="38">
        <f>'Thermo data'!C50/1000</f>
        <v>7.1120000000000003E-3</v>
      </c>
      <c r="D53" s="38">
        <f>'Thermo data'!D50/1000000</f>
        <v>-1.4650000000000002E-6</v>
      </c>
      <c r="E53" s="38">
        <f>'Thermo data'!E50/1000000000</f>
        <v>1.4099999999999998E-10</v>
      </c>
      <c r="F53" s="38">
        <f>'Thermo data'!F50/1000000000000</f>
        <v>0</v>
      </c>
      <c r="H53" s="38" t="str">
        <f>'Thermo data'!H50</f>
        <v>1400-3000</v>
      </c>
      <c r="I53" s="38">
        <f>'Thermo data'!I50*1000</f>
        <v>-7050</v>
      </c>
      <c r="K53" s="206">
        <f t="shared" si="0"/>
        <v>39.677624999999999</v>
      </c>
      <c r="L53" s="206">
        <f t="shared" si="1"/>
        <v>42.656874999999999</v>
      </c>
      <c r="M53" s="39"/>
      <c r="N53" s="39">
        <f t="shared" si="2"/>
        <v>-44.377625000000002</v>
      </c>
      <c r="O53" s="39">
        <f t="shared" si="3"/>
        <v>-45.476875</v>
      </c>
      <c r="Q53" s="206">
        <f>N53-'Thermo data'!$L50*N$52-'Thermo data'!$O50*N$10</f>
        <v>5.1883333333333397</v>
      </c>
      <c r="R53" s="206">
        <f>O53-'Thermo data'!$L50*O$52-'Thermo data'!$O50*O$10</f>
        <v>-1.0505000000000067</v>
      </c>
      <c r="S53" s="39"/>
      <c r="T53" s="222">
        <f>EXP(-Q53)</f>
        <v>5.5813012361443605E-3</v>
      </c>
      <c r="U53" s="222">
        <f t="shared" si="9"/>
        <v>2.859080300888146</v>
      </c>
      <c r="V53" s="40"/>
      <c r="W53" s="169">
        <f>T53*p_test^'Thermo data'!O50</f>
        <v>5.5813012361443605E-3</v>
      </c>
      <c r="X53" s="159">
        <f>U53*p_test^'Thermo data'!O50</f>
        <v>2.859080300888146</v>
      </c>
      <c r="Y53" s="151">
        <f>T53*p_low^'Thermo data'!O50*aK2O^'Thermo data'!L50</f>
        <v>1.6743903708433078E-14</v>
      </c>
      <c r="Z53" s="160">
        <f>U53*p_high^'Thermo data'!O50*aK2O^'Thermo data'!L50</f>
        <v>8.5772409026644372E-12</v>
      </c>
    </row>
    <row r="54" spans="1:27" s="231" customFormat="1" x14ac:dyDescent="0.25">
      <c r="A54" s="231" t="str">
        <f>'Thermo data'!A53</f>
        <v>Fe(g)</v>
      </c>
      <c r="B54" s="231">
        <f>'Thermo data'!B53</f>
        <v>20.83</v>
      </c>
      <c r="C54" s="231">
        <f>'Thermo data'!C53/1000</f>
        <v>3.0358999999999998E-3</v>
      </c>
      <c r="D54" s="231">
        <f>'Thermo data'!D53/1000000</f>
        <v>-7.0772000000000004E-7</v>
      </c>
      <c r="E54" s="231">
        <f>'Thermo data'!E53/1000000000</f>
        <v>9.7339999999999997E-11</v>
      </c>
      <c r="F54" s="231">
        <f>'Thermo data'!F53/1000000000000</f>
        <v>-5.3041000000000003E-15</v>
      </c>
      <c r="H54" s="231" t="str">
        <f>'Thermo data'!H53</f>
        <v>1000-6000</v>
      </c>
      <c r="I54" s="232">
        <f>'Thermo data'!I53*1000</f>
        <v>49969.675621956434</v>
      </c>
      <c r="K54" s="233">
        <f t="shared" si="0"/>
        <v>24.093150493749999</v>
      </c>
      <c r="L54" s="233">
        <f t="shared" si="1"/>
        <v>25.310246093749996</v>
      </c>
      <c r="M54" s="234"/>
      <c r="N54" s="234">
        <f t="shared" si="2"/>
        <v>9.2199665875542927</v>
      </c>
      <c r="O54" s="234">
        <f t="shared" si="3"/>
        <v>-5.3223758449674214</v>
      </c>
      <c r="Q54" s="233">
        <f>N54-'Thermo data'!$L53*N$56-'Thermo data'!$O53*N$10</f>
        <v>29.602144932401966</v>
      </c>
      <c r="R54" s="233">
        <f>O54-'Thermo data'!$L53*O$56-'Thermo data'!$O53*O$10</f>
        <v>9.3226024869411823</v>
      </c>
      <c r="S54" s="234"/>
      <c r="T54" s="235">
        <f t="shared" ref="T54:T56" si="11">EXP(-Q54)</f>
        <v>1.3930022033418244E-13</v>
      </c>
      <c r="U54" s="235">
        <f t="shared" ref="U54:U56" si="12">EXP(-R54)</f>
        <v>8.9380994583073358E-5</v>
      </c>
      <c r="V54" s="236"/>
      <c r="W54" s="237">
        <f>T54*p_test^'Thermo data'!O53</f>
        <v>1.3930022033418242E-8</v>
      </c>
      <c r="X54" s="238">
        <f>U54*p_test^'Thermo data'!O53</f>
        <v>8.9380994583073345</v>
      </c>
      <c r="Y54" s="239">
        <f>T54*p_low^'Thermo data'!O53*aFeO^'Thermo data'!L53</f>
        <v>1.9456804295496081E-10</v>
      </c>
      <c r="Z54" s="240">
        <f>U54*p_high^'Thermo data'!O53*aFeO^'Thermo data'!L53</f>
        <v>3.0592499963326247E-5</v>
      </c>
    </row>
    <row r="55" spans="1:27" s="231" customFormat="1" x14ac:dyDescent="0.25">
      <c r="A55" s="231" t="str">
        <f>'Thermo data'!A54</f>
        <v>FeO(g)</v>
      </c>
      <c r="B55" s="231">
        <f>'Thermo data'!B54</f>
        <v>27.61</v>
      </c>
      <c r="C55" s="231">
        <f>'Thermo data'!C54/1000</f>
        <v>4.3819999999999996E-3</v>
      </c>
      <c r="D55" s="231">
        <f>'Thermo data'!D54/1000000</f>
        <v>-9.3659999999999996E-7</v>
      </c>
      <c r="E55" s="231">
        <f>'Thermo data'!E54/1000000000</f>
        <v>1.2089999999999999E-10</v>
      </c>
      <c r="F55" s="231">
        <f>'Thermo data'!F54/1000000000000</f>
        <v>-6.3720000000000002E-15</v>
      </c>
      <c r="H55" s="231" t="str">
        <f>'Thermo data'!H54</f>
        <v>1000-6000</v>
      </c>
      <c r="I55" s="232">
        <f>'Thermo data'!I54*1000</f>
        <v>30193.172009925944</v>
      </c>
      <c r="K55" s="233">
        <f t="shared" si="0"/>
        <v>32.451429250000004</v>
      </c>
      <c r="L55" s="233">
        <f t="shared" si="1"/>
        <v>34.351406250000004</v>
      </c>
      <c r="M55" s="234"/>
      <c r="N55" s="234">
        <f t="shared" si="2"/>
        <v>-12.322647910049376</v>
      </c>
      <c r="O55" s="234">
        <f t="shared" si="3"/>
        <v>-22.274137446029627</v>
      </c>
      <c r="Q55" s="233">
        <f>N54-'Thermo data'!$L54*N$56-'Thermo data'!$O54*N$10</f>
        <v>43.487768057401965</v>
      </c>
      <c r="R55" s="233">
        <f>O55-'Thermo data'!$L54*O$56-'Thermo data'!$O54*O$10</f>
        <v>7.157419010878975</v>
      </c>
      <c r="S55" s="234"/>
      <c r="T55" s="235">
        <f t="shared" si="11"/>
        <v>1.2986804486745074E-19</v>
      </c>
      <c r="U55" s="235">
        <f t="shared" si="12"/>
        <v>7.7906271297033638E-4</v>
      </c>
      <c r="V55" s="236"/>
      <c r="W55" s="237">
        <f>T55*p_test^'Thermo data'!O54</f>
        <v>1.2986804486745074E-19</v>
      </c>
      <c r="X55" s="238">
        <f>U55*p_test^'Thermo data'!O54</f>
        <v>7.7906271297033638E-4</v>
      </c>
      <c r="Y55" s="239">
        <f>T55*p_low^'Thermo data'!O54*aFeO^'Thermo data'!L54</f>
        <v>4.5453815703607761E-21</v>
      </c>
      <c r="Z55" s="240">
        <f>U55*p_high^'Thermo data'!O54*aFeO^'Thermo data'!L54</f>
        <v>2.7267194953961776E-5</v>
      </c>
    </row>
    <row r="56" spans="1:27" s="241" customFormat="1" x14ac:dyDescent="0.25">
      <c r="A56" s="241" t="str">
        <f>'Thermo data'!A55</f>
        <v>FeO(l)</v>
      </c>
      <c r="B56" s="241">
        <f>'Thermo data'!B55</f>
        <v>6.72</v>
      </c>
      <c r="C56" s="241">
        <f>'Thermo data'!C55/1000</f>
        <v>6.5880000000000001E-3</v>
      </c>
      <c r="D56" s="241">
        <f>'Thermo data'!D55/1000000</f>
        <v>-1.248E-6</v>
      </c>
      <c r="E56" s="241">
        <f>'Thermo data'!E55/1000000000</f>
        <v>1.4960000000000001E-10</v>
      </c>
      <c r="F56" s="241">
        <f>'Thermo data'!F55/1000000000000</f>
        <v>-7.6970000000000002E-15</v>
      </c>
      <c r="H56" s="241" t="str">
        <f>'Thermo data'!H55</f>
        <v>1000-5000</v>
      </c>
      <c r="I56" s="242">
        <f>'Thermo data'!I55*1000</f>
        <v>-30011.801298521517</v>
      </c>
      <c r="K56" s="243">
        <f t="shared" si="0"/>
        <v>14.2599339375</v>
      </c>
      <c r="L56" s="243">
        <f t="shared" si="1"/>
        <v>17.426835937499995</v>
      </c>
      <c r="M56" s="244"/>
      <c r="N56" s="244">
        <f t="shared" si="2"/>
        <v>-34.267801469847676</v>
      </c>
      <c r="O56" s="244">
        <f t="shared" si="3"/>
        <v>-29.431556456908602</v>
      </c>
      <c r="Q56" s="243">
        <f>N56-'Thermo data'!$L55*N$56-'Thermo data'!$O55*N$10</f>
        <v>0</v>
      </c>
      <c r="R56" s="243">
        <f>O56-'Thermo data'!$L55*O$56-'Thermo data'!$O55*O$10</f>
        <v>0</v>
      </c>
      <c r="S56" s="244"/>
      <c r="T56" s="245">
        <f t="shared" si="11"/>
        <v>1</v>
      </c>
      <c r="U56" s="245">
        <f t="shared" si="12"/>
        <v>1</v>
      </c>
      <c r="V56" s="246"/>
      <c r="W56" s="247">
        <f>T56*p_test^'Thermo data'!O55</f>
        <v>1</v>
      </c>
      <c r="X56" s="248">
        <f>U56*p_test^'Thermo data'!O55</f>
        <v>1</v>
      </c>
      <c r="Y56" s="247">
        <f>T56*p_low^'Thermo data'!O55*aFeO^'Thermo data'!L55</f>
        <v>3.5000000000000003E-2</v>
      </c>
      <c r="Z56" s="248">
        <f>U56*p_high^'Thermo data'!O55*aFeO^'Thermo data'!L55</f>
        <v>3.5000000000000003E-2</v>
      </c>
    </row>
    <row r="57" spans="1:27" x14ac:dyDescent="0.25">
      <c r="W57" s="171"/>
      <c r="X57" s="171"/>
      <c r="Y57" s="171"/>
      <c r="Z57" s="171"/>
    </row>
    <row r="58" spans="1:27" ht="15.75" thickBot="1" x14ac:dyDescent="0.3"/>
    <row r="59" spans="1:27" ht="15.75" thickTop="1" x14ac:dyDescent="0.25">
      <c r="T59" s="122" t="s">
        <v>137</v>
      </c>
      <c r="V59" s="267" t="s">
        <v>134</v>
      </c>
      <c r="W59" s="263">
        <f t="shared" ref="W59:X59" si="13">SUM(W11,W13:W17,W19:W28,W32:W33,W35:W43,W45:W51,W53:W55)</f>
        <v>256497.27518578211</v>
      </c>
      <c r="X59" s="264">
        <f t="shared" si="13"/>
        <v>2273121260.4820275</v>
      </c>
      <c r="Y59" s="263">
        <f>SUM(Y11,Y13:Y17,Y19:Y28,Y32:Y33,Y35:Y43,Y45:Y51,Y53:Y55)</f>
        <v>9.5266887555798573E-6</v>
      </c>
      <c r="Z59" s="264">
        <f>SUM(Z11,Z13:Z17,Z19:Z28,Z32:Z33,Z35:Z43,Z45:Z51,Z53:Z55)</f>
        <v>1.5041688591338283E-3</v>
      </c>
    </row>
    <row r="60" spans="1:27" ht="15.75" thickBot="1" x14ac:dyDescent="0.3">
      <c r="V60" s="268" t="s">
        <v>135</v>
      </c>
      <c r="W60" s="265">
        <f t="shared" ref="W60:X60" si="14">W10+W9/2</f>
        <v>1.2010986207832684E-10</v>
      </c>
      <c r="X60" s="266">
        <f t="shared" si="14"/>
        <v>7.1808914212815688E-8</v>
      </c>
      <c r="Y60" s="265">
        <f>Y10+Y9/2</f>
        <v>6.783004677619715E-10</v>
      </c>
      <c r="Z60" s="266">
        <f>Z10+Z9/2</f>
        <v>1.1190027664180355E-2</v>
      </c>
      <c r="AA60" s="114"/>
    </row>
    <row r="61" spans="1:27" ht="15.75" thickTop="1" x14ac:dyDescent="0.25"/>
  </sheetData>
  <mergeCells count="12">
    <mergeCell ref="K7:L7"/>
    <mergeCell ref="Q6:R6"/>
    <mergeCell ref="W2:Z2"/>
    <mergeCell ref="G2:M2"/>
    <mergeCell ref="T7:U7"/>
    <mergeCell ref="T6:U6"/>
    <mergeCell ref="Q7:R7"/>
    <mergeCell ref="N7:O7"/>
    <mergeCell ref="N6:O6"/>
    <mergeCell ref="K6:L6"/>
    <mergeCell ref="W3:Z3"/>
    <mergeCell ref="Y4:Z4"/>
  </mergeCell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5BAF7191-4577-447C-B264-01F8C73E25CD}">
            <x14:iconSet custom="1">
              <x14:cfvo type="percent">
                <xm:f>0</xm:f>
              </x14:cfvo>
              <x14:cfvo type="percentile">
                <xm:f>20</xm:f>
              </x14:cfvo>
              <x14:cfvo type="percentile">
                <xm:f>80</xm:f>
              </x14:cfvo>
              <x14:cfIcon iconSet="3Stars" iconId="0"/>
              <x14:cfIcon iconSet="3Stars" iconId="1"/>
              <x14:cfIcon iconSet="3Stars" iconId="2"/>
            </x14:iconSet>
          </x14:cfRule>
          <xm:sqref>Z9:Z11 Z45:Z51 Z30:Z33 Z19:Z28 Z13:Z17 Z35:Z43 Z53:Z55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55"/>
  <sheetViews>
    <sheetView zoomScale="85" zoomScaleNormal="85" workbookViewId="0">
      <selection activeCell="A13" sqref="A12:XFD13"/>
    </sheetView>
  </sheetViews>
  <sheetFormatPr baseColWidth="10" defaultRowHeight="15" x14ac:dyDescent="0.25"/>
  <sheetData>
    <row r="2" spans="1:17" x14ac:dyDescent="0.25">
      <c r="B2" t="s">
        <v>71</v>
      </c>
      <c r="G2" t="s">
        <v>112</v>
      </c>
    </row>
    <row r="4" spans="1:17" x14ac:dyDescent="0.25">
      <c r="B4" s="272" t="s">
        <v>72</v>
      </c>
      <c r="C4" s="278"/>
      <c r="D4" s="1" t="s">
        <v>25</v>
      </c>
      <c r="G4" s="52" t="s">
        <v>77</v>
      </c>
      <c r="L4" s="34" t="s">
        <v>53</v>
      </c>
      <c r="M4" s="15" t="s">
        <v>50</v>
      </c>
      <c r="N4" s="16" t="s">
        <v>51</v>
      </c>
      <c r="O4" s="34" t="s">
        <v>54</v>
      </c>
      <c r="P4" s="17" t="s">
        <v>52</v>
      </c>
      <c r="Q4" s="18" t="s">
        <v>51</v>
      </c>
    </row>
    <row r="5" spans="1:17" x14ac:dyDescent="0.25">
      <c r="B5" t="s">
        <v>2</v>
      </c>
      <c r="C5" t="s">
        <v>26</v>
      </c>
      <c r="D5" t="s">
        <v>27</v>
      </c>
      <c r="E5" t="s">
        <v>28</v>
      </c>
      <c r="F5" t="s">
        <v>29</v>
      </c>
      <c r="G5" s="52"/>
      <c r="H5" t="s">
        <v>7</v>
      </c>
      <c r="I5" t="s">
        <v>131</v>
      </c>
      <c r="L5" s="2" t="s">
        <v>15</v>
      </c>
      <c r="M5" s="7" t="s">
        <v>16</v>
      </c>
      <c r="N5" s="10" t="s">
        <v>17</v>
      </c>
      <c r="O5" s="2" t="s">
        <v>18</v>
      </c>
      <c r="P5" s="7" t="s">
        <v>19</v>
      </c>
      <c r="Q5" s="10" t="s">
        <v>20</v>
      </c>
    </row>
    <row r="6" spans="1:17" x14ac:dyDescent="0.25">
      <c r="A6" t="s">
        <v>0</v>
      </c>
      <c r="B6">
        <v>18.21</v>
      </c>
      <c r="C6">
        <v>3.2959999999999998</v>
      </c>
      <c r="D6">
        <v>-1.0262</v>
      </c>
      <c r="E6">
        <v>0.20269999999999999</v>
      </c>
      <c r="F6">
        <v>-1.7239999999999998E-2</v>
      </c>
      <c r="G6" s="52" t="s">
        <v>79</v>
      </c>
      <c r="H6" t="s">
        <v>8</v>
      </c>
      <c r="I6">
        <v>29.97</v>
      </c>
      <c r="L6" s="4">
        <f t="shared" ref="L6:L50" si="0">P6/M6</f>
        <v>0</v>
      </c>
      <c r="M6" s="7">
        <v>1</v>
      </c>
      <c r="N6" s="10">
        <v>1</v>
      </c>
      <c r="O6" s="4">
        <f t="shared" ref="O6:O50" si="1">(M6*Q6-N6*P6)/2/M6</f>
        <v>0.5</v>
      </c>
      <c r="P6" s="7">
        <v>0</v>
      </c>
      <c r="Q6" s="10">
        <v>1</v>
      </c>
    </row>
    <row r="7" spans="1:17" x14ac:dyDescent="0.25">
      <c r="A7" t="s">
        <v>1</v>
      </c>
      <c r="B7">
        <v>22.986999999999998</v>
      </c>
      <c r="C7">
        <v>4.5769000000000002</v>
      </c>
      <c r="D7">
        <v>-1.2101</v>
      </c>
      <c r="E7">
        <v>0.21540000000000001</v>
      </c>
      <c r="F7">
        <v>-1.686E-2</v>
      </c>
      <c r="G7" s="52" t="s">
        <v>79</v>
      </c>
      <c r="H7" t="s">
        <v>8</v>
      </c>
      <c r="I7">
        <v>0</v>
      </c>
      <c r="L7" s="4">
        <f t="shared" si="0"/>
        <v>0</v>
      </c>
      <c r="M7" s="8">
        <v>1</v>
      </c>
      <c r="N7" s="11">
        <v>1</v>
      </c>
      <c r="O7" s="4">
        <f t="shared" si="1"/>
        <v>1</v>
      </c>
      <c r="P7" s="8">
        <v>0</v>
      </c>
      <c r="Q7" s="11">
        <v>2</v>
      </c>
    </row>
    <row r="8" spans="1:17" x14ac:dyDescent="0.25">
      <c r="A8" t="s">
        <v>9</v>
      </c>
      <c r="B8">
        <v>16.939</v>
      </c>
      <c r="C8">
        <v>2.7458</v>
      </c>
      <c r="D8">
        <v>-0.60729999999999995</v>
      </c>
      <c r="E8">
        <v>6.2170000000000003E-2</v>
      </c>
      <c r="F8">
        <v>0</v>
      </c>
      <c r="G8" s="52" t="s">
        <v>79</v>
      </c>
      <c r="H8" t="s">
        <v>8</v>
      </c>
      <c r="I8">
        <v>17.7</v>
      </c>
      <c r="L8" s="4">
        <f t="shared" si="0"/>
        <v>1</v>
      </c>
      <c r="M8" s="8">
        <v>1</v>
      </c>
      <c r="N8" s="11">
        <v>1</v>
      </c>
      <c r="O8" s="4">
        <f t="shared" si="1"/>
        <v>-0.5</v>
      </c>
      <c r="P8" s="8">
        <v>1</v>
      </c>
      <c r="Q8" s="11">
        <v>0</v>
      </c>
    </row>
    <row r="9" spans="1:17" x14ac:dyDescent="0.25">
      <c r="A9" s="48" t="s">
        <v>104</v>
      </c>
      <c r="B9" s="3">
        <v>-0.80400000000000005</v>
      </c>
      <c r="C9" s="3">
        <v>5.1067</v>
      </c>
      <c r="D9" s="3">
        <v>-0.36149999999999999</v>
      </c>
      <c r="E9" s="3">
        <v>0</v>
      </c>
      <c r="F9" s="3">
        <v>0</v>
      </c>
      <c r="G9" s="52" t="s">
        <v>79</v>
      </c>
      <c r="H9" s="3" t="s">
        <v>105</v>
      </c>
      <c r="I9" s="3">
        <v>-72.34</v>
      </c>
      <c r="J9" s="3"/>
      <c r="K9" s="3"/>
      <c r="L9" s="6">
        <f t="shared" si="0"/>
        <v>1</v>
      </c>
      <c r="M9" s="9">
        <v>1</v>
      </c>
      <c r="N9" s="12">
        <v>1</v>
      </c>
      <c r="O9" s="6">
        <f t="shared" si="1"/>
        <v>0</v>
      </c>
      <c r="P9" s="9">
        <v>1</v>
      </c>
      <c r="Q9" s="12">
        <v>1</v>
      </c>
    </row>
    <row r="10" spans="1:17" x14ac:dyDescent="0.25">
      <c r="A10" s="31" t="s">
        <v>10</v>
      </c>
      <c r="B10" s="31">
        <v>23.16</v>
      </c>
      <c r="C10" s="31">
        <v>5.9</v>
      </c>
      <c r="D10" s="31">
        <v>-1.175</v>
      </c>
      <c r="E10" s="31">
        <v>0.1043</v>
      </c>
      <c r="F10" s="31">
        <v>0</v>
      </c>
      <c r="G10" s="52" t="s">
        <v>79</v>
      </c>
      <c r="H10" s="31" t="s">
        <v>8</v>
      </c>
      <c r="I10" s="31">
        <v>7</v>
      </c>
      <c r="J10" s="31"/>
      <c r="K10" s="31"/>
      <c r="L10" s="4">
        <f t="shared" si="0"/>
        <v>1</v>
      </c>
      <c r="M10" s="32">
        <v>1</v>
      </c>
      <c r="N10" s="33">
        <v>1</v>
      </c>
      <c r="O10" s="4">
        <f t="shared" si="1"/>
        <v>0</v>
      </c>
      <c r="P10" s="32">
        <v>1</v>
      </c>
      <c r="Q10" s="33">
        <v>1</v>
      </c>
    </row>
    <row r="11" spans="1:17" x14ac:dyDescent="0.25">
      <c r="A11" t="s">
        <v>11</v>
      </c>
      <c r="B11">
        <v>28.571000000000002</v>
      </c>
      <c r="C11">
        <v>2.3570000000000002</v>
      </c>
      <c r="D11">
        <v>0.78400000000000003</v>
      </c>
      <c r="E11">
        <v>-0.59699999999999998</v>
      </c>
      <c r="F11">
        <v>9.7299999999999998E-2</v>
      </c>
      <c r="G11" s="52" t="s">
        <v>79</v>
      </c>
      <c r="H11" t="s">
        <v>14</v>
      </c>
      <c r="I11">
        <v>34.700000000000003</v>
      </c>
      <c r="L11" s="4">
        <f t="shared" si="0"/>
        <v>2</v>
      </c>
      <c r="M11" s="8">
        <v>1</v>
      </c>
      <c r="N11" s="11">
        <v>1</v>
      </c>
      <c r="O11" s="4">
        <f t="shared" si="1"/>
        <v>-1</v>
      </c>
      <c r="P11" s="8">
        <v>2</v>
      </c>
      <c r="Q11" s="11">
        <v>0</v>
      </c>
    </row>
    <row r="12" spans="1:17" x14ac:dyDescent="0.25">
      <c r="A12" t="s">
        <v>0</v>
      </c>
      <c r="B12">
        <v>18.21</v>
      </c>
      <c r="C12">
        <v>3.2959999999999998</v>
      </c>
      <c r="D12">
        <v>-1.0262</v>
      </c>
      <c r="E12">
        <v>0.20269999999999999</v>
      </c>
      <c r="F12">
        <v>-1.7239999999999998E-2</v>
      </c>
      <c r="G12" s="52" t="s">
        <v>79</v>
      </c>
      <c r="H12" t="s">
        <v>8</v>
      </c>
      <c r="I12">
        <v>29.97</v>
      </c>
      <c r="L12" s="4">
        <f t="shared" si="0"/>
        <v>0</v>
      </c>
      <c r="M12" s="7">
        <v>1</v>
      </c>
      <c r="N12" s="10">
        <v>1</v>
      </c>
      <c r="O12" s="4">
        <f t="shared" si="1"/>
        <v>0.5</v>
      </c>
      <c r="P12" s="7">
        <v>0</v>
      </c>
      <c r="Q12" s="10">
        <v>1</v>
      </c>
    </row>
    <row r="13" spans="1:17" x14ac:dyDescent="0.25">
      <c r="A13" t="s">
        <v>1</v>
      </c>
      <c r="B13">
        <v>22.986999999999998</v>
      </c>
      <c r="C13">
        <v>4.5769000000000002</v>
      </c>
      <c r="D13">
        <v>-1.2101</v>
      </c>
      <c r="E13">
        <v>0.21540000000000001</v>
      </c>
      <c r="F13">
        <v>-1.686E-2</v>
      </c>
      <c r="G13" s="52" t="s">
        <v>79</v>
      </c>
      <c r="H13" t="s">
        <v>8</v>
      </c>
      <c r="I13">
        <v>0</v>
      </c>
      <c r="L13" s="4">
        <f t="shared" si="0"/>
        <v>0</v>
      </c>
      <c r="M13" s="8">
        <v>1</v>
      </c>
      <c r="N13" s="11">
        <v>1</v>
      </c>
      <c r="O13" s="4">
        <f t="shared" si="1"/>
        <v>1</v>
      </c>
      <c r="P13" s="8">
        <v>0</v>
      </c>
      <c r="Q13" s="11">
        <v>2</v>
      </c>
    </row>
    <row r="14" spans="1:17" x14ac:dyDescent="0.25">
      <c r="A14" t="s">
        <v>12</v>
      </c>
      <c r="B14">
        <v>17.84</v>
      </c>
      <c r="C14">
        <v>2.5369999999999999</v>
      </c>
      <c r="D14">
        <v>-0.51549999999999996</v>
      </c>
      <c r="E14">
        <v>4.9399999999999999E-2</v>
      </c>
      <c r="G14" s="52" t="s">
        <v>79</v>
      </c>
      <c r="H14" t="s">
        <v>36</v>
      </c>
      <c r="I14">
        <v>21.4</v>
      </c>
      <c r="L14" s="86">
        <f t="shared" si="0"/>
        <v>1</v>
      </c>
      <c r="M14" s="7">
        <v>1</v>
      </c>
      <c r="N14" s="10">
        <v>1</v>
      </c>
      <c r="O14" s="86">
        <f t="shared" si="1"/>
        <v>-0.5</v>
      </c>
      <c r="P14" s="7">
        <v>1</v>
      </c>
      <c r="Q14" s="10">
        <v>0</v>
      </c>
    </row>
    <row r="15" spans="1:17" x14ac:dyDescent="0.25">
      <c r="A15" s="48" t="s">
        <v>107</v>
      </c>
      <c r="B15" s="3">
        <v>0.92400000000000004</v>
      </c>
      <c r="C15" s="3">
        <v>5.9219999999999997</v>
      </c>
      <c r="D15" s="3">
        <v>-0.73160000000000003</v>
      </c>
      <c r="E15" s="3">
        <v>4.36E-2</v>
      </c>
      <c r="F15" s="3">
        <v>0</v>
      </c>
      <c r="G15" s="52" t="s">
        <v>79</v>
      </c>
      <c r="H15" s="3" t="s">
        <v>106</v>
      </c>
      <c r="I15" s="3">
        <v>-76.384</v>
      </c>
      <c r="J15" s="3"/>
      <c r="K15" s="3"/>
      <c r="L15" s="88">
        <f t="shared" si="0"/>
        <v>1</v>
      </c>
      <c r="M15" s="13">
        <v>1</v>
      </c>
      <c r="N15" s="14">
        <v>1</v>
      </c>
      <c r="O15" s="88">
        <f t="shared" si="1"/>
        <v>0</v>
      </c>
      <c r="P15" s="13">
        <v>1</v>
      </c>
      <c r="Q15" s="14">
        <v>1</v>
      </c>
    </row>
    <row r="16" spans="1:17" x14ac:dyDescent="0.25">
      <c r="A16" t="s">
        <v>13</v>
      </c>
      <c r="B16">
        <v>24.83</v>
      </c>
      <c r="C16">
        <v>4.5789999999999997</v>
      </c>
      <c r="D16">
        <v>-0.98950000000000005</v>
      </c>
      <c r="E16">
        <v>0.1144</v>
      </c>
      <c r="G16" s="52" t="s">
        <v>79</v>
      </c>
      <c r="H16" t="s">
        <v>8</v>
      </c>
      <c r="I16">
        <v>5.3</v>
      </c>
      <c r="L16" s="86">
        <f t="shared" si="0"/>
        <v>1</v>
      </c>
      <c r="M16" s="7">
        <v>1</v>
      </c>
      <c r="N16" s="10">
        <v>1</v>
      </c>
      <c r="O16" s="86">
        <f t="shared" si="1"/>
        <v>0</v>
      </c>
      <c r="P16" s="7">
        <v>1</v>
      </c>
      <c r="Q16" s="10">
        <v>1</v>
      </c>
    </row>
    <row r="17" spans="1:17" x14ac:dyDescent="0.25">
      <c r="A17" t="s">
        <v>31</v>
      </c>
      <c r="B17">
        <v>29.904</v>
      </c>
      <c r="C17">
        <v>3.0310000000000001</v>
      </c>
      <c r="D17">
        <v>0.55100000000000005</v>
      </c>
      <c r="E17">
        <v>-0.57140000000000002</v>
      </c>
      <c r="F17">
        <v>9.8000000000000004E-2</v>
      </c>
      <c r="G17" s="52" t="s">
        <v>79</v>
      </c>
      <c r="H17" t="s">
        <v>14</v>
      </c>
      <c r="I17">
        <v>41.6</v>
      </c>
      <c r="L17" s="86">
        <f t="shared" si="0"/>
        <v>2</v>
      </c>
      <c r="M17" s="7">
        <v>1</v>
      </c>
      <c r="N17" s="10">
        <v>1</v>
      </c>
      <c r="O17" s="86">
        <f t="shared" si="1"/>
        <v>-1</v>
      </c>
      <c r="P17" s="7">
        <v>2</v>
      </c>
      <c r="Q17" s="10">
        <v>0</v>
      </c>
    </row>
    <row r="18" spans="1:17" x14ac:dyDescent="0.25">
      <c r="A18" t="s">
        <v>0</v>
      </c>
      <c r="B18">
        <v>18.21</v>
      </c>
      <c r="C18">
        <v>3.2959999999999998</v>
      </c>
      <c r="D18">
        <v>-1.0262</v>
      </c>
      <c r="E18">
        <v>0.20269999999999999</v>
      </c>
      <c r="F18">
        <v>-1.7239999999999998E-2</v>
      </c>
      <c r="G18" s="52" t="s">
        <v>79</v>
      </c>
      <c r="H18" t="s">
        <v>8</v>
      </c>
      <c r="I18">
        <v>29.97</v>
      </c>
      <c r="L18" s="4">
        <f t="shared" si="0"/>
        <v>0</v>
      </c>
      <c r="M18" s="7">
        <f t="shared" ref="M18:N25" si="2">M$26</f>
        <v>2</v>
      </c>
      <c r="N18" s="10">
        <f t="shared" si="2"/>
        <v>3</v>
      </c>
      <c r="O18" s="86">
        <f t="shared" si="1"/>
        <v>0.5</v>
      </c>
      <c r="P18" s="7">
        <v>0</v>
      </c>
      <c r="Q18" s="10">
        <v>1</v>
      </c>
    </row>
    <row r="19" spans="1:17" x14ac:dyDescent="0.25">
      <c r="A19" t="s">
        <v>1</v>
      </c>
      <c r="B19">
        <v>22.986999999999998</v>
      </c>
      <c r="C19">
        <v>4.5769000000000002</v>
      </c>
      <c r="D19">
        <v>-1.2101</v>
      </c>
      <c r="E19">
        <v>0.21540000000000001</v>
      </c>
      <c r="F19">
        <v>-1.686E-2</v>
      </c>
      <c r="G19" s="52" t="s">
        <v>79</v>
      </c>
      <c r="H19" t="s">
        <v>8</v>
      </c>
      <c r="I19">
        <v>0</v>
      </c>
      <c r="L19" s="4">
        <f t="shared" si="0"/>
        <v>0</v>
      </c>
      <c r="M19" s="7">
        <f t="shared" si="2"/>
        <v>2</v>
      </c>
      <c r="N19" s="10">
        <f t="shared" si="2"/>
        <v>3</v>
      </c>
      <c r="O19" s="86">
        <f t="shared" si="1"/>
        <v>1</v>
      </c>
      <c r="P19" s="8">
        <v>0</v>
      </c>
      <c r="Q19" s="11">
        <v>2</v>
      </c>
    </row>
    <row r="20" spans="1:17" x14ac:dyDescent="0.25">
      <c r="A20" t="s">
        <v>37</v>
      </c>
      <c r="B20">
        <v>18.649000000000001</v>
      </c>
      <c r="C20">
        <v>3.2317</v>
      </c>
      <c r="D20">
        <v>-0.99050000000000005</v>
      </c>
      <c r="E20">
        <v>0.193</v>
      </c>
      <c r="F20">
        <v>-1.6199999999999999E-2</v>
      </c>
      <c r="G20" s="52" t="s">
        <v>79</v>
      </c>
      <c r="H20" t="s">
        <v>8</v>
      </c>
      <c r="I20">
        <v>39.6</v>
      </c>
      <c r="L20" s="86">
        <f t="shared" si="0"/>
        <v>0.5</v>
      </c>
      <c r="M20" s="7">
        <f t="shared" si="2"/>
        <v>2</v>
      </c>
      <c r="N20" s="10">
        <f t="shared" si="2"/>
        <v>3</v>
      </c>
      <c r="O20" s="86">
        <f t="shared" si="1"/>
        <v>-0.75</v>
      </c>
      <c r="P20" s="7">
        <v>1</v>
      </c>
      <c r="Q20" s="10">
        <v>0</v>
      </c>
    </row>
    <row r="21" spans="1:17" x14ac:dyDescent="0.25">
      <c r="A21" t="s">
        <v>38</v>
      </c>
      <c r="B21">
        <v>24.765000000000001</v>
      </c>
      <c r="C21">
        <v>4.2539999999999996</v>
      </c>
      <c r="D21">
        <v>-0.80869999999999997</v>
      </c>
      <c r="E21">
        <v>7.9299999999999995E-2</v>
      </c>
      <c r="G21" s="52" t="s">
        <v>79</v>
      </c>
      <c r="H21" t="s">
        <v>8</v>
      </c>
      <c r="I21">
        <v>8.1</v>
      </c>
      <c r="L21" s="86">
        <f t="shared" si="0"/>
        <v>0.5</v>
      </c>
      <c r="M21" s="7">
        <f t="shared" si="2"/>
        <v>2</v>
      </c>
      <c r="N21" s="10">
        <f t="shared" si="2"/>
        <v>3</v>
      </c>
      <c r="O21" s="86">
        <f t="shared" si="1"/>
        <v>-0.25</v>
      </c>
      <c r="P21" s="7">
        <v>1</v>
      </c>
      <c r="Q21" s="10">
        <v>1</v>
      </c>
    </row>
    <row r="22" spans="1:17" x14ac:dyDescent="0.25">
      <c r="A22" t="s">
        <v>39</v>
      </c>
      <c r="B22">
        <v>29.114000000000001</v>
      </c>
      <c r="C22">
        <v>3.28</v>
      </c>
      <c r="D22">
        <v>2.4784999999999999</v>
      </c>
      <c r="E22">
        <v>-1.4446000000000001</v>
      </c>
      <c r="F22">
        <v>0.22084000000000001</v>
      </c>
      <c r="G22" s="52" t="s">
        <v>79</v>
      </c>
      <c r="H22" t="s">
        <v>14</v>
      </c>
      <c r="I22">
        <v>-10.4</v>
      </c>
      <c r="L22" s="86">
        <f t="shared" si="0"/>
        <v>0.5</v>
      </c>
      <c r="M22" s="7">
        <f t="shared" si="2"/>
        <v>2</v>
      </c>
      <c r="N22" s="10">
        <f t="shared" si="2"/>
        <v>3</v>
      </c>
      <c r="O22" s="86">
        <f t="shared" si="1"/>
        <v>0.25</v>
      </c>
      <c r="P22" s="7">
        <v>1</v>
      </c>
      <c r="Q22" s="10">
        <v>2</v>
      </c>
    </row>
    <row r="23" spans="1:17" x14ac:dyDescent="0.25">
      <c r="A23" t="s">
        <v>42</v>
      </c>
      <c r="B23">
        <v>25.766999999999999</v>
      </c>
      <c r="C23">
        <v>6.399</v>
      </c>
      <c r="D23">
        <v>-1.8660000000000001</v>
      </c>
      <c r="E23">
        <v>0.35659999999999997</v>
      </c>
      <c r="F23">
        <v>-2.9899999999999999E-2</v>
      </c>
      <c r="G23" s="52" t="s">
        <v>79</v>
      </c>
      <c r="H23" t="s">
        <v>8</v>
      </c>
      <c r="I23">
        <v>59</v>
      </c>
      <c r="L23" s="86">
        <f t="shared" si="0"/>
        <v>1</v>
      </c>
      <c r="M23" s="7">
        <f t="shared" si="2"/>
        <v>2</v>
      </c>
      <c r="N23" s="10">
        <f t="shared" si="2"/>
        <v>3</v>
      </c>
      <c r="O23" s="86">
        <f t="shared" si="1"/>
        <v>-1.5</v>
      </c>
      <c r="P23" s="7">
        <v>2</v>
      </c>
      <c r="Q23" s="10">
        <v>0</v>
      </c>
    </row>
    <row r="24" spans="1:17" x14ac:dyDescent="0.25">
      <c r="A24" t="s">
        <v>40</v>
      </c>
      <c r="B24">
        <v>29.123000000000001</v>
      </c>
      <c r="C24">
        <v>3.4750000000000001</v>
      </c>
      <c r="D24">
        <v>2.3889999999999998</v>
      </c>
      <c r="E24">
        <v>-1.4244000000000001</v>
      </c>
      <c r="F24">
        <v>0.21884999999999999</v>
      </c>
      <c r="G24" s="52" t="s">
        <v>79</v>
      </c>
      <c r="H24" t="s">
        <v>43</v>
      </c>
      <c r="I24">
        <v>-17.5</v>
      </c>
      <c r="L24" s="86">
        <f t="shared" si="0"/>
        <v>1</v>
      </c>
      <c r="M24" s="7">
        <f t="shared" si="2"/>
        <v>2</v>
      </c>
      <c r="N24" s="10">
        <f t="shared" si="2"/>
        <v>3</v>
      </c>
      <c r="O24" s="86">
        <f t="shared" si="1"/>
        <v>-1</v>
      </c>
      <c r="P24" s="7">
        <v>2</v>
      </c>
      <c r="Q24" s="10">
        <v>1</v>
      </c>
    </row>
    <row r="25" spans="1:17" x14ac:dyDescent="0.25">
      <c r="A25" t="s">
        <v>41</v>
      </c>
      <c r="B25">
        <v>32.197000000000003</v>
      </c>
      <c r="C25">
        <v>4.484</v>
      </c>
      <c r="D25">
        <v>3.3370000000000002</v>
      </c>
      <c r="E25">
        <v>-1.9575</v>
      </c>
      <c r="F25">
        <v>0.29959999999999998</v>
      </c>
      <c r="G25" s="52" t="s">
        <v>79</v>
      </c>
      <c r="H25" t="s">
        <v>14</v>
      </c>
      <c r="I25">
        <v>-47.5</v>
      </c>
      <c r="L25" s="86">
        <f t="shared" si="0"/>
        <v>1</v>
      </c>
      <c r="M25" s="7">
        <f t="shared" si="2"/>
        <v>2</v>
      </c>
      <c r="N25" s="10">
        <f t="shared" si="2"/>
        <v>3</v>
      </c>
      <c r="O25" s="86">
        <f t="shared" si="1"/>
        <v>-0.5</v>
      </c>
      <c r="P25" s="7">
        <v>2</v>
      </c>
      <c r="Q25" s="10">
        <v>2</v>
      </c>
    </row>
    <row r="26" spans="1:17" x14ac:dyDescent="0.25">
      <c r="A26" s="48" t="s">
        <v>110</v>
      </c>
      <c r="B26" s="3">
        <v>232.345</v>
      </c>
      <c r="C26" s="3">
        <v>-336.62200000000001</v>
      </c>
      <c r="D26" s="3">
        <v>193.672</v>
      </c>
      <c r="E26" s="3">
        <v>-48.103200000000001</v>
      </c>
      <c r="F26" s="3">
        <v>4.4461000000000004</v>
      </c>
      <c r="G26" s="52" t="s">
        <v>79</v>
      </c>
      <c r="H26" s="3" t="s">
        <v>108</v>
      </c>
      <c r="I26" s="3">
        <v>-201.54</v>
      </c>
      <c r="J26" s="3"/>
      <c r="K26" s="3"/>
      <c r="L26" s="88">
        <f t="shared" si="0"/>
        <v>1</v>
      </c>
      <c r="M26" s="13">
        <v>2</v>
      </c>
      <c r="N26" s="14">
        <v>3</v>
      </c>
      <c r="O26" s="88">
        <f t="shared" si="1"/>
        <v>0</v>
      </c>
      <c r="P26" s="13">
        <v>2</v>
      </c>
      <c r="Q26" s="14">
        <v>3</v>
      </c>
    </row>
    <row r="27" spans="1:17" x14ac:dyDescent="0.25">
      <c r="A27" t="s">
        <v>0</v>
      </c>
      <c r="B27">
        <v>18.21</v>
      </c>
      <c r="C27">
        <v>3.2959999999999998</v>
      </c>
      <c r="D27">
        <v>-1.0262</v>
      </c>
      <c r="E27">
        <v>0.20269999999999999</v>
      </c>
      <c r="F27">
        <v>-1.7239999999999998E-2</v>
      </c>
      <c r="G27" s="52" t="s">
        <v>79</v>
      </c>
      <c r="H27" t="s">
        <v>8</v>
      </c>
      <c r="I27">
        <v>29.97</v>
      </c>
      <c r="L27" s="4">
        <f t="shared" si="0"/>
        <v>0</v>
      </c>
      <c r="M27" s="7">
        <f t="shared" ref="M27:N30" si="3">M$31</f>
        <v>1</v>
      </c>
      <c r="N27" s="10">
        <f t="shared" si="3"/>
        <v>2</v>
      </c>
      <c r="O27" s="4">
        <f t="shared" si="1"/>
        <v>0.5</v>
      </c>
      <c r="P27" s="7">
        <v>0</v>
      </c>
      <c r="Q27" s="10">
        <v>1</v>
      </c>
    </row>
    <row r="28" spans="1:17" x14ac:dyDescent="0.25">
      <c r="A28" t="s">
        <v>1</v>
      </c>
      <c r="B28">
        <v>22.986999999999998</v>
      </c>
      <c r="C28">
        <v>4.5769000000000002</v>
      </c>
      <c r="D28">
        <v>-1.2101</v>
      </c>
      <c r="E28">
        <v>0.21540000000000001</v>
      </c>
      <c r="F28">
        <v>-1.686E-2</v>
      </c>
      <c r="G28" s="52" t="s">
        <v>79</v>
      </c>
      <c r="H28" t="s">
        <v>8</v>
      </c>
      <c r="I28">
        <v>0</v>
      </c>
      <c r="L28" s="4">
        <f t="shared" si="0"/>
        <v>0</v>
      </c>
      <c r="M28" s="7">
        <f t="shared" si="3"/>
        <v>1</v>
      </c>
      <c r="N28" s="10">
        <f t="shared" si="3"/>
        <v>2</v>
      </c>
      <c r="O28" s="4">
        <f t="shared" si="1"/>
        <v>1</v>
      </c>
      <c r="P28" s="8">
        <v>0</v>
      </c>
      <c r="Q28" s="11">
        <v>2</v>
      </c>
    </row>
    <row r="29" spans="1:17" x14ac:dyDescent="0.25">
      <c r="A29" t="s">
        <v>44</v>
      </c>
      <c r="B29">
        <v>19.039000000000001</v>
      </c>
      <c r="C29">
        <v>3.32</v>
      </c>
      <c r="D29">
        <v>-1.0484</v>
      </c>
      <c r="E29">
        <v>0.21279999999999999</v>
      </c>
      <c r="F29">
        <v>-1.8499999999999999E-2</v>
      </c>
      <c r="G29" s="52" t="s">
        <v>79</v>
      </c>
      <c r="H29" t="s">
        <v>8</v>
      </c>
      <c r="I29">
        <v>54.2</v>
      </c>
      <c r="L29" s="86">
        <f t="shared" si="0"/>
        <v>1</v>
      </c>
      <c r="M29" s="7">
        <f t="shared" si="3"/>
        <v>1</v>
      </c>
      <c r="N29" s="10">
        <f t="shared" si="3"/>
        <v>2</v>
      </c>
      <c r="O29" s="86">
        <f t="shared" si="1"/>
        <v>-1</v>
      </c>
      <c r="P29" s="7">
        <v>1</v>
      </c>
      <c r="Q29" s="10">
        <v>0</v>
      </c>
    </row>
    <row r="30" spans="1:17" x14ac:dyDescent="0.25">
      <c r="A30" t="s">
        <v>45</v>
      </c>
      <c r="B30">
        <v>23.681999999999999</v>
      </c>
      <c r="C30">
        <v>4.7876000000000003</v>
      </c>
      <c r="D30">
        <v>-1.288</v>
      </c>
      <c r="E30">
        <v>0.2291</v>
      </c>
      <c r="F30">
        <v>-1.797E-2</v>
      </c>
      <c r="G30" s="52" t="s">
        <v>79</v>
      </c>
      <c r="H30" t="s">
        <v>8</v>
      </c>
      <c r="I30">
        <v>-11.9</v>
      </c>
      <c r="L30" s="86">
        <f t="shared" si="0"/>
        <v>1</v>
      </c>
      <c r="M30" s="7">
        <f t="shared" si="3"/>
        <v>1</v>
      </c>
      <c r="N30" s="10">
        <f t="shared" si="3"/>
        <v>2</v>
      </c>
      <c r="O30" s="86">
        <f t="shared" si="1"/>
        <v>-0.5</v>
      </c>
      <c r="P30" s="7">
        <v>1</v>
      </c>
      <c r="Q30" s="10">
        <v>1</v>
      </c>
    </row>
    <row r="31" spans="1:17" x14ac:dyDescent="0.25">
      <c r="A31" s="48" t="s">
        <v>109</v>
      </c>
      <c r="B31" s="3">
        <v>2.12</v>
      </c>
      <c r="C31" s="3">
        <v>7.6492000000000004</v>
      </c>
      <c r="D31" s="3">
        <v>-1.2587999999999999</v>
      </c>
      <c r="E31" s="3">
        <v>9.98E-2</v>
      </c>
      <c r="F31" s="3">
        <v>0</v>
      </c>
      <c r="G31" s="52" t="s">
        <v>79</v>
      </c>
      <c r="H31" s="3" t="s">
        <v>111</v>
      </c>
      <c r="I31" s="3">
        <v>-109.53</v>
      </c>
      <c r="J31" s="3"/>
      <c r="K31" s="3"/>
      <c r="L31" s="88">
        <f t="shared" si="0"/>
        <v>1</v>
      </c>
      <c r="M31" s="13">
        <v>1</v>
      </c>
      <c r="N31" s="14">
        <v>2</v>
      </c>
      <c r="O31" s="88">
        <f t="shared" si="1"/>
        <v>0</v>
      </c>
      <c r="P31" s="13">
        <v>1</v>
      </c>
      <c r="Q31" s="14">
        <v>2</v>
      </c>
    </row>
    <row r="32" spans="1:17" x14ac:dyDescent="0.25">
      <c r="A32" t="s">
        <v>46</v>
      </c>
      <c r="B32">
        <v>24.696000000000002</v>
      </c>
      <c r="C32">
        <v>7.4669999999999996</v>
      </c>
      <c r="D32">
        <v>-1.8979999999999999</v>
      </c>
      <c r="E32">
        <v>0.31940000000000002</v>
      </c>
      <c r="F32">
        <v>-2.3800000000000002E-2</v>
      </c>
      <c r="G32" s="52" t="s">
        <v>79</v>
      </c>
      <c r="H32" t="s">
        <v>8</v>
      </c>
      <c r="I32">
        <v>-38.700000000000003</v>
      </c>
      <c r="L32" s="86">
        <f t="shared" si="0"/>
        <v>1</v>
      </c>
      <c r="M32" s="7">
        <v>1</v>
      </c>
      <c r="N32" s="10">
        <v>2</v>
      </c>
      <c r="O32" s="86">
        <f t="shared" si="1"/>
        <v>0</v>
      </c>
      <c r="P32" s="7">
        <v>1</v>
      </c>
      <c r="Q32" s="10">
        <v>2</v>
      </c>
    </row>
    <row r="33" spans="1:17" x14ac:dyDescent="0.25">
      <c r="A33" t="s">
        <v>47</v>
      </c>
      <c r="B33">
        <v>25.52</v>
      </c>
      <c r="C33">
        <v>5.5890000000000004</v>
      </c>
      <c r="D33">
        <v>-1.3680000000000001</v>
      </c>
      <c r="E33">
        <v>0.21</v>
      </c>
      <c r="F33">
        <v>-1.3860000000000001E-2</v>
      </c>
      <c r="G33" s="52" t="s">
        <v>79</v>
      </c>
      <c r="H33" t="s">
        <v>8</v>
      </c>
      <c r="I33">
        <v>67.900000000000006</v>
      </c>
      <c r="L33" s="86">
        <f t="shared" si="0"/>
        <v>2</v>
      </c>
      <c r="M33" s="7">
        <v>1</v>
      </c>
      <c r="N33" s="10">
        <v>2</v>
      </c>
      <c r="O33" s="86">
        <f t="shared" si="1"/>
        <v>-2</v>
      </c>
      <c r="P33" s="7">
        <v>2</v>
      </c>
      <c r="Q33" s="10">
        <v>0</v>
      </c>
    </row>
    <row r="34" spans="1:17" x14ac:dyDescent="0.25">
      <c r="A34" t="s">
        <v>48</v>
      </c>
      <c r="B34">
        <v>33.340000000000003</v>
      </c>
      <c r="C34">
        <v>10.625999999999999</v>
      </c>
      <c r="D34">
        <v>-2.86</v>
      </c>
      <c r="E34">
        <v>0.50900000000000001</v>
      </c>
      <c r="F34">
        <v>-0.04</v>
      </c>
      <c r="G34" s="52" t="s">
        <v>79</v>
      </c>
      <c r="H34" t="s">
        <v>8</v>
      </c>
      <c r="I34">
        <v>-43.22</v>
      </c>
      <c r="L34" s="86">
        <f t="shared" si="0"/>
        <v>2</v>
      </c>
      <c r="M34" s="7">
        <v>1</v>
      </c>
      <c r="N34" s="10">
        <v>2</v>
      </c>
      <c r="O34" s="86">
        <f t="shared" si="1"/>
        <v>-1</v>
      </c>
      <c r="P34" s="7">
        <v>2</v>
      </c>
      <c r="Q34" s="10">
        <v>2</v>
      </c>
    </row>
    <row r="35" spans="1:17" x14ac:dyDescent="0.25">
      <c r="A35" t="s">
        <v>49</v>
      </c>
      <c r="B35">
        <v>29.042000000000002</v>
      </c>
      <c r="C35">
        <v>9.14</v>
      </c>
      <c r="D35">
        <v>-2.7879999999999998</v>
      </c>
      <c r="E35">
        <v>0.58320000000000005</v>
      </c>
      <c r="F35">
        <v>-5.2760000000000001E-2</v>
      </c>
      <c r="G35" s="52" t="s">
        <v>79</v>
      </c>
      <c r="H35" t="s">
        <v>8</v>
      </c>
      <c r="I35">
        <v>74</v>
      </c>
      <c r="L35" s="86">
        <f t="shared" si="0"/>
        <v>3</v>
      </c>
      <c r="M35" s="7">
        <v>1</v>
      </c>
      <c r="N35" s="10">
        <v>2</v>
      </c>
      <c r="O35" s="86">
        <f t="shared" si="1"/>
        <v>-3</v>
      </c>
      <c r="P35" s="7">
        <v>3</v>
      </c>
      <c r="Q35" s="10">
        <v>0</v>
      </c>
    </row>
    <row r="36" spans="1:17" x14ac:dyDescent="0.25">
      <c r="A36" t="s">
        <v>0</v>
      </c>
      <c r="B36">
        <v>18.21</v>
      </c>
      <c r="C36">
        <v>3.2959999999999998</v>
      </c>
      <c r="D36">
        <v>-1.0262</v>
      </c>
      <c r="E36">
        <v>0.20269999999999999</v>
      </c>
      <c r="F36">
        <v>-1.7239999999999998E-2</v>
      </c>
      <c r="G36" s="52" t="s">
        <v>79</v>
      </c>
      <c r="H36" t="s">
        <v>8</v>
      </c>
      <c r="I36">
        <v>29.97</v>
      </c>
      <c r="L36" s="4">
        <f t="shared" si="0"/>
        <v>0</v>
      </c>
      <c r="M36" s="7">
        <f t="shared" ref="M36:N40" si="4">M$41</f>
        <v>2</v>
      </c>
      <c r="N36" s="10">
        <f t="shared" si="4"/>
        <v>1</v>
      </c>
      <c r="O36" s="4">
        <f t="shared" si="1"/>
        <v>0.5</v>
      </c>
      <c r="P36" s="7">
        <v>0</v>
      </c>
      <c r="Q36" s="10">
        <v>1</v>
      </c>
    </row>
    <row r="37" spans="1:17" x14ac:dyDescent="0.25">
      <c r="A37" t="s">
        <v>1</v>
      </c>
      <c r="B37">
        <v>22.986999999999998</v>
      </c>
      <c r="C37">
        <v>4.5769000000000002</v>
      </c>
      <c r="D37">
        <v>-1.2101</v>
      </c>
      <c r="E37">
        <v>0.21540000000000001</v>
      </c>
      <c r="F37">
        <v>-1.686E-2</v>
      </c>
      <c r="G37" s="52" t="s">
        <v>79</v>
      </c>
      <c r="H37" t="s">
        <v>8</v>
      </c>
      <c r="I37">
        <v>0</v>
      </c>
      <c r="L37" s="4">
        <f t="shared" si="0"/>
        <v>0</v>
      </c>
      <c r="M37" s="7">
        <f t="shared" si="4"/>
        <v>2</v>
      </c>
      <c r="N37" s="10">
        <f t="shared" si="4"/>
        <v>1</v>
      </c>
      <c r="O37" s="4">
        <f t="shared" si="1"/>
        <v>1</v>
      </c>
      <c r="P37" s="8">
        <v>0</v>
      </c>
      <c r="Q37" s="11">
        <v>2</v>
      </c>
    </row>
    <row r="38" spans="1:17" x14ac:dyDescent="0.25">
      <c r="A38" t="s">
        <v>59</v>
      </c>
      <c r="B38">
        <v>17.440000000000001</v>
      </c>
      <c r="C38">
        <v>2.9350000000000001</v>
      </c>
      <c r="D38">
        <v>-0.70799999999999996</v>
      </c>
      <c r="E38">
        <v>7.9000000000000001E-2</v>
      </c>
      <c r="G38" s="52" t="s">
        <v>78</v>
      </c>
      <c r="H38" t="s">
        <v>117</v>
      </c>
      <c r="I38" s="44">
        <v>12.88</v>
      </c>
      <c r="J38" s="44"/>
      <c r="K38" s="44"/>
      <c r="L38" s="86">
        <f t="shared" si="0"/>
        <v>0.5</v>
      </c>
      <c r="M38" s="7">
        <f t="shared" si="4"/>
        <v>2</v>
      </c>
      <c r="N38" s="10">
        <f t="shared" si="4"/>
        <v>1</v>
      </c>
      <c r="O38" s="86">
        <f t="shared" si="1"/>
        <v>-0.25</v>
      </c>
      <c r="P38" s="7">
        <v>1</v>
      </c>
      <c r="Q38" s="10">
        <v>0</v>
      </c>
    </row>
    <row r="39" spans="1:17" x14ac:dyDescent="0.25">
      <c r="A39" t="s">
        <v>60</v>
      </c>
      <c r="B39">
        <v>25.75</v>
      </c>
      <c r="C39">
        <v>4.9320000000000004</v>
      </c>
      <c r="D39">
        <v>-1.06</v>
      </c>
      <c r="E39">
        <v>0.106</v>
      </c>
      <c r="G39" s="52" t="s">
        <v>78</v>
      </c>
      <c r="H39" t="s">
        <v>63</v>
      </c>
      <c r="I39" s="44">
        <v>12.58</v>
      </c>
      <c r="J39" s="44"/>
      <c r="K39" s="44"/>
      <c r="L39" s="86">
        <f t="shared" si="0"/>
        <v>0.5</v>
      </c>
      <c r="M39" s="7">
        <f t="shared" si="4"/>
        <v>2</v>
      </c>
      <c r="N39" s="10">
        <f t="shared" si="4"/>
        <v>1</v>
      </c>
      <c r="O39" s="86">
        <f t="shared" si="1"/>
        <v>0.25</v>
      </c>
      <c r="P39" s="7">
        <v>1</v>
      </c>
      <c r="Q39" s="10">
        <v>1</v>
      </c>
    </row>
    <row r="40" spans="1:17" x14ac:dyDescent="0.25">
      <c r="A40" t="s">
        <v>61</v>
      </c>
      <c r="B40">
        <v>25.93</v>
      </c>
      <c r="C40">
        <v>5.1109999999999998</v>
      </c>
      <c r="D40">
        <v>-1.101</v>
      </c>
      <c r="E40">
        <v>0.10299999999999999</v>
      </c>
      <c r="G40" s="52" t="s">
        <v>78</v>
      </c>
      <c r="H40" t="s">
        <v>69</v>
      </c>
      <c r="I40" s="44">
        <v>17.170000000000002</v>
      </c>
      <c r="J40" s="44"/>
      <c r="K40" s="44"/>
      <c r="L40" s="86">
        <f t="shared" si="0"/>
        <v>1</v>
      </c>
      <c r="M40" s="7">
        <f t="shared" si="4"/>
        <v>2</v>
      </c>
      <c r="N40" s="10">
        <f t="shared" si="4"/>
        <v>1</v>
      </c>
      <c r="O40" s="86">
        <f t="shared" si="1"/>
        <v>-0.5</v>
      </c>
      <c r="P40" s="7">
        <v>2</v>
      </c>
      <c r="Q40" s="10">
        <v>0</v>
      </c>
    </row>
    <row r="41" spans="1:17" x14ac:dyDescent="0.25">
      <c r="A41" s="48" t="s">
        <v>75</v>
      </c>
      <c r="B41" s="141">
        <v>4.82</v>
      </c>
      <c r="C41" s="141">
        <v>19.292000000000002</v>
      </c>
      <c r="D41" s="141">
        <v>-5.2670000000000003</v>
      </c>
      <c r="E41" s="141">
        <v>0.623</v>
      </c>
      <c r="F41" s="3"/>
      <c r="G41" s="52" t="s">
        <v>78</v>
      </c>
      <c r="H41" s="115" t="s">
        <v>118</v>
      </c>
      <c r="I41" s="45">
        <v>-50.17</v>
      </c>
      <c r="J41" s="45"/>
      <c r="K41" s="45"/>
      <c r="L41" s="88">
        <f t="shared" si="0"/>
        <v>1</v>
      </c>
      <c r="M41" s="13">
        <v>2</v>
      </c>
      <c r="N41" s="14">
        <v>1</v>
      </c>
      <c r="O41" s="88">
        <f t="shared" si="1"/>
        <v>0</v>
      </c>
      <c r="P41" s="13">
        <v>2</v>
      </c>
      <c r="Q41" s="14">
        <v>1</v>
      </c>
    </row>
    <row r="42" spans="1:17" x14ac:dyDescent="0.25">
      <c r="A42" t="s">
        <v>62</v>
      </c>
      <c r="B42">
        <v>28.65</v>
      </c>
      <c r="C42">
        <v>7.8010000000000002</v>
      </c>
      <c r="D42">
        <v>-1.673</v>
      </c>
      <c r="E42">
        <v>0.16800000000000001</v>
      </c>
      <c r="G42" s="52" t="s">
        <v>78</v>
      </c>
      <c r="H42" s="114" t="s">
        <v>63</v>
      </c>
      <c r="I42" s="44">
        <v>-3.82</v>
      </c>
      <c r="J42" s="44"/>
      <c r="K42" s="44"/>
      <c r="L42" s="86">
        <f t="shared" si="0"/>
        <v>1</v>
      </c>
      <c r="M42" s="7">
        <f>M$41</f>
        <v>2</v>
      </c>
      <c r="N42" s="10">
        <f>N$41</f>
        <v>1</v>
      </c>
      <c r="O42" s="86">
        <f t="shared" si="1"/>
        <v>0</v>
      </c>
      <c r="P42" s="7">
        <v>2</v>
      </c>
      <c r="Q42" s="10">
        <v>1</v>
      </c>
    </row>
    <row r="43" spans="1:17" x14ac:dyDescent="0.25">
      <c r="A43" t="s">
        <v>0</v>
      </c>
      <c r="B43">
        <v>18.21</v>
      </c>
      <c r="C43">
        <v>3.2959999999999998</v>
      </c>
      <c r="D43">
        <v>-1.0262</v>
      </c>
      <c r="E43">
        <v>0.20269999999999999</v>
      </c>
      <c r="F43">
        <v>-1.7239999999999998E-2</v>
      </c>
      <c r="G43" s="52" t="s">
        <v>78</v>
      </c>
      <c r="H43" t="s">
        <v>8</v>
      </c>
      <c r="I43">
        <v>29.97</v>
      </c>
      <c r="K43" s="44"/>
      <c r="L43" s="4">
        <f t="shared" si="0"/>
        <v>0</v>
      </c>
      <c r="M43" s="7">
        <f t="shared" ref="M43:N48" si="5">M$49</f>
        <v>2</v>
      </c>
      <c r="N43" s="10">
        <f t="shared" si="5"/>
        <v>1</v>
      </c>
      <c r="O43" s="4">
        <f t="shared" si="1"/>
        <v>0.5</v>
      </c>
      <c r="P43" s="7">
        <v>0</v>
      </c>
      <c r="Q43" s="10">
        <v>1</v>
      </c>
    </row>
    <row r="44" spans="1:17" x14ac:dyDescent="0.25">
      <c r="A44" t="s">
        <v>1</v>
      </c>
      <c r="B44">
        <v>22.986999999999998</v>
      </c>
      <c r="C44">
        <v>4.5769000000000002</v>
      </c>
      <c r="D44">
        <v>-1.2101</v>
      </c>
      <c r="E44">
        <v>0.21540000000000001</v>
      </c>
      <c r="F44">
        <v>-1.686E-2</v>
      </c>
      <c r="G44" s="52" t="s">
        <v>78</v>
      </c>
      <c r="H44" t="s">
        <v>8</v>
      </c>
      <c r="I44">
        <v>0</v>
      </c>
      <c r="K44" s="44"/>
      <c r="L44" s="4">
        <f t="shared" si="0"/>
        <v>0</v>
      </c>
      <c r="M44" s="7">
        <f t="shared" si="5"/>
        <v>2</v>
      </c>
      <c r="N44" s="10">
        <f t="shared" si="5"/>
        <v>1</v>
      </c>
      <c r="O44" s="4">
        <f t="shared" si="1"/>
        <v>1</v>
      </c>
      <c r="P44" s="8">
        <v>0</v>
      </c>
      <c r="Q44" s="11">
        <v>2</v>
      </c>
    </row>
    <row r="45" spans="1:17" x14ac:dyDescent="0.25">
      <c r="A45" t="s">
        <v>64</v>
      </c>
      <c r="B45">
        <v>18.43</v>
      </c>
      <c r="C45">
        <v>2.6240000000000001</v>
      </c>
      <c r="D45">
        <v>-0.55300000000000005</v>
      </c>
      <c r="E45">
        <v>5.3999999999999999E-2</v>
      </c>
      <c r="G45" s="52" t="s">
        <v>78</v>
      </c>
      <c r="H45" t="s">
        <v>69</v>
      </c>
      <c r="I45" s="44">
        <v>10.73</v>
      </c>
      <c r="J45" s="44"/>
      <c r="K45" s="44"/>
      <c r="L45" s="86">
        <f t="shared" si="0"/>
        <v>0.5</v>
      </c>
      <c r="M45" s="7">
        <f t="shared" si="5"/>
        <v>2</v>
      </c>
      <c r="N45" s="10">
        <f t="shared" si="5"/>
        <v>1</v>
      </c>
      <c r="O45" s="86">
        <f t="shared" si="1"/>
        <v>-0.25</v>
      </c>
      <c r="P45" s="7">
        <v>1</v>
      </c>
      <c r="Q45" s="10">
        <v>0</v>
      </c>
    </row>
    <row r="46" spans="1:17" x14ac:dyDescent="0.25">
      <c r="A46" t="s">
        <v>65</v>
      </c>
      <c r="B46">
        <v>27.11</v>
      </c>
      <c r="C46">
        <v>4.8460000000000001</v>
      </c>
      <c r="D46">
        <v>-1.0269999999999999</v>
      </c>
      <c r="E46">
        <v>0.1</v>
      </c>
      <c r="G46" s="52" t="s">
        <v>78</v>
      </c>
      <c r="H46" t="s">
        <v>8</v>
      </c>
      <c r="I46" s="44">
        <v>7.2</v>
      </c>
      <c r="J46" s="44"/>
      <c r="K46" s="44"/>
      <c r="L46" s="86">
        <f t="shared" si="0"/>
        <v>0.5</v>
      </c>
      <c r="M46" s="7">
        <f t="shared" si="5"/>
        <v>2</v>
      </c>
      <c r="N46" s="10">
        <f t="shared" si="5"/>
        <v>1</v>
      </c>
      <c r="O46" s="86">
        <f t="shared" si="1"/>
        <v>0.25</v>
      </c>
      <c r="P46" s="7">
        <v>1</v>
      </c>
      <c r="Q46" s="10">
        <v>1</v>
      </c>
    </row>
    <row r="47" spans="1:17" x14ac:dyDescent="0.25">
      <c r="A47" t="s">
        <v>66</v>
      </c>
      <c r="B47">
        <v>29.4</v>
      </c>
      <c r="C47">
        <v>6.9370000000000003</v>
      </c>
      <c r="D47">
        <v>-1.4530000000000001</v>
      </c>
      <c r="E47">
        <v>0.14399999999999999</v>
      </c>
      <c r="G47" s="52" t="s">
        <v>78</v>
      </c>
      <c r="H47" t="s">
        <v>63</v>
      </c>
      <c r="I47" s="44">
        <v>0.6</v>
      </c>
      <c r="J47" s="44"/>
      <c r="K47" s="44"/>
      <c r="L47" s="86">
        <f t="shared" si="0"/>
        <v>1</v>
      </c>
      <c r="M47" s="7">
        <f t="shared" si="5"/>
        <v>2</v>
      </c>
      <c r="N47" s="10">
        <f t="shared" si="5"/>
        <v>1</v>
      </c>
      <c r="O47" s="86">
        <f t="shared" si="1"/>
        <v>-0.5</v>
      </c>
      <c r="P47" s="7">
        <v>2</v>
      </c>
      <c r="Q47" s="10">
        <v>0</v>
      </c>
    </row>
    <row r="48" spans="1:17" x14ac:dyDescent="0.25">
      <c r="A48" t="s">
        <v>67</v>
      </c>
      <c r="B48">
        <v>28.29</v>
      </c>
      <c r="C48">
        <v>5.2469999999999999</v>
      </c>
      <c r="D48">
        <v>-1.2470000000000001</v>
      </c>
      <c r="E48">
        <v>0.127</v>
      </c>
      <c r="G48" s="52" t="s">
        <v>78</v>
      </c>
      <c r="H48" t="s">
        <v>69</v>
      </c>
      <c r="I48" s="44">
        <v>15.3</v>
      </c>
      <c r="J48" s="44"/>
      <c r="K48" s="44"/>
      <c r="L48" s="86">
        <f t="shared" si="0"/>
        <v>1</v>
      </c>
      <c r="M48" s="7">
        <f t="shared" si="5"/>
        <v>2</v>
      </c>
      <c r="N48" s="10">
        <f t="shared" si="5"/>
        <v>1</v>
      </c>
      <c r="O48" s="86">
        <f t="shared" si="1"/>
        <v>-0.5</v>
      </c>
      <c r="P48" s="7">
        <v>2</v>
      </c>
      <c r="Q48" s="10">
        <v>0</v>
      </c>
    </row>
    <row r="49" spans="1:17" x14ac:dyDescent="0.25">
      <c r="A49" s="48" t="s">
        <v>74</v>
      </c>
      <c r="B49" s="141">
        <v>0.8</v>
      </c>
      <c r="C49" s="141">
        <v>18.888999999999999</v>
      </c>
      <c r="D49" s="141">
        <v>-4.532</v>
      </c>
      <c r="E49" s="48">
        <v>0.46700000000000003</v>
      </c>
      <c r="F49" s="3"/>
      <c r="G49" s="52" t="s">
        <v>78</v>
      </c>
      <c r="H49" s="115" t="s">
        <v>119</v>
      </c>
      <c r="I49" s="45">
        <v>-43.58</v>
      </c>
      <c r="J49" s="45"/>
      <c r="K49" s="45"/>
      <c r="L49" s="88">
        <f t="shared" si="0"/>
        <v>1</v>
      </c>
      <c r="M49" s="13">
        <v>2</v>
      </c>
      <c r="N49" s="14">
        <v>1</v>
      </c>
      <c r="O49" s="88">
        <f>(M49*Q49-N49*P49)/2/M49</f>
        <v>0</v>
      </c>
      <c r="P49" s="13">
        <v>2</v>
      </c>
      <c r="Q49" s="14">
        <v>1</v>
      </c>
    </row>
    <row r="50" spans="1:17" x14ac:dyDescent="0.25">
      <c r="A50" t="s">
        <v>68</v>
      </c>
      <c r="B50" s="114">
        <v>31.83</v>
      </c>
      <c r="C50">
        <v>7.1120000000000001</v>
      </c>
      <c r="D50">
        <v>-1.4650000000000001</v>
      </c>
      <c r="E50">
        <v>0.14099999999999999</v>
      </c>
      <c r="G50" s="52" t="s">
        <v>78</v>
      </c>
      <c r="H50" t="s">
        <v>69</v>
      </c>
      <c r="I50" s="44">
        <v>-7.05</v>
      </c>
      <c r="J50" s="44"/>
      <c r="K50" s="44"/>
      <c r="L50" s="86">
        <f t="shared" si="0"/>
        <v>1</v>
      </c>
      <c r="M50" s="7">
        <f>M$49</f>
        <v>2</v>
      </c>
      <c r="N50" s="10">
        <f>N$49</f>
        <v>1</v>
      </c>
      <c r="O50" s="86">
        <f t="shared" si="1"/>
        <v>0</v>
      </c>
      <c r="P50" s="7">
        <v>2</v>
      </c>
      <c r="Q50" s="10">
        <v>1</v>
      </c>
    </row>
    <row r="51" spans="1:17" x14ac:dyDescent="0.25">
      <c r="L51" s="126"/>
      <c r="O51" s="126"/>
    </row>
    <row r="52" spans="1:17" x14ac:dyDescent="0.25">
      <c r="L52" s="126"/>
      <c r="O52" s="126"/>
    </row>
    <row r="53" spans="1:17" x14ac:dyDescent="0.25">
      <c r="A53" t="s">
        <v>133</v>
      </c>
      <c r="B53" s="137">
        <v>20.83</v>
      </c>
      <c r="C53" s="258">
        <v>3.0358999999999998</v>
      </c>
      <c r="D53" s="258">
        <v>-0.70772000000000002</v>
      </c>
      <c r="E53" s="258">
        <v>9.7339999999999996E-2</v>
      </c>
      <c r="F53" s="260">
        <v>-5.3041E-3</v>
      </c>
      <c r="G53" s="145" t="s">
        <v>129</v>
      </c>
      <c r="H53" s="114" t="s">
        <v>128</v>
      </c>
      <c r="I53" s="137">
        <v>49.969675621956434</v>
      </c>
      <c r="L53" s="126">
        <f>P53/M53</f>
        <v>1</v>
      </c>
      <c r="M53" s="114">
        <f>M54</f>
        <v>1</v>
      </c>
      <c r="N53" s="114">
        <f>N54</f>
        <v>1</v>
      </c>
      <c r="O53" s="126">
        <f>(M53*Q53-N53*P53)/2/M53</f>
        <v>-0.5</v>
      </c>
      <c r="P53">
        <v>1</v>
      </c>
      <c r="Q53">
        <v>0</v>
      </c>
    </row>
    <row r="54" spans="1:17" ht="17.25" customHeight="1" x14ac:dyDescent="0.25">
      <c r="A54" t="s">
        <v>126</v>
      </c>
      <c r="B54" s="137">
        <v>27.61</v>
      </c>
      <c r="C54" s="258">
        <v>4.3819999999999997</v>
      </c>
      <c r="D54" s="258">
        <v>-0.93659999999999999</v>
      </c>
      <c r="E54" s="258">
        <v>0.12089999999999999</v>
      </c>
      <c r="F54" s="260">
        <v>-6.3720000000000001E-3</v>
      </c>
      <c r="G54" s="145" t="s">
        <v>129</v>
      </c>
      <c r="H54" t="s">
        <v>128</v>
      </c>
      <c r="I54" s="137">
        <v>30.193172009925945</v>
      </c>
      <c r="L54" s="126">
        <f t="shared" ref="L54:L55" si="6">P54/M54</f>
        <v>1</v>
      </c>
      <c r="M54">
        <f>M55</f>
        <v>1</v>
      </c>
      <c r="N54">
        <f>N55</f>
        <v>1</v>
      </c>
      <c r="O54" s="126">
        <f t="shared" ref="O54:O55" si="7">(M54*Q54-N54*P54)/2/M54</f>
        <v>0</v>
      </c>
      <c r="P54">
        <v>1</v>
      </c>
      <c r="Q54">
        <v>1</v>
      </c>
    </row>
    <row r="55" spans="1:17" s="115" customFormat="1" ht="14.25" customHeight="1" x14ac:dyDescent="0.25">
      <c r="A55" s="115" t="s">
        <v>127</v>
      </c>
      <c r="B55" s="138">
        <v>6.72</v>
      </c>
      <c r="C55" s="259">
        <v>6.5880000000000001</v>
      </c>
      <c r="D55" s="259">
        <v>-1.248</v>
      </c>
      <c r="E55" s="259">
        <v>0.14960000000000001</v>
      </c>
      <c r="F55" s="261">
        <v>-7.6969999999999998E-3</v>
      </c>
      <c r="G55" s="257" t="s">
        <v>129</v>
      </c>
      <c r="H55" s="115" t="s">
        <v>130</v>
      </c>
      <c r="I55" s="138">
        <v>-30.011801298521519</v>
      </c>
      <c r="L55" s="88">
        <f t="shared" si="6"/>
        <v>1</v>
      </c>
      <c r="M55" s="115">
        <v>1</v>
      </c>
      <c r="N55" s="115">
        <v>1</v>
      </c>
      <c r="O55" s="88">
        <f t="shared" si="7"/>
        <v>0</v>
      </c>
      <c r="P55" s="115">
        <v>1</v>
      </c>
      <c r="Q55" s="115">
        <v>1</v>
      </c>
    </row>
  </sheetData>
  <mergeCells count="1">
    <mergeCell ref="B4:C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7"/>
  <sheetViews>
    <sheetView workbookViewId="0">
      <selection activeCell="F5" sqref="F5"/>
    </sheetView>
  </sheetViews>
  <sheetFormatPr baseColWidth="10" defaultColWidth="12.5703125" defaultRowHeight="12.75" x14ac:dyDescent="0.2"/>
  <cols>
    <col min="1" max="2" width="12.5703125" style="104" customWidth="1"/>
    <col min="3" max="3" width="15.28515625" style="104" customWidth="1"/>
    <col min="4" max="4" width="16" style="104" customWidth="1"/>
    <col min="5" max="6" width="12.5703125" style="104" customWidth="1"/>
    <col min="7" max="7" width="14.5703125" style="104" bestFit="1" customWidth="1"/>
    <col min="8" max="8" width="13.7109375" style="104" bestFit="1" customWidth="1"/>
    <col min="9" max="9" width="14.28515625" style="104" bestFit="1" customWidth="1"/>
    <col min="10" max="16384" width="12.5703125" style="104"/>
  </cols>
  <sheetData>
    <row r="1" spans="2:7" x14ac:dyDescent="0.2">
      <c r="D1" s="279" t="s">
        <v>80</v>
      </c>
      <c r="E1" s="279"/>
      <c r="F1" s="279" t="s">
        <v>81</v>
      </c>
      <c r="G1" s="279"/>
    </row>
    <row r="2" spans="2:7" x14ac:dyDescent="0.2">
      <c r="D2" s="104" t="s">
        <v>23</v>
      </c>
      <c r="E2" s="104" t="s">
        <v>22</v>
      </c>
      <c r="F2" s="104" t="s">
        <v>23</v>
      </c>
      <c r="G2" s="104" t="s">
        <v>22</v>
      </c>
    </row>
    <row r="3" spans="2:7" x14ac:dyDescent="0.2">
      <c r="B3" s="105" t="s">
        <v>102</v>
      </c>
      <c r="C3" s="105"/>
      <c r="D3" s="109">
        <f>T_min</f>
        <v>1500</v>
      </c>
      <c r="E3" s="109">
        <f>T_max</f>
        <v>2500</v>
      </c>
      <c r="F3" s="105"/>
      <c r="G3" s="105"/>
    </row>
    <row r="4" spans="2:7" x14ac:dyDescent="0.2">
      <c r="B4" s="104" t="s">
        <v>82</v>
      </c>
      <c r="D4" s="104">
        <f>IF(D$3&lt;1042,(-605568+1366.42*D$3-182.795*D$3*LN(D$3)+0.10359*D$3*D$3),IF(D$3&lt;1184,(-519113+59.129*D$3+8.9276*D$3*LN(D$3)),(-550915+269.106*D$3-16.9484*D$3*LN(D$3))))</f>
        <v>-333177.07661284192</v>
      </c>
      <c r="E4" s="104">
        <f>IF(E$3&lt;1042,(-605568+1366.42*E$3-182.795*E$3*LN(E$3)+0.10359*E$3*E$3),IF(E$3&lt;1184,(-519113+59.129*E$3+8.9276*E$3*LN(E$3)),(-550915+269.106*E$3-16.9484*E$3*LN(E$3))))</f>
        <v>-209662.65352599195</v>
      </c>
      <c r="F4" s="104">
        <f>D4/(8.31441*D$3*LN(10))</f>
        <v>-11.602103325801364</v>
      </c>
      <c r="G4" s="104">
        <f t="shared" ref="G4:G23" si="0">E4/(8.31441*E$3*LN(10))</f>
        <v>-4.380603481787964</v>
      </c>
    </row>
    <row r="5" spans="2:7" x14ac:dyDescent="0.2">
      <c r="B5" s="104" t="s">
        <v>83</v>
      </c>
      <c r="D5" s="104">
        <f>-581927-65.618*D$3+38.741*D$3*LN(D$3)</f>
        <v>-255371.79347560194</v>
      </c>
      <c r="E5" s="104">
        <f>-581927-65.618*E$3+38.741*E$3*LN(E$3)</f>
        <v>11806.41626645904</v>
      </c>
      <c r="F5" s="104">
        <f t="shared" ref="F5:F23" si="1">D5/(8.31441*D$3*LN(10))</f>
        <v>-8.892718444258481</v>
      </c>
      <c r="G5" s="104">
        <f t="shared" si="0"/>
        <v>0.24667830600492172</v>
      </c>
    </row>
    <row r="6" spans="2:7" x14ac:dyDescent="0.2">
      <c r="B6" s="104" t="s">
        <v>84</v>
      </c>
      <c r="D6" s="104">
        <f>IF(D$3&lt;848,0.5*(-1215345+2121.987*D$3-264.7817*D$3*LN(D$3)+0.13314*D$3*D$3),IF(D$3&lt;1042,0.5*(-1354650+4245.621*D$3-577.5478*D$3*LN(D$3)+0.309515*D$3*D$3),IF(D$3&lt;1184,0.5*(-1079617+220.694*D$3+10.0979*D$3*LN(D$3)),0.5*(-1116959+465.536*D$3-20.0438*D$3*LN(D$3)))))</f>
        <v>-319266.04509607045</v>
      </c>
      <c r="E6" s="104">
        <f>IF(E$3&lt;848,0.5*(-1215345+2121.987*E$3-264.7817*E$3*LN(E$3)+0.13314*E$3*E$3),IF(E$3&lt;1042,0.5*(-1354650+4245.621*E$3-577.5478*E$3*LN(E$3)+0.309515*E$3*E$3),IF(E$3&lt;1184,0.5*(-1079617+220.694*E$3+10.0979*E$3*LN(E$3)),0.5*(-1116959+465.536*E$3-20.0438*E$3*LN(E$3)))))</f>
        <v>-172589.01679050169</v>
      </c>
      <c r="F6" s="104">
        <f t="shared" si="1"/>
        <v>-11.117684569664643</v>
      </c>
      <c r="G6" s="104">
        <f t="shared" si="0"/>
        <v>-3.6060024766266063</v>
      </c>
    </row>
    <row r="7" spans="2:7" x14ac:dyDescent="0.2">
      <c r="B7" s="104" t="s">
        <v>85</v>
      </c>
      <c r="D7" s="104">
        <f>IF(D$3&lt;1042,(-542941-33.182*D$3+22.446*D$3*LN(D$3)),IF(D$3&lt;1184,(-562377+103.384*D$3+5.4771*D$3*LN(D$3)),(-602739+369.704*D$3-27.3443*D$3*LN(D$3))))</f>
        <v>-348145.33834607003</v>
      </c>
      <c r="E7" s="104">
        <f>IF(E$3&lt;1042,(-542941-33.182*E$3+22.446*E$3*LN(E$3)),IF(E$3&lt;1184,(-562377+103.384*E$3+5.4771*E$3*LN(E$3)),(-602739+369.704*E$3-27.3443*E$3*LN(E$3))))</f>
        <v>-213336.65333664429</v>
      </c>
      <c r="F7" s="104">
        <f t="shared" si="1"/>
        <v>-12.123337622596493</v>
      </c>
      <c r="G7" s="104">
        <f t="shared" si="0"/>
        <v>-4.4573664917564351</v>
      </c>
    </row>
    <row r="8" spans="2:7" x14ac:dyDescent="0.2">
      <c r="B8" s="104" t="s">
        <v>86</v>
      </c>
      <c r="D8" s="104">
        <f>-587474+1584.427*D$3-203.3164*D$3*LN(D$3)+0.09271*D$3*D$3</f>
        <v>-232582.46226470964</v>
      </c>
      <c r="E8" s="104">
        <f>-587474+1584.427*E$3-203.3164*E$3*LN(E$3)+0.09271*E$3*E$3</f>
        <v>-23861.170904154889</v>
      </c>
      <c r="F8" s="104">
        <f t="shared" si="1"/>
        <v>-8.0991339092037933</v>
      </c>
      <c r="G8" s="104">
        <f t="shared" si="0"/>
        <v>-0.49854528970425532</v>
      </c>
    </row>
    <row r="9" spans="2:7" x14ac:dyDescent="0.2">
      <c r="B9" s="104" t="s">
        <v>87</v>
      </c>
      <c r="D9" s="104">
        <f>IF(D$3&lt;1394,-492186+509.322*D$3-53.284*D$3*LN(D$3)+0.02518*D$3*D$3,-484276+235.092*D$3-11.344*D$3*LN(D$3))</f>
        <v>-256079.75810672855</v>
      </c>
      <c r="E9" s="104">
        <f>IF(E$3&lt;1394,-492186+509.322*E$3-53.284*E$3*LN(E$3)+0.02518*E$3*E$3,-484276+235.092*E$3-11.344*E$3*LN(E$3))</f>
        <v>-118435.94486788445</v>
      </c>
      <c r="F9" s="104">
        <f t="shared" si="1"/>
        <v>-8.9173716373438161</v>
      </c>
      <c r="G9" s="104">
        <f t="shared" si="0"/>
        <v>-2.4745509213579782</v>
      </c>
    </row>
    <row r="10" spans="2:7" x14ac:dyDescent="0.2">
      <c r="B10" s="104" t="s">
        <v>88</v>
      </c>
      <c r="D10" s="104">
        <f>-478967+248.514*D$3-9.7961*D$3*LN(D$3)</f>
        <v>-213657.55735096295</v>
      </c>
      <c r="E10" s="104">
        <f>-478967+248.514*E$3-9.7961*E$3*LN(E$3)</f>
        <v>-49294.842817373283</v>
      </c>
      <c r="F10" s="104">
        <f t="shared" si="1"/>
        <v>-7.4401188758994525</v>
      </c>
      <c r="G10" s="104">
        <f t="shared" si="0"/>
        <v>-1.029945755471446</v>
      </c>
    </row>
    <row r="11" spans="2:7" x14ac:dyDescent="0.2">
      <c r="B11" s="104" t="s">
        <v>89</v>
      </c>
      <c r="D11" s="104">
        <f>-516690+362.97*D$3-22.297*D$3*LN(D$3)</f>
        <v>-216829.31245642868</v>
      </c>
      <c r="E11" s="104">
        <f>-516690+362.97*E$3-22.297*E$3*LN(E$3)</f>
        <v>-45396.88476015674</v>
      </c>
      <c r="F11" s="104">
        <f t="shared" si="1"/>
        <v>-7.5505677424056934</v>
      </c>
      <c r="G11" s="104">
        <f t="shared" si="0"/>
        <v>-0.9485034559004859</v>
      </c>
    </row>
    <row r="12" spans="2:7" x14ac:dyDescent="0.2">
      <c r="B12" s="104" t="s">
        <v>90</v>
      </c>
      <c r="D12" s="104">
        <f>-347705+246.096*D$3-12.9053*D$3*LN(D$3)</f>
        <v>-120129.95459227471</v>
      </c>
      <c r="E12" s="104">
        <f>-347705+246.096*E$3-12.9053*E$3*LN(E$3)</f>
        <v>15105.847540240735</v>
      </c>
      <c r="F12" s="104">
        <f t="shared" si="1"/>
        <v>-4.1832414158641926</v>
      </c>
      <c r="G12" s="104">
        <f t="shared" si="0"/>
        <v>0.31561523818038129</v>
      </c>
    </row>
    <row r="13" spans="2:7" x14ac:dyDescent="0.2">
      <c r="B13" s="104" t="s">
        <v>91</v>
      </c>
      <c r="D13" s="104">
        <f>-491141+122.815*D$3+3.5527*D$3*LN(D$3)</f>
        <v>-267945.9828961764</v>
      </c>
      <c r="E13" s="104">
        <f>-491141+122.815*E$3+3.5527*E$3*LN(E$3)</f>
        <v>-114612.27934307713</v>
      </c>
      <c r="F13" s="104">
        <f t="shared" si="1"/>
        <v>-9.3305848376455245</v>
      </c>
      <c r="G13" s="104">
        <f t="shared" si="0"/>
        <v>-2.3946608587766276</v>
      </c>
    </row>
    <row r="14" spans="2:7" x14ac:dyDescent="0.2">
      <c r="B14" s="104" t="s">
        <v>92</v>
      </c>
      <c r="D14" s="104">
        <f>-596087+300.479*D$3-15.9697*D$3*LN(D$3)</f>
        <v>-320553.40342357394</v>
      </c>
      <c r="E14" s="104">
        <f>-596087+300.479*E$3-15.9697*E$3*LN(E$3)</f>
        <v>-157258.66894892929</v>
      </c>
      <c r="F14" s="104">
        <f t="shared" si="1"/>
        <v>-11.162513777258605</v>
      </c>
      <c r="G14" s="104">
        <f t="shared" si="0"/>
        <v>-3.2856966233789402</v>
      </c>
    </row>
    <row r="15" spans="2:7" x14ac:dyDescent="0.2">
      <c r="B15" s="104" t="s">
        <v>93</v>
      </c>
      <c r="D15" s="104">
        <f>IF(D$3&lt;1100,-514690+297.53*D$3,-501348+285.4*D$3)</f>
        <v>-73248.000000000058</v>
      </c>
      <c r="E15" s="104">
        <f>IF(E$3&lt;1100,-514690+297.53*E$3,-501348+285.4*E$3)</f>
        <v>212152</v>
      </c>
      <c r="F15" s="104">
        <f t="shared" si="1"/>
        <v>-2.550688279781681</v>
      </c>
      <c r="G15" s="104">
        <f t="shared" si="0"/>
        <v>4.4326148421710583</v>
      </c>
    </row>
    <row r="16" spans="2:7" x14ac:dyDescent="0.2">
      <c r="B16" s="104" t="s">
        <v>94</v>
      </c>
      <c r="D16" s="104">
        <f>-451020+297.595*D$3-14.6585*D$3*LN(D$3)</f>
        <v>-165428.76156624471</v>
      </c>
      <c r="E16" s="104">
        <f>-451020+297.595*E$3-14.6585*E$3*LN(E$3)</f>
        <v>6245.5538746577222</v>
      </c>
      <c r="F16" s="104">
        <f t="shared" si="1"/>
        <v>-5.7606651822004453</v>
      </c>
      <c r="G16" s="104">
        <f t="shared" si="0"/>
        <v>0.13049198123226169</v>
      </c>
    </row>
    <row r="17" spans="2:18" x14ac:dyDescent="0.2">
      <c r="B17" s="104" t="s">
        <v>95</v>
      </c>
      <c r="D17" s="104">
        <f>-563241+1761.758*D$3-220.49*D$3*LN(D$3)+0.101819*D$3*D$3</f>
        <v>-110249.19472431066</v>
      </c>
      <c r="E17" s="104">
        <f>-563241+1761.758*E$3-220.49*E$3*LN(E$3)+0.101819*E$3*E$3</f>
        <v>164712.98766574077</v>
      </c>
      <c r="F17" s="104">
        <f t="shared" si="1"/>
        <v>-3.8391673334243568</v>
      </c>
      <c r="G17" s="104">
        <f t="shared" si="0"/>
        <v>3.4414440298724545</v>
      </c>
    </row>
    <row r="18" spans="2:18" x14ac:dyDescent="0.2">
      <c r="B18" s="104" t="s">
        <v>96</v>
      </c>
      <c r="D18" s="104">
        <f>-603268+337.46*D$3-20.6892*D$3*LN(D$3)</f>
        <v>-324035.01884888305</v>
      </c>
      <c r="E18" s="104">
        <f>-603268+337.46*E$3-20.6892*E$3*LN(E$3)</f>
        <v>-164301.13181951997</v>
      </c>
      <c r="F18" s="104">
        <f t="shared" si="1"/>
        <v>-11.283752796208516</v>
      </c>
      <c r="G18" s="104">
        <f t="shared" si="0"/>
        <v>-3.4328388866883541</v>
      </c>
    </row>
    <row r="19" spans="2:18" x14ac:dyDescent="0.2">
      <c r="B19" s="104" t="s">
        <v>97</v>
      </c>
      <c r="D19" s="104">
        <f>-324563+344.151*D$3-22.1155*D$3*LN(D$3)</f>
        <v>-50939.788206043333</v>
      </c>
      <c r="E19" s="104">
        <f>-324563+344.151*E$3-22.1155*E$3*LN(E$3)</f>
        <v>103232.77611726918</v>
      </c>
      <c r="F19" s="104">
        <f t="shared" si="1"/>
        <v>-1.7738575899917504</v>
      </c>
      <c r="G19" s="104">
        <f t="shared" si="0"/>
        <v>2.1569022946563283</v>
      </c>
    </row>
    <row r="20" spans="2:18" x14ac:dyDescent="0.2">
      <c r="B20" s="104" t="s">
        <v>98</v>
      </c>
      <c r="D20" s="104">
        <f>IF(D$3&lt;1100,-213150+176.45*D$3,-160250+129.78*D$3)</f>
        <v>34420</v>
      </c>
      <c r="E20" s="104">
        <f>IF(E$3&lt;1100,-213150+176.45*E$3,-160250+129.78*E$3)</f>
        <v>164200</v>
      </c>
      <c r="F20" s="104">
        <f t="shared" si="1"/>
        <v>1.1985950550197328</v>
      </c>
      <c r="G20" s="104">
        <f t="shared" si="0"/>
        <v>3.4307258808990149</v>
      </c>
    </row>
    <row r="21" spans="2:18" x14ac:dyDescent="0.2">
      <c r="B21" s="104" t="s">
        <v>99</v>
      </c>
      <c r="D21" s="104">
        <f>-292245+377.012*D$3-23.1976*D$3*LN(D$3)</f>
        <v>18799.258122651023</v>
      </c>
      <c r="E21" s="104">
        <f>-292245+377.012*E$3-23.1976*E$3*LN(E$3)</f>
        <v>196537.27564640023</v>
      </c>
      <c r="F21" s="104">
        <f t="shared" si="1"/>
        <v>0.65463968111124526</v>
      </c>
      <c r="G21" s="104">
        <f t="shared" si="0"/>
        <v>4.1063673454414671</v>
      </c>
    </row>
    <row r="22" spans="2:18" x14ac:dyDescent="0.2">
      <c r="B22" s="104" t="s">
        <v>100</v>
      </c>
      <c r="D22" s="104">
        <f>-300399+307.639*D$3-17.4819*D$3*LN(D$3)</f>
        <v>-30713.981227610901</v>
      </c>
      <c r="E22" s="104">
        <f>-300399+307.639*E$3-17.4819*E$3*LN(E$3)</f>
        <v>126750.52510702849</v>
      </c>
      <c r="F22" s="104">
        <f t="shared" si="1"/>
        <v>-1.0695417204934146</v>
      </c>
      <c r="G22" s="104">
        <f t="shared" si="0"/>
        <v>2.6482722710245006</v>
      </c>
    </row>
    <row r="23" spans="2:18" x14ac:dyDescent="0.2">
      <c r="B23" s="104" t="s">
        <v>101</v>
      </c>
      <c r="D23" s="104">
        <f>-256518+295.845*D$3-15.2368*D$3*LN(D$3)</f>
        <v>20104.385408973787</v>
      </c>
      <c r="E23" s="104">
        <f>-256518+295.845*E$3-15.2368*E$3*LN(E$3)</f>
        <v>185060.93935446226</v>
      </c>
      <c r="F23" s="104">
        <f t="shared" si="1"/>
        <v>0.70008765065098344</v>
      </c>
      <c r="G23" s="104">
        <f t="shared" si="0"/>
        <v>3.8665855918808565</v>
      </c>
    </row>
    <row r="28" spans="2:18" x14ac:dyDescent="0.2">
      <c r="I28" s="108"/>
      <c r="J28" s="108"/>
      <c r="K28" s="108"/>
    </row>
    <row r="29" spans="2:18" x14ac:dyDescent="0.2">
      <c r="I29" s="108"/>
      <c r="J29" s="108"/>
      <c r="K29" s="108"/>
    </row>
    <row r="30" spans="2:18" ht="15" x14ac:dyDescent="0.25">
      <c r="I30" s="108"/>
      <c r="J30" s="108"/>
      <c r="K30" s="108"/>
      <c r="R30" s="106"/>
    </row>
    <row r="31" spans="2:18" x14ac:dyDescent="0.2">
      <c r="I31" s="108"/>
      <c r="J31" s="108"/>
      <c r="K31" s="108"/>
      <c r="M31" s="107"/>
      <c r="N31" s="107"/>
      <c r="O31" s="107"/>
      <c r="P31" s="107"/>
      <c r="Q31" s="107"/>
      <c r="R31" s="107"/>
    </row>
    <row r="32" spans="2:18" x14ac:dyDescent="0.2">
      <c r="I32" s="108"/>
      <c r="J32" s="108"/>
      <c r="K32" s="108"/>
      <c r="N32" s="107"/>
    </row>
    <row r="33" spans="9:16" x14ac:dyDescent="0.2">
      <c r="I33" s="108"/>
      <c r="J33" s="108"/>
      <c r="K33" s="108"/>
    </row>
    <row r="34" spans="9:16" x14ac:dyDescent="0.2">
      <c r="I34" s="108"/>
      <c r="J34" s="108"/>
      <c r="K34" s="108"/>
    </row>
    <row r="35" spans="9:16" x14ac:dyDescent="0.2">
      <c r="I35" s="108"/>
      <c r="J35" s="108"/>
      <c r="K35" s="108"/>
      <c r="N35" s="107"/>
    </row>
    <row r="36" spans="9:16" x14ac:dyDescent="0.2">
      <c r="I36" s="108"/>
      <c r="J36" s="108"/>
      <c r="K36" s="108"/>
    </row>
    <row r="37" spans="9:16" x14ac:dyDescent="0.2">
      <c r="P37" s="107"/>
    </row>
  </sheetData>
  <dataConsolidate/>
  <mergeCells count="2">
    <mergeCell ref="D1:E1"/>
    <mergeCell ref="F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29</vt:i4>
      </vt:variant>
    </vt:vector>
  </HeadingPairs>
  <TitlesOfParts>
    <vt:vector size="33" baseType="lpstr">
      <vt:lpstr>MOMO input</vt:lpstr>
      <vt:lpstr>MOMO Atmo results</vt:lpstr>
      <vt:lpstr>Thermo data</vt:lpstr>
      <vt:lpstr>fO2 from Buffer</vt:lpstr>
      <vt:lpstr>'MOMO Atmo results'!aAl2O3</vt:lpstr>
      <vt:lpstr>aAl2O3</vt:lpstr>
      <vt:lpstr>'MOMO Atmo results'!aCaO</vt:lpstr>
      <vt:lpstr>aCaO</vt:lpstr>
      <vt:lpstr>aFeO</vt:lpstr>
      <vt:lpstr>'MOMO Atmo results'!aK2O</vt:lpstr>
      <vt:lpstr>aK2O</vt:lpstr>
      <vt:lpstr>'MOMO Atmo results'!aMgO</vt:lpstr>
      <vt:lpstr>aMgO</vt:lpstr>
      <vt:lpstr>'MOMO Atmo results'!aNa2O</vt:lpstr>
      <vt:lpstr>aNa2O</vt:lpstr>
      <vt:lpstr>'MOMO Atmo results'!aSiO2</vt:lpstr>
      <vt:lpstr>aSiO2</vt:lpstr>
      <vt:lpstr>belowBuffer</vt:lpstr>
      <vt:lpstr>fO2_hiT_IW</vt:lpstr>
      <vt:lpstr>fO2_lowT_IW</vt:lpstr>
      <vt:lpstr>'MOMO Atmo results'!p_high</vt:lpstr>
      <vt:lpstr>'MOMO Atmo results'!p_low</vt:lpstr>
      <vt:lpstr>'MOMO Atmo results'!p_test</vt:lpstr>
      <vt:lpstr>pO2_given</vt:lpstr>
      <vt:lpstr>T_low</vt:lpstr>
      <vt:lpstr>'MOMO Atmo results'!T_max</vt:lpstr>
      <vt:lpstr>T_max</vt:lpstr>
      <vt:lpstr>'MOMO Atmo results'!T_min</vt:lpstr>
      <vt:lpstr>T_min</vt:lpstr>
      <vt:lpstr>'MOMO Atmo results'!T_ref</vt:lpstr>
      <vt:lpstr>'MOMO Atmo results'!T_ref2</vt:lpstr>
      <vt:lpstr>Tmax_given</vt:lpstr>
      <vt:lpstr>Tmin_given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2020-03-19T12:30:46Z</dcterms:created>
  <dcterms:modified xsi:type="dcterms:W3CDTF">2020-04-17T09:40:06Z</dcterms:modified>
</cp:coreProperties>
</file>