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k.phillips/Developer/juicebox/daolabs-legal-documents/src/docs/legal/calculators/"/>
    </mc:Choice>
  </mc:AlternateContent>
  <xr:revisionPtr revIDLastSave="0" documentId="13_ncr:1_{4D2A5478-68CC-7E4D-9537-5B6CE80D1380}" xr6:coauthVersionLast="47" xr6:coauthVersionMax="47" xr10:uidLastSave="{00000000-0000-0000-0000-000000000000}"/>
  <bookViews>
    <workbookView xWindow="9160" yWindow="500" windowWidth="49040" windowHeight="32560" xr2:uid="{00000000-000D-0000-FFFF-FFFF00000000}"/>
  </bookViews>
  <sheets>
    <sheet name="Cap Table" sheetId="1" r:id="rId1"/>
    <sheet name="Stock sales" sheetId="6" r:id="rId2"/>
    <sheet name="Warrants" sheetId="2" r:id="rId3"/>
    <sheet name="Option Log" sheetId="5" r:id="rId4"/>
    <sheet name="Vesting" sheetId="4" r:id="rId5"/>
    <sheet name="Offer" sheetId="7" r:id="rId6"/>
    <sheet name="Cap Summary" sheetId="8" r:id="rId7"/>
    <sheet name="Strikes" sheetId="10" r:id="rId8"/>
    <sheet name="Forecasts" sheetId="11" r:id="rId9"/>
  </sheets>
  <definedNames>
    <definedName name="_xlnm._FilterDatabase" localSheetId="6" hidden="1">'Cap Summary'!$B$4:$O$36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63" i="8" l="1"/>
  <c r="D64" i="8"/>
  <c r="D65" i="8"/>
  <c r="D66" i="8"/>
  <c r="X48" i="8"/>
  <c r="X49" i="8"/>
  <c r="X50" i="8"/>
  <c r="X51" i="8"/>
  <c r="X52" i="8"/>
  <c r="X46" i="8"/>
  <c r="X47" i="8"/>
  <c r="L37" i="8"/>
  <c r="N37" i="8"/>
  <c r="X37" i="8"/>
  <c r="L38" i="8"/>
  <c r="N38" i="8"/>
  <c r="X38" i="8"/>
  <c r="G54" i="5"/>
  <c r="D43" i="8"/>
  <c r="D44" i="8"/>
  <c r="D45" i="8"/>
  <c r="D46" i="8"/>
  <c r="D42" i="8"/>
  <c r="L10" i="8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AH6" i="4"/>
  <c r="AI6" i="4"/>
  <c r="AJ6" i="4"/>
  <c r="AK6" i="4"/>
  <c r="AL6" i="4"/>
  <c r="AM6" i="4"/>
  <c r="AN6" i="4"/>
  <c r="AO6" i="4"/>
  <c r="AP6" i="4"/>
  <c r="AQ6" i="4"/>
  <c r="AR6" i="4"/>
  <c r="AS6" i="4"/>
  <c r="AT6" i="4"/>
  <c r="AU6" i="4"/>
  <c r="AV6" i="4"/>
  <c r="AW6" i="4"/>
  <c r="AX6" i="4"/>
  <c r="AY6" i="4"/>
  <c r="AZ6" i="4"/>
  <c r="BA6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AJ7" i="4"/>
  <c r="AK7" i="4"/>
  <c r="AL7" i="4"/>
  <c r="AM7" i="4"/>
  <c r="AN7" i="4"/>
  <c r="AO7" i="4"/>
  <c r="AP7" i="4"/>
  <c r="AQ7" i="4"/>
  <c r="AR7" i="4"/>
  <c r="AS7" i="4"/>
  <c r="AT7" i="4"/>
  <c r="AU7" i="4"/>
  <c r="AV7" i="4"/>
  <c r="AW7" i="4"/>
  <c r="AX7" i="4"/>
  <c r="AY7" i="4"/>
  <c r="AZ7" i="4"/>
  <c r="BA7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AG8" i="4"/>
  <c r="AH8" i="4"/>
  <c r="AI8" i="4"/>
  <c r="AJ8" i="4"/>
  <c r="AK8" i="4"/>
  <c r="AL8" i="4"/>
  <c r="AM8" i="4"/>
  <c r="AN8" i="4"/>
  <c r="AO8" i="4"/>
  <c r="AP8" i="4"/>
  <c r="AQ8" i="4"/>
  <c r="AR8" i="4"/>
  <c r="AS8" i="4"/>
  <c r="AT8" i="4"/>
  <c r="AU8" i="4"/>
  <c r="AV8" i="4"/>
  <c r="AW8" i="4"/>
  <c r="AX8" i="4"/>
  <c r="AY8" i="4"/>
  <c r="AZ8" i="4"/>
  <c r="BA8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AG9" i="4"/>
  <c r="AH9" i="4"/>
  <c r="AI9" i="4"/>
  <c r="AJ9" i="4"/>
  <c r="AK9" i="4"/>
  <c r="AL9" i="4"/>
  <c r="AM9" i="4"/>
  <c r="AN9" i="4"/>
  <c r="AO9" i="4"/>
  <c r="AP9" i="4"/>
  <c r="AQ9" i="4"/>
  <c r="AR9" i="4"/>
  <c r="AS9" i="4"/>
  <c r="AT9" i="4"/>
  <c r="AU9" i="4"/>
  <c r="AV9" i="4"/>
  <c r="AW9" i="4"/>
  <c r="AX9" i="4"/>
  <c r="AY9" i="4"/>
  <c r="AZ9" i="4"/>
  <c r="BA9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AG10" i="4"/>
  <c r="AH10" i="4"/>
  <c r="AI10" i="4"/>
  <c r="AJ10" i="4"/>
  <c r="AK10" i="4"/>
  <c r="AL10" i="4"/>
  <c r="AM10" i="4"/>
  <c r="AN10" i="4"/>
  <c r="AO10" i="4"/>
  <c r="AP10" i="4"/>
  <c r="AQ10" i="4"/>
  <c r="AR10" i="4"/>
  <c r="AS10" i="4"/>
  <c r="AT10" i="4"/>
  <c r="AU10" i="4"/>
  <c r="AV10" i="4"/>
  <c r="AW10" i="4"/>
  <c r="AX10" i="4"/>
  <c r="AY10" i="4"/>
  <c r="AZ10" i="4"/>
  <c r="BA10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AG11" i="4"/>
  <c r="AH11" i="4"/>
  <c r="AI11" i="4"/>
  <c r="AJ11" i="4"/>
  <c r="AK11" i="4"/>
  <c r="AL11" i="4"/>
  <c r="AM11" i="4"/>
  <c r="AN11" i="4"/>
  <c r="AO11" i="4"/>
  <c r="AP11" i="4"/>
  <c r="AQ11" i="4"/>
  <c r="AR11" i="4"/>
  <c r="AS11" i="4"/>
  <c r="AT11" i="4"/>
  <c r="AU11" i="4"/>
  <c r="AV11" i="4"/>
  <c r="AW11" i="4"/>
  <c r="AX11" i="4"/>
  <c r="AY11" i="4"/>
  <c r="AZ11" i="4"/>
  <c r="BA11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AJ12" i="4"/>
  <c r="AK12" i="4"/>
  <c r="AL12" i="4"/>
  <c r="AM12" i="4"/>
  <c r="AN12" i="4"/>
  <c r="AO12" i="4"/>
  <c r="AP12" i="4"/>
  <c r="AQ12" i="4"/>
  <c r="AR12" i="4"/>
  <c r="AS12" i="4"/>
  <c r="AT12" i="4"/>
  <c r="AU12" i="4"/>
  <c r="AV12" i="4"/>
  <c r="AW12" i="4"/>
  <c r="AX12" i="4"/>
  <c r="AY12" i="4"/>
  <c r="AZ12" i="4"/>
  <c r="BA12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AH13" i="4"/>
  <c r="AI13" i="4"/>
  <c r="AJ13" i="4"/>
  <c r="AK13" i="4"/>
  <c r="AL13" i="4"/>
  <c r="AM13" i="4"/>
  <c r="AN13" i="4"/>
  <c r="AO13" i="4"/>
  <c r="AP13" i="4"/>
  <c r="AQ13" i="4"/>
  <c r="AR13" i="4"/>
  <c r="AS13" i="4"/>
  <c r="AT13" i="4"/>
  <c r="AU13" i="4"/>
  <c r="AV13" i="4"/>
  <c r="AW13" i="4"/>
  <c r="AX13" i="4"/>
  <c r="AY13" i="4"/>
  <c r="AZ13" i="4"/>
  <c r="BA13" i="4"/>
  <c r="F13" i="4"/>
  <c r="F12" i="4"/>
  <c r="F11" i="4"/>
  <c r="F10" i="4"/>
  <c r="F9" i="4"/>
  <c r="F8" i="4"/>
  <c r="F7" i="4"/>
  <c r="F6" i="4"/>
  <c r="E7" i="4"/>
  <c r="E8" i="4"/>
  <c r="E9" i="4"/>
  <c r="E10" i="4"/>
  <c r="E11" i="4"/>
  <c r="E12" i="4"/>
  <c r="E13" i="4"/>
  <c r="E6" i="4"/>
  <c r="E44" i="4" s="1"/>
  <c r="L8" i="10"/>
  <c r="L4" i="10"/>
  <c r="L5" i="10"/>
  <c r="L6" i="10"/>
  <c r="L7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L22" i="10"/>
  <c r="L23" i="10"/>
  <c r="L24" i="10"/>
  <c r="L25" i="10"/>
  <c r="L26" i="10"/>
  <c r="L27" i="10"/>
  <c r="L28" i="10"/>
  <c r="L29" i="10"/>
  <c r="L30" i="10"/>
  <c r="L31" i="10"/>
  <c r="L32" i="10"/>
  <c r="L33" i="10"/>
  <c r="L34" i="10"/>
  <c r="L35" i="10"/>
  <c r="L36" i="10"/>
  <c r="L3" i="10"/>
  <c r="F37" i="10"/>
  <c r="L16" i="8"/>
  <c r="L15" i="8"/>
  <c r="L14" i="8"/>
  <c r="L13" i="8"/>
  <c r="L12" i="8"/>
  <c r="L11" i="8"/>
  <c r="X10" i="8"/>
  <c r="O6" i="5"/>
  <c r="O7" i="5"/>
  <c r="O8" i="5"/>
  <c r="O9" i="5"/>
  <c r="O10" i="5"/>
  <c r="O11" i="5"/>
  <c r="O12" i="5"/>
  <c r="O5" i="5"/>
  <c r="BB12" i="1"/>
  <c r="BB15" i="1"/>
  <c r="BB16" i="1"/>
  <c r="BG39" i="1"/>
  <c r="BG36" i="1"/>
  <c r="G37" i="10"/>
  <c r="BB58" i="1"/>
  <c r="BG58" i="1"/>
  <c r="BB59" i="1"/>
  <c r="BG59" i="1"/>
  <c r="BB60" i="1"/>
  <c r="BG60" i="1"/>
  <c r="L37" i="10" l="1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N33" i="8"/>
  <c r="N34" i="8"/>
  <c r="N35" i="8"/>
  <c r="N36" i="8"/>
  <c r="N48" i="8"/>
  <c r="N49" i="8"/>
  <c r="N50" i="8"/>
  <c r="N51" i="8"/>
  <c r="N52" i="8"/>
  <c r="N53" i="8"/>
  <c r="L51" i="8"/>
  <c r="J54" i="8"/>
  <c r="I37" i="10"/>
  <c r="H37" i="10"/>
  <c r="E37" i="10"/>
  <c r="BG32" i="1"/>
  <c r="BG33" i="1"/>
  <c r="BG34" i="1"/>
  <c r="BG35" i="1"/>
  <c r="BG37" i="1"/>
  <c r="BG38" i="1"/>
  <c r="BG40" i="1"/>
  <c r="BG41" i="1"/>
  <c r="BG42" i="1"/>
  <c r="BG43" i="1"/>
  <c r="BG44" i="1"/>
  <c r="BG45" i="1"/>
  <c r="BG46" i="1"/>
  <c r="BG47" i="1"/>
  <c r="BG48" i="1"/>
  <c r="BG49" i="1"/>
  <c r="BG50" i="1"/>
  <c r="BG51" i="1"/>
  <c r="BG52" i="1"/>
  <c r="BG53" i="1"/>
  <c r="BG54" i="1"/>
  <c r="BG55" i="1"/>
  <c r="BG56" i="1"/>
  <c r="BG57" i="1"/>
  <c r="BG61" i="1"/>
  <c r="BG62" i="1"/>
  <c r="BG63" i="1"/>
  <c r="BG31" i="1"/>
  <c r="BG30" i="1"/>
  <c r="BG26" i="1"/>
  <c r="BG25" i="1"/>
  <c r="BG24" i="1"/>
  <c r="BG23" i="1"/>
  <c r="BG22" i="1"/>
  <c r="BG19" i="1"/>
  <c r="BG18" i="1"/>
  <c r="BG17" i="1"/>
  <c r="BG16" i="1"/>
  <c r="BG15" i="1"/>
  <c r="BG14" i="1"/>
  <c r="BG13" i="1"/>
  <c r="BG12" i="1"/>
  <c r="BG11" i="1"/>
  <c r="BG10" i="1"/>
  <c r="BH24" i="1"/>
  <c r="BH23" i="1"/>
  <c r="X53" i="8"/>
  <c r="I54" i="8"/>
  <c r="X11" i="8"/>
  <c r="X12" i="8"/>
  <c r="X13" i="8"/>
  <c r="X14" i="8"/>
  <c r="X15" i="8"/>
  <c r="X16" i="8"/>
  <c r="X17" i="8"/>
  <c r="X18" i="8"/>
  <c r="X19" i="8"/>
  <c r="X20" i="8"/>
  <c r="X21" i="8"/>
  <c r="X22" i="8"/>
  <c r="X23" i="8"/>
  <c r="X24" i="8"/>
  <c r="X25" i="8"/>
  <c r="X26" i="8"/>
  <c r="X27" i="8"/>
  <c r="X28" i="8"/>
  <c r="X29" i="8"/>
  <c r="X30" i="8"/>
  <c r="X31" i="8"/>
  <c r="X32" i="8"/>
  <c r="X33" i="8"/>
  <c r="X34" i="8"/>
  <c r="X35" i="8"/>
  <c r="X36" i="8"/>
  <c r="I39" i="8"/>
  <c r="BB10" i="1"/>
  <c r="L5" i="8" s="1"/>
  <c r="BB11" i="1"/>
  <c r="D6" i="8" s="1"/>
  <c r="L6" i="8" s="1"/>
  <c r="BB13" i="1"/>
  <c r="BB17" i="1"/>
  <c r="BB18" i="1"/>
  <c r="BB19" i="1"/>
  <c r="BB26" i="1"/>
  <c r="BB24" i="1"/>
  <c r="BB23" i="1"/>
  <c r="BB47" i="1"/>
  <c r="BB48" i="1"/>
  <c r="L36" i="8" s="1"/>
  <c r="BB49" i="1"/>
  <c r="BB50" i="1"/>
  <c r="L30" i="8" s="1"/>
  <c r="BB51" i="1"/>
  <c r="BB52" i="1"/>
  <c r="L32" i="8" s="1"/>
  <c r="BB53" i="1"/>
  <c r="BB54" i="1"/>
  <c r="L29" i="8" s="1"/>
  <c r="BB55" i="1"/>
  <c r="BB56" i="1"/>
  <c r="BB57" i="1"/>
  <c r="AZ83" i="1"/>
  <c r="D83" i="1"/>
  <c r="D82" i="1"/>
  <c r="G82" i="1" s="1"/>
  <c r="D81" i="1"/>
  <c r="G81" i="1" s="1"/>
  <c r="G80" i="1"/>
  <c r="AE65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4" i="1"/>
  <c r="L20" i="8" s="1"/>
  <c r="BB45" i="1"/>
  <c r="BB46" i="1"/>
  <c r="L25" i="8" s="1"/>
  <c r="BB30" i="1"/>
  <c r="AH65" i="1"/>
  <c r="AK65" i="1"/>
  <c r="AW65" i="1"/>
  <c r="G63" i="1"/>
  <c r="J63" i="1" s="1"/>
  <c r="G75" i="1"/>
  <c r="AB65" i="1"/>
  <c r="S65" i="1"/>
  <c r="Y65" i="1"/>
  <c r="G6" i="7"/>
  <c r="H39" i="8"/>
  <c r="BB62" i="1"/>
  <c r="D65" i="1"/>
  <c r="F19" i="1" s="1"/>
  <c r="G74" i="1"/>
  <c r="H32" i="1" s="1"/>
  <c r="G65" i="1"/>
  <c r="J65" i="1"/>
  <c r="M65" i="1"/>
  <c r="V65" i="1"/>
  <c r="K9" i="7"/>
  <c r="O6" i="7"/>
  <c r="T6" i="7" s="1"/>
  <c r="O7" i="7"/>
  <c r="O8" i="7" s="1"/>
  <c r="K13" i="7"/>
  <c r="K17" i="7"/>
  <c r="K21" i="7"/>
  <c r="K25" i="7"/>
  <c r="E7" i="7"/>
  <c r="F7" i="7" s="1"/>
  <c r="E8" i="7"/>
  <c r="E9" i="7" s="1"/>
  <c r="M25" i="7"/>
  <c r="M21" i="7"/>
  <c r="M17" i="7"/>
  <c r="M13" i="7"/>
  <c r="M9" i="7"/>
  <c r="M46" i="7" s="1"/>
  <c r="F6" i="7"/>
  <c r="H6" i="7" s="1"/>
  <c r="D46" i="7"/>
  <c r="P73" i="1"/>
  <c r="M73" i="1"/>
  <c r="N22" i="6"/>
  <c r="J22" i="6"/>
  <c r="H22" i="6"/>
  <c r="G53" i="5"/>
  <c r="G56" i="5" s="1"/>
  <c r="D66" i="1"/>
  <c r="J73" i="1"/>
  <c r="S7" i="7"/>
  <c r="T7" i="7"/>
  <c r="R7" i="7"/>
  <c r="G7" i="7"/>
  <c r="G8" i="7" s="1"/>
  <c r="G9" i="7" s="1"/>
  <c r="G10" i="7" s="1"/>
  <c r="G11" i="7" s="1"/>
  <c r="G12" i="7" s="1"/>
  <c r="G13" i="7" s="1"/>
  <c r="G14" i="7" s="1"/>
  <c r="G15" i="7" s="1"/>
  <c r="G16" i="7" s="1"/>
  <c r="G17" i="7" s="1"/>
  <c r="G18" i="7" s="1"/>
  <c r="G19" i="7" s="1"/>
  <c r="G20" i="7" s="1"/>
  <c r="G21" i="7" s="1"/>
  <c r="G22" i="7" s="1"/>
  <c r="G23" i="7" s="1"/>
  <c r="G24" i="7" s="1"/>
  <c r="G25" i="7" s="1"/>
  <c r="H43" i="1" l="1"/>
  <c r="H47" i="1"/>
  <c r="H44" i="1"/>
  <c r="H49" i="1"/>
  <c r="H48" i="1"/>
  <c r="H31" i="1"/>
  <c r="F63" i="1"/>
  <c r="H61" i="1"/>
  <c r="H51" i="1"/>
  <c r="H38" i="1"/>
  <c r="H55" i="1"/>
  <c r="H37" i="1"/>
  <c r="J74" i="1"/>
  <c r="K49" i="1" s="1"/>
  <c r="H34" i="1"/>
  <c r="H50" i="1"/>
  <c r="H33" i="1"/>
  <c r="H54" i="1"/>
  <c r="H56" i="1"/>
  <c r="H53" i="1"/>
  <c r="H57" i="1"/>
  <c r="H36" i="1"/>
  <c r="H35" i="1"/>
  <c r="H46" i="1"/>
  <c r="R6" i="7"/>
  <c r="P6" i="7"/>
  <c r="S6" i="7"/>
  <c r="Q6" i="7"/>
  <c r="H63" i="1"/>
  <c r="G55" i="5"/>
  <c r="E10" i="7"/>
  <c r="F9" i="7"/>
  <c r="H7" i="7"/>
  <c r="P7" i="7"/>
  <c r="F44" i="4"/>
  <c r="D71" i="1"/>
  <c r="G71" i="1" s="1"/>
  <c r="I19" i="1" s="1"/>
  <c r="F27" i="1"/>
  <c r="D70" i="1"/>
  <c r="E15" i="1" s="1"/>
  <c r="F10" i="1"/>
  <c r="F11" i="1"/>
  <c r="F12" i="1"/>
  <c r="F18" i="1"/>
  <c r="F13" i="1"/>
  <c r="F23" i="1"/>
  <c r="F14" i="1"/>
  <c r="F24" i="1"/>
  <c r="F15" i="1"/>
  <c r="F25" i="1"/>
  <c r="F16" i="1"/>
  <c r="F26" i="1"/>
  <c r="F17" i="1"/>
  <c r="D44" i="4"/>
  <c r="E45" i="4" s="1"/>
  <c r="T8" i="7"/>
  <c r="R8" i="7"/>
  <c r="O9" i="7"/>
  <c r="Q8" i="7"/>
  <c r="S8" i="7"/>
  <c r="H52" i="1"/>
  <c r="H58" i="1"/>
  <c r="H60" i="1"/>
  <c r="H59" i="1"/>
  <c r="F8" i="7"/>
  <c r="N9" i="7" s="1"/>
  <c r="Q7" i="7"/>
  <c r="K46" i="7"/>
  <c r="H62" i="1"/>
  <c r="H45" i="1"/>
  <c r="I75" i="1"/>
  <c r="H42" i="1"/>
  <c r="K41" i="1"/>
  <c r="K31" i="1"/>
  <c r="H40" i="1"/>
  <c r="K40" i="1"/>
  <c r="K38" i="1"/>
  <c r="K63" i="1"/>
  <c r="D67" i="1"/>
  <c r="D69" i="1" s="1"/>
  <c r="H39" i="1"/>
  <c r="H41" i="1"/>
  <c r="J37" i="10"/>
  <c r="D84" i="1"/>
  <c r="D85" i="1" s="1"/>
  <c r="N5" i="8"/>
  <c r="N10" i="8"/>
  <c r="N8" i="8"/>
  <c r="N6" i="8"/>
  <c r="H30" i="1"/>
  <c r="P65" i="1"/>
  <c r="L33" i="8"/>
  <c r="L28" i="8"/>
  <c r="L31" i="8"/>
  <c r="L27" i="8"/>
  <c r="L24" i="8"/>
  <c r="L26" i="8"/>
  <c r="L17" i="8"/>
  <c r="L35" i="8"/>
  <c r="L22" i="8"/>
  <c r="L21" i="8"/>
  <c r="L23" i="8"/>
  <c r="L50" i="8"/>
  <c r="L34" i="8"/>
  <c r="L18" i="8"/>
  <c r="L19" i="8"/>
  <c r="L42" i="8"/>
  <c r="L48" i="8"/>
  <c r="H54" i="8"/>
  <c r="X6" i="8"/>
  <c r="X5" i="8"/>
  <c r="X8" i="8"/>
  <c r="D39" i="8"/>
  <c r="M63" i="1"/>
  <c r="J83" i="1"/>
  <c r="J75" i="1"/>
  <c r="G5" i="1"/>
  <c r="G6" i="1" s="1"/>
  <c r="G66" i="1" s="1"/>
  <c r="E12" i="1"/>
  <c r="E22" i="1"/>
  <c r="F22" i="1"/>
  <c r="G83" i="1"/>
  <c r="J81" i="1"/>
  <c r="J82" i="1"/>
  <c r="J80" i="1"/>
  <c r="K43" i="1" l="1"/>
  <c r="K42" i="1"/>
  <c r="K33" i="1"/>
  <c r="K46" i="1"/>
  <c r="K35" i="1"/>
  <c r="K45" i="1"/>
  <c r="K39" i="1"/>
  <c r="M74" i="1"/>
  <c r="N47" i="1" s="1"/>
  <c r="K37" i="1"/>
  <c r="K52" i="1"/>
  <c r="K34" i="1"/>
  <c r="K54" i="1"/>
  <c r="K56" i="1"/>
  <c r="K30" i="1"/>
  <c r="K32" i="1"/>
  <c r="K51" i="1"/>
  <c r="K57" i="1"/>
  <c r="K53" i="1"/>
  <c r="K61" i="1"/>
  <c r="K47" i="1"/>
  <c r="K62" i="1"/>
  <c r="K55" i="1"/>
  <c r="K44" i="1"/>
  <c r="K48" i="1"/>
  <c r="K50" i="1"/>
  <c r="K60" i="1"/>
  <c r="K58" i="1"/>
  <c r="K59" i="1"/>
  <c r="E19" i="1"/>
  <c r="K36" i="1"/>
  <c r="H64" i="1"/>
  <c r="I17" i="1"/>
  <c r="E11" i="1"/>
  <c r="I45" i="1"/>
  <c r="I36" i="1"/>
  <c r="E26" i="1"/>
  <c r="I38" i="1"/>
  <c r="I16" i="1"/>
  <c r="I22" i="1"/>
  <c r="I31" i="1"/>
  <c r="I11" i="1"/>
  <c r="I26" i="1"/>
  <c r="I50" i="1"/>
  <c r="I47" i="1"/>
  <c r="I55" i="1"/>
  <c r="I30" i="1"/>
  <c r="I12" i="1"/>
  <c r="I43" i="1"/>
  <c r="I49" i="1"/>
  <c r="I42" i="1"/>
  <c r="I35" i="1"/>
  <c r="I24" i="1"/>
  <c r="E24" i="1"/>
  <c r="E10" i="1"/>
  <c r="E14" i="1"/>
  <c r="E18" i="1"/>
  <c r="E27" i="1"/>
  <c r="G70" i="1"/>
  <c r="E25" i="1"/>
  <c r="E13" i="1"/>
  <c r="E17" i="1"/>
  <c r="I18" i="1"/>
  <c r="G44" i="4"/>
  <c r="F45" i="4"/>
  <c r="E16" i="1"/>
  <c r="I27" i="1"/>
  <c r="I32" i="1"/>
  <c r="I53" i="1"/>
  <c r="R9" i="7"/>
  <c r="O10" i="7"/>
  <c r="S9" i="7"/>
  <c r="Q9" i="7"/>
  <c r="T9" i="7"/>
  <c r="I57" i="1"/>
  <c r="I44" i="1"/>
  <c r="F64" i="1"/>
  <c r="X42" i="8"/>
  <c r="I54" i="1"/>
  <c r="I25" i="1"/>
  <c r="I60" i="1"/>
  <c r="F10" i="7"/>
  <c r="E11" i="7"/>
  <c r="N42" i="8"/>
  <c r="I61" i="1"/>
  <c r="I46" i="1"/>
  <c r="I59" i="1"/>
  <c r="I51" i="1"/>
  <c r="I52" i="1"/>
  <c r="I58" i="1"/>
  <c r="I39" i="1"/>
  <c r="I56" i="1"/>
  <c r="J71" i="1"/>
  <c r="I41" i="1"/>
  <c r="I33" i="1"/>
  <c r="I74" i="1"/>
  <c r="E23" i="1"/>
  <c r="I23" i="1"/>
  <c r="I14" i="1"/>
  <c r="I48" i="1"/>
  <c r="I15" i="1"/>
  <c r="I62" i="1"/>
  <c r="I13" i="1"/>
  <c r="I10" i="1"/>
  <c r="I40" i="1"/>
  <c r="I37" i="1"/>
  <c r="H8" i="7"/>
  <c r="H9" i="7" s="1"/>
  <c r="P8" i="7"/>
  <c r="P9" i="7" s="1"/>
  <c r="I34" i="1"/>
  <c r="N59" i="1"/>
  <c r="N58" i="1"/>
  <c r="N60" i="1"/>
  <c r="N32" i="1"/>
  <c r="N36" i="1"/>
  <c r="N40" i="1"/>
  <c r="N51" i="1"/>
  <c r="N53" i="1"/>
  <c r="N48" i="1"/>
  <c r="N55" i="1"/>
  <c r="N43" i="1"/>
  <c r="N57" i="1"/>
  <c r="N35" i="1"/>
  <c r="N49" i="1"/>
  <c r="N31" i="1"/>
  <c r="N44" i="1"/>
  <c r="N33" i="1"/>
  <c r="N34" i="1"/>
  <c r="N50" i="1"/>
  <c r="N42" i="1"/>
  <c r="N62" i="1"/>
  <c r="N41" i="1"/>
  <c r="N37" i="1"/>
  <c r="N45" i="1"/>
  <c r="N39" i="1"/>
  <c r="N43" i="8"/>
  <c r="L43" i="8"/>
  <c r="N45" i="8"/>
  <c r="N47" i="8"/>
  <c r="L47" i="8"/>
  <c r="D54" i="8"/>
  <c r="G67" i="1"/>
  <c r="G69" i="1" s="1"/>
  <c r="X45" i="8"/>
  <c r="X43" i="8"/>
  <c r="M80" i="1"/>
  <c r="M75" i="1"/>
  <c r="L75" i="1"/>
  <c r="P63" i="1"/>
  <c r="M83" i="1"/>
  <c r="N63" i="1"/>
  <c r="M81" i="1"/>
  <c r="M82" i="1"/>
  <c r="G84" i="1"/>
  <c r="J84" i="1"/>
  <c r="N54" i="1" l="1"/>
  <c r="N61" i="1"/>
  <c r="N46" i="1"/>
  <c r="N52" i="1"/>
  <c r="K64" i="1"/>
  <c r="P74" i="1"/>
  <c r="Q60" i="1" s="1"/>
  <c r="N56" i="1"/>
  <c r="N38" i="1"/>
  <c r="N30" i="1"/>
  <c r="N64" i="1" s="1"/>
  <c r="E20" i="1"/>
  <c r="I64" i="1"/>
  <c r="G45" i="4"/>
  <c r="H44" i="4"/>
  <c r="L47" i="1"/>
  <c r="L13" i="1"/>
  <c r="L32" i="1"/>
  <c r="L50" i="1"/>
  <c r="L74" i="1"/>
  <c r="L41" i="1"/>
  <c r="L48" i="1"/>
  <c r="L46" i="1"/>
  <c r="L26" i="1"/>
  <c r="L53" i="1"/>
  <c r="L15" i="1"/>
  <c r="L56" i="1"/>
  <c r="L23" i="1"/>
  <c r="L22" i="1"/>
  <c r="L57" i="1"/>
  <c r="L39" i="1"/>
  <c r="L30" i="1"/>
  <c r="L18" i="1"/>
  <c r="L14" i="1"/>
  <c r="L16" i="1"/>
  <c r="L49" i="1"/>
  <c r="L31" i="1"/>
  <c r="L34" i="1"/>
  <c r="L24" i="1"/>
  <c r="L40" i="1"/>
  <c r="L43" i="1"/>
  <c r="L19" i="1"/>
  <c r="L12" i="1"/>
  <c r="L62" i="1"/>
  <c r="L35" i="1"/>
  <c r="L37" i="1"/>
  <c r="L42" i="1"/>
  <c r="L45" i="1"/>
  <c r="L33" i="1"/>
  <c r="L36" i="1"/>
  <c r="L55" i="1"/>
  <c r="L38" i="1"/>
  <c r="L17" i="1"/>
  <c r="L51" i="1"/>
  <c r="L27" i="1"/>
  <c r="L10" i="1"/>
  <c r="L25" i="1"/>
  <c r="L52" i="1"/>
  <c r="L11" i="1"/>
  <c r="L54" i="1"/>
  <c r="L44" i="1"/>
  <c r="L61" i="1"/>
  <c r="Q33" i="1"/>
  <c r="Q53" i="1"/>
  <c r="Q44" i="1"/>
  <c r="Q55" i="1"/>
  <c r="Q50" i="1"/>
  <c r="Q45" i="1"/>
  <c r="Q57" i="1"/>
  <c r="Q49" i="1"/>
  <c r="Q37" i="1"/>
  <c r="Q35" i="1"/>
  <c r="Q43" i="1"/>
  <c r="Q39" i="1"/>
  <c r="Q46" i="1"/>
  <c r="Q62" i="1"/>
  <c r="Q42" i="1"/>
  <c r="Q34" i="1"/>
  <c r="Q38" i="1"/>
  <c r="Q40" i="1"/>
  <c r="Q54" i="1"/>
  <c r="Q56" i="1"/>
  <c r="Q61" i="1"/>
  <c r="Q30" i="1"/>
  <c r="Q52" i="1"/>
  <c r="Q48" i="1"/>
  <c r="L60" i="1"/>
  <c r="L59" i="1"/>
  <c r="Q10" i="7"/>
  <c r="S10" i="7"/>
  <c r="O11" i="7"/>
  <c r="T10" i="7"/>
  <c r="R10" i="7"/>
  <c r="H24" i="1"/>
  <c r="H23" i="1"/>
  <c r="H27" i="1"/>
  <c r="H13" i="1"/>
  <c r="H17" i="1"/>
  <c r="J70" i="1"/>
  <c r="H12" i="1"/>
  <c r="H16" i="1"/>
  <c r="H10" i="1"/>
  <c r="J5" i="1"/>
  <c r="J6" i="1" s="1"/>
  <c r="H25" i="1"/>
  <c r="H18" i="1"/>
  <c r="H14" i="1"/>
  <c r="H22" i="1"/>
  <c r="H19" i="1"/>
  <c r="H15" i="1"/>
  <c r="H11" i="1"/>
  <c r="H26" i="1"/>
  <c r="L58" i="1"/>
  <c r="M71" i="1"/>
  <c r="O18" i="1" s="1"/>
  <c r="F11" i="7"/>
  <c r="E12" i="7"/>
  <c r="H10" i="7"/>
  <c r="P10" i="7"/>
  <c r="N7" i="8"/>
  <c r="X7" i="8"/>
  <c r="J85" i="1"/>
  <c r="K84" i="1" s="1"/>
  <c r="G85" i="1"/>
  <c r="H84" i="1" s="1"/>
  <c r="P82" i="1"/>
  <c r="P83" i="1"/>
  <c r="S63" i="1"/>
  <c r="Q63" i="1"/>
  <c r="P75" i="1"/>
  <c r="O75" i="1"/>
  <c r="P81" i="1"/>
  <c r="M84" i="1"/>
  <c r="P80" i="1"/>
  <c r="Q58" i="1" l="1"/>
  <c r="Q47" i="1"/>
  <c r="Q51" i="1"/>
  <c r="Q32" i="1"/>
  <c r="Q59" i="1"/>
  <c r="S74" i="1"/>
  <c r="T57" i="1" s="1"/>
  <c r="Q41" i="1"/>
  <c r="Q36" i="1"/>
  <c r="Q31" i="1"/>
  <c r="Q64" i="1" s="1"/>
  <c r="O60" i="1"/>
  <c r="O59" i="1"/>
  <c r="O58" i="1"/>
  <c r="P71" i="1"/>
  <c r="R48" i="1" s="1"/>
  <c r="H20" i="1"/>
  <c r="O43" i="1"/>
  <c r="O17" i="1"/>
  <c r="O47" i="1"/>
  <c r="O14" i="1"/>
  <c r="O48" i="1"/>
  <c r="O26" i="1"/>
  <c r="O32" i="1"/>
  <c r="O33" i="1"/>
  <c r="O46" i="1"/>
  <c r="H11" i="7"/>
  <c r="P11" i="7"/>
  <c r="O13" i="1"/>
  <c r="O49" i="1"/>
  <c r="O41" i="1"/>
  <c r="O34" i="1"/>
  <c r="O37" i="1"/>
  <c r="O11" i="1"/>
  <c r="O23" i="1"/>
  <c r="O55" i="1"/>
  <c r="O36" i="1"/>
  <c r="O35" i="1"/>
  <c r="O40" i="1"/>
  <c r="O57" i="1"/>
  <c r="O39" i="1"/>
  <c r="O45" i="1"/>
  <c r="O38" i="1"/>
  <c r="O61" i="1"/>
  <c r="O30" i="1"/>
  <c r="O22" i="1"/>
  <c r="O74" i="1"/>
  <c r="O25" i="1"/>
  <c r="O15" i="1"/>
  <c r="O54" i="1"/>
  <c r="R11" i="7"/>
  <c r="S11" i="7"/>
  <c r="O12" i="7"/>
  <c r="Q11" i="7"/>
  <c r="T11" i="7"/>
  <c r="J66" i="1"/>
  <c r="J67" i="1" s="1"/>
  <c r="J69" i="1" s="1"/>
  <c r="T60" i="1"/>
  <c r="T59" i="1"/>
  <c r="T58" i="1"/>
  <c r="T35" i="1"/>
  <c r="T41" i="1"/>
  <c r="T34" i="1"/>
  <c r="T55" i="1"/>
  <c r="T40" i="1"/>
  <c r="V74" i="1"/>
  <c r="T51" i="1"/>
  <c r="T53" i="1"/>
  <c r="T56" i="1"/>
  <c r="T49" i="1"/>
  <c r="T52" i="1"/>
  <c r="T43" i="1"/>
  <c r="T54" i="1"/>
  <c r="T46" i="1"/>
  <c r="T47" i="1"/>
  <c r="T39" i="1"/>
  <c r="T50" i="1"/>
  <c r="T31" i="1"/>
  <c r="T32" i="1"/>
  <c r="T48" i="1"/>
  <c r="T44" i="1"/>
  <c r="E13" i="7"/>
  <c r="F12" i="7"/>
  <c r="K24" i="1"/>
  <c r="K25" i="1"/>
  <c r="K27" i="1"/>
  <c r="K13" i="1"/>
  <c r="K17" i="1"/>
  <c r="M70" i="1"/>
  <c r="K12" i="1"/>
  <c r="K16" i="1"/>
  <c r="K10" i="1"/>
  <c r="K23" i="1"/>
  <c r="K11" i="1"/>
  <c r="K22" i="1"/>
  <c r="K26" i="1"/>
  <c r="K15" i="1"/>
  <c r="M5" i="1"/>
  <c r="M6" i="1" s="1"/>
  <c r="M66" i="1" s="1"/>
  <c r="M67" i="1" s="1"/>
  <c r="M69" i="1" s="1"/>
  <c r="K18" i="1"/>
  <c r="K14" i="1"/>
  <c r="K19" i="1"/>
  <c r="O31" i="1"/>
  <c r="O62" i="1"/>
  <c r="O27" i="1"/>
  <c r="O56" i="1"/>
  <c r="O51" i="1"/>
  <c r="O50" i="1"/>
  <c r="O42" i="1"/>
  <c r="O16" i="1"/>
  <c r="O24" i="1"/>
  <c r="O44" i="1"/>
  <c r="O19" i="1"/>
  <c r="L64" i="1"/>
  <c r="O53" i="1"/>
  <c r="O10" i="1"/>
  <c r="I44" i="4"/>
  <c r="H45" i="4"/>
  <c r="O12" i="1"/>
  <c r="O52" i="1"/>
  <c r="N44" i="8"/>
  <c r="X44" i="8"/>
  <c r="S80" i="1"/>
  <c r="M85" i="1"/>
  <c r="N84" i="1" s="1"/>
  <c r="S81" i="1"/>
  <c r="P84" i="1"/>
  <c r="S75" i="1"/>
  <c r="R75" i="1"/>
  <c r="V63" i="1"/>
  <c r="S83" i="1"/>
  <c r="T63" i="1"/>
  <c r="S82" i="1"/>
  <c r="H82" i="1"/>
  <c r="H80" i="1"/>
  <c r="H81" i="1"/>
  <c r="H83" i="1"/>
  <c r="K82" i="1"/>
  <c r="K83" i="1"/>
  <c r="K80" i="1"/>
  <c r="K81" i="1"/>
  <c r="T36" i="1" l="1"/>
  <c r="T62" i="1"/>
  <c r="T30" i="1"/>
  <c r="T42" i="1"/>
  <c r="T38" i="1"/>
  <c r="T61" i="1"/>
  <c r="T45" i="1"/>
  <c r="T37" i="1"/>
  <c r="T33" i="1"/>
  <c r="T64" i="1" s="1"/>
  <c r="R56" i="1"/>
  <c r="R52" i="1"/>
  <c r="R17" i="1"/>
  <c r="R58" i="1"/>
  <c r="R44" i="1"/>
  <c r="R60" i="1"/>
  <c r="R16" i="1"/>
  <c r="R30" i="1"/>
  <c r="R49" i="1"/>
  <c r="R34" i="1"/>
  <c r="R55" i="1"/>
  <c r="R59" i="1"/>
  <c r="S71" i="1"/>
  <c r="U45" i="1" s="1"/>
  <c r="R19" i="1"/>
  <c r="R41" i="1"/>
  <c r="R25" i="1"/>
  <c r="R51" i="1"/>
  <c r="R37" i="1"/>
  <c r="R46" i="1"/>
  <c r="R26" i="1"/>
  <c r="R35" i="1"/>
  <c r="R10" i="1"/>
  <c r="R57" i="1"/>
  <c r="R74" i="1"/>
  <c r="R40" i="1"/>
  <c r="R47" i="1"/>
  <c r="R13" i="1"/>
  <c r="R43" i="1"/>
  <c r="R23" i="1"/>
  <c r="R42" i="1"/>
  <c r="R39" i="1"/>
  <c r="R36" i="1"/>
  <c r="R61" i="1"/>
  <c r="R14" i="1"/>
  <c r="R50" i="1"/>
  <c r="R22" i="1"/>
  <c r="R27" i="1"/>
  <c r="R15" i="1"/>
  <c r="R31" i="1"/>
  <c r="R45" i="1"/>
  <c r="R53" i="1"/>
  <c r="R54" i="1"/>
  <c r="R62" i="1"/>
  <c r="R38" i="1"/>
  <c r="R32" i="1"/>
  <c r="R24" i="1"/>
  <c r="R12" i="1"/>
  <c r="R18" i="1"/>
  <c r="R11" i="1"/>
  <c r="R33" i="1"/>
  <c r="J44" i="4"/>
  <c r="I45" i="4"/>
  <c r="K20" i="1"/>
  <c r="H12" i="7"/>
  <c r="P12" i="7"/>
  <c r="F13" i="7"/>
  <c r="E14" i="7"/>
  <c r="W60" i="1"/>
  <c r="Z60" i="1"/>
  <c r="W59" i="1"/>
  <c r="W58" i="1"/>
  <c r="Z59" i="1"/>
  <c r="AF60" i="1"/>
  <c r="Z58" i="1"/>
  <c r="AC59" i="1"/>
  <c r="AI60" i="1"/>
  <c r="AC58" i="1"/>
  <c r="AF59" i="1"/>
  <c r="AL60" i="1"/>
  <c r="AF58" i="1"/>
  <c r="AI59" i="1"/>
  <c r="AO60" i="1"/>
  <c r="AL59" i="1"/>
  <c r="AR60" i="1"/>
  <c r="AL58" i="1"/>
  <c r="AO59" i="1"/>
  <c r="AU60" i="1"/>
  <c r="AO58" i="1"/>
  <c r="AR59" i="1"/>
  <c r="AX60" i="1"/>
  <c r="AR58" i="1"/>
  <c r="AU59" i="1"/>
  <c r="AX59" i="1"/>
  <c r="AI58" i="1"/>
  <c r="AC60" i="1"/>
  <c r="AU58" i="1"/>
  <c r="AX58" i="1"/>
  <c r="AL54" i="1"/>
  <c r="AL61" i="1"/>
  <c r="AX44" i="1"/>
  <c r="AR51" i="1"/>
  <c r="AR55" i="1"/>
  <c r="AI48" i="1"/>
  <c r="AU40" i="1"/>
  <c r="AO40" i="1"/>
  <c r="W47" i="1"/>
  <c r="AC34" i="1"/>
  <c r="Z39" i="1"/>
  <c r="AL41" i="1"/>
  <c r="AF44" i="1"/>
  <c r="W42" i="1"/>
  <c r="AX46" i="1"/>
  <c r="AX55" i="1"/>
  <c r="AU42" i="1"/>
  <c r="AC47" i="1"/>
  <c r="AC38" i="1"/>
  <c r="AL44" i="1"/>
  <c r="AC30" i="1"/>
  <c r="W55" i="1"/>
  <c r="AC52" i="1"/>
  <c r="W49" i="1"/>
  <c r="AR47" i="1"/>
  <c r="AL62" i="1"/>
  <c r="AC55" i="1"/>
  <c r="AC49" i="1"/>
  <c r="AX30" i="1"/>
  <c r="AI32" i="1"/>
  <c r="AU36" i="1"/>
  <c r="Z41" i="1"/>
  <c r="AF62" i="1"/>
  <c r="W46" i="1"/>
  <c r="AX31" i="1"/>
  <c r="AX33" i="1"/>
  <c r="AF35" i="1"/>
  <c r="AL52" i="1"/>
  <c r="AC32" i="1"/>
  <c r="W32" i="1"/>
  <c r="AO46" i="1"/>
  <c r="AR54" i="1"/>
  <c r="AR61" i="1"/>
  <c r="AX51" i="1"/>
  <c r="AO48" i="1"/>
  <c r="AO42" i="1"/>
  <c r="Z62" i="1"/>
  <c r="W43" i="1"/>
  <c r="Z43" i="1"/>
  <c r="W51" i="1"/>
  <c r="W57" i="1"/>
  <c r="AO33" i="1"/>
  <c r="Y74" i="1"/>
  <c r="AB74" i="1" s="1"/>
  <c r="AE74" i="1" s="1"/>
  <c r="AH74" i="1" s="1"/>
  <c r="AK74" i="1" s="1"/>
  <c r="AN74" i="1" s="1"/>
  <c r="AQ74" i="1" s="1"/>
  <c r="AT74" i="1" s="1"/>
  <c r="AW74" i="1" s="1"/>
  <c r="AX54" i="1"/>
  <c r="AX61" i="1"/>
  <c r="AX62" i="1"/>
  <c r="W52" i="1"/>
  <c r="W56" i="1"/>
  <c r="AU48" i="1"/>
  <c r="AU45" i="1"/>
  <c r="AO45" i="1"/>
  <c r="AI47" i="1"/>
  <c r="AC40" i="1"/>
  <c r="W34" i="1"/>
  <c r="AL46" i="1"/>
  <c r="AF32" i="1"/>
  <c r="AU32" i="1"/>
  <c r="AC56" i="1"/>
  <c r="AO50" i="1"/>
  <c r="Z32" i="1"/>
  <c r="AC43" i="1"/>
  <c r="Z48" i="1"/>
  <c r="AI56" i="1"/>
  <c r="AL31" i="1"/>
  <c r="W40" i="1"/>
  <c r="AO52" i="1"/>
  <c r="AL33" i="1"/>
  <c r="AI34" i="1"/>
  <c r="AI36" i="1"/>
  <c r="AI38" i="1"/>
  <c r="Z52" i="1"/>
  <c r="AF52" i="1"/>
  <c r="AL57" i="1"/>
  <c r="W39" i="1"/>
  <c r="AU47" i="1"/>
  <c r="AU50" i="1"/>
  <c r="W38" i="1"/>
  <c r="AF36" i="1"/>
  <c r="AU34" i="1"/>
  <c r="AR31" i="1"/>
  <c r="Z36" i="1"/>
  <c r="AC46" i="1"/>
  <c r="AO56" i="1"/>
  <c r="AR33" i="1"/>
  <c r="AF30" i="1"/>
  <c r="Z45" i="1"/>
  <c r="AR40" i="1"/>
  <c r="AF56" i="1"/>
  <c r="AR42" i="1"/>
  <c r="AO38" i="1"/>
  <c r="AL56" i="1"/>
  <c r="AF42" i="1"/>
  <c r="AI31" i="1"/>
  <c r="W53" i="1"/>
  <c r="AC51" i="1"/>
  <c r="AI52" i="1"/>
  <c r="AF41" i="1"/>
  <c r="AC33" i="1"/>
  <c r="AC37" i="1"/>
  <c r="AX48" i="1"/>
  <c r="AF53" i="1"/>
  <c r="AF45" i="1"/>
  <c r="AI39" i="1"/>
  <c r="W44" i="1"/>
  <c r="AR53" i="1"/>
  <c r="AL45" i="1"/>
  <c r="AI44" i="1"/>
  <c r="AX53" i="1"/>
  <c r="AO41" i="1"/>
  <c r="AI51" i="1"/>
  <c r="AI55" i="1"/>
  <c r="AF48" i="1"/>
  <c r="AI49" i="1"/>
  <c r="AR30" i="1"/>
  <c r="AC50" i="1"/>
  <c r="AR62" i="1"/>
  <c r="AU41" i="1"/>
  <c r="AO34" i="1"/>
  <c r="AL53" i="1"/>
  <c r="AI41" i="1"/>
  <c r="AU46" i="1"/>
  <c r="W62" i="1"/>
  <c r="AX37" i="1"/>
  <c r="W30" i="1"/>
  <c r="AO44" i="1"/>
  <c r="AO51" i="1"/>
  <c r="AO55" i="1"/>
  <c r="AL48" i="1"/>
  <c r="AU38" i="1"/>
  <c r="AU52" i="1"/>
  <c r="AU56" i="1"/>
  <c r="AO49" i="1"/>
  <c r="AR35" i="1"/>
  <c r="AL35" i="1"/>
  <c r="AL30" i="1"/>
  <c r="AR44" i="1"/>
  <c r="Z56" i="1"/>
  <c r="AL40" i="1"/>
  <c r="AC39" i="1"/>
  <c r="AU44" i="1"/>
  <c r="Z31" i="1"/>
  <c r="AF49" i="1"/>
  <c r="Z44" i="1"/>
  <c r="Z35" i="1"/>
  <c r="AR50" i="1"/>
  <c r="AC44" i="1"/>
  <c r="Z42" i="1"/>
  <c r="AF38" i="1"/>
  <c r="AU51" i="1"/>
  <c r="AU55" i="1"/>
  <c r="AR48" i="1"/>
  <c r="AU39" i="1"/>
  <c r="Z53" i="1"/>
  <c r="Z57" i="1"/>
  <c r="AU49" i="1"/>
  <c r="AR37" i="1"/>
  <c r="AL37" i="1"/>
  <c r="AF43" i="1"/>
  <c r="W33" i="1"/>
  <c r="W50" i="1"/>
  <c r="AF57" i="1"/>
  <c r="W37" i="1"/>
  <c r="AL42" i="1"/>
  <c r="AR57" i="1"/>
  <c r="AR45" i="1"/>
  <c r="AO39" i="1"/>
  <c r="AX57" i="1"/>
  <c r="AI46" i="1"/>
  <c r="AX49" i="1"/>
  <c r="AF31" i="1"/>
  <c r="AI62" i="1"/>
  <c r="AC41" i="1"/>
  <c r="Z49" i="1"/>
  <c r="AF34" i="1"/>
  <c r="W36" i="1"/>
  <c r="AX35" i="1"/>
  <c r="AF46" i="1"/>
  <c r="AC61" i="1"/>
  <c r="AR52" i="1"/>
  <c r="AR56" i="1"/>
  <c r="AL49" i="1"/>
  <c r="AU62" i="1"/>
  <c r="AL50" i="1"/>
  <c r="AR34" i="1"/>
  <c r="AF50" i="1"/>
  <c r="AX52" i="1"/>
  <c r="AX56" i="1"/>
  <c r="AR49" i="1"/>
  <c r="AR32" i="1"/>
  <c r="W54" i="1"/>
  <c r="W61" i="1"/>
  <c r="AX40" i="1"/>
  <c r="AO31" i="1"/>
  <c r="AC36" i="1"/>
  <c r="AC54" i="1"/>
  <c r="AI33" i="1"/>
  <c r="Z47" i="1"/>
  <c r="AX42" i="1"/>
  <c r="AO53" i="1"/>
  <c r="AO57" i="1"/>
  <c r="AX36" i="1"/>
  <c r="AR39" i="1"/>
  <c r="AU54" i="1"/>
  <c r="AU61" i="1"/>
  <c r="AU31" i="1"/>
  <c r="AR41" i="1"/>
  <c r="AI40" i="1"/>
  <c r="AF33" i="1"/>
  <c r="AC35" i="1"/>
  <c r="AL34" i="1"/>
  <c r="AX47" i="1"/>
  <c r="Z38" i="1"/>
  <c r="Z30" i="1"/>
  <c r="AX39" i="1"/>
  <c r="AU35" i="1"/>
  <c r="Z33" i="1"/>
  <c r="AR36" i="1"/>
  <c r="AO62" i="1"/>
  <c r="AR38" i="1"/>
  <c r="AL32" i="1"/>
  <c r="AO36" i="1"/>
  <c r="AF55" i="1"/>
  <c r="AI50" i="1"/>
  <c r="AX45" i="1"/>
  <c r="AX34" i="1"/>
  <c r="AX41" i="1"/>
  <c r="AU37" i="1"/>
  <c r="Z37" i="1"/>
  <c r="AO35" i="1"/>
  <c r="AO37" i="1"/>
  <c r="AI45" i="1"/>
  <c r="AL55" i="1"/>
  <c r="AO47" i="1"/>
  <c r="AL51" i="1"/>
  <c r="W48" i="1"/>
  <c r="Z54" i="1"/>
  <c r="AI30" i="1"/>
  <c r="AF37" i="1"/>
  <c r="W31" i="1"/>
  <c r="AC31" i="1"/>
  <c r="Z51" i="1"/>
  <c r="AR46" i="1"/>
  <c r="AL36" i="1"/>
  <c r="AI35" i="1"/>
  <c r="AO30" i="1"/>
  <c r="AF51" i="1"/>
  <c r="AO32" i="1"/>
  <c r="AL38" i="1"/>
  <c r="AL39" i="1"/>
  <c r="AC53" i="1"/>
  <c r="AI54" i="1"/>
  <c r="Z40" i="1"/>
  <c r="AF47" i="1"/>
  <c r="AI53" i="1"/>
  <c r="AO54" i="1"/>
  <c r="AI37" i="1"/>
  <c r="AL47" i="1"/>
  <c r="AC48" i="1"/>
  <c r="W45" i="1"/>
  <c r="AX38" i="1"/>
  <c r="AU53" i="1"/>
  <c r="Z55" i="1"/>
  <c r="AI42" i="1"/>
  <c r="AU30" i="1"/>
  <c r="Z61" i="1"/>
  <c r="AC42" i="1"/>
  <c r="AC62" i="1"/>
  <c r="AF54" i="1"/>
  <c r="AX32" i="1"/>
  <c r="AC57" i="1"/>
  <c r="AI61" i="1"/>
  <c r="Z46" i="1"/>
  <c r="AC45" i="1"/>
  <c r="Z34" i="1"/>
  <c r="AU57" i="1"/>
  <c r="W35" i="1"/>
  <c r="W41" i="1"/>
  <c r="AU33" i="1"/>
  <c r="AI57" i="1"/>
  <c r="AO61" i="1"/>
  <c r="Z50" i="1"/>
  <c r="AF40" i="1"/>
  <c r="AF39" i="1"/>
  <c r="AX50" i="1"/>
  <c r="AF61" i="1"/>
  <c r="S12" i="7"/>
  <c r="Q12" i="7"/>
  <c r="T12" i="7"/>
  <c r="R12" i="7"/>
  <c r="O13" i="7"/>
  <c r="O64" i="1"/>
  <c r="N24" i="1"/>
  <c r="N23" i="1"/>
  <c r="N25" i="1"/>
  <c r="N27" i="1"/>
  <c r="N13" i="1"/>
  <c r="N17" i="1"/>
  <c r="N12" i="1"/>
  <c r="N16" i="1"/>
  <c r="N10" i="1"/>
  <c r="N22" i="1"/>
  <c r="N19" i="1"/>
  <c r="N18" i="1"/>
  <c r="N14" i="1"/>
  <c r="P5" i="1"/>
  <c r="P6" i="1" s="1"/>
  <c r="N26" i="1"/>
  <c r="N11" i="1"/>
  <c r="N15" i="1"/>
  <c r="P70" i="1"/>
  <c r="H85" i="1"/>
  <c r="V82" i="1"/>
  <c r="S84" i="1"/>
  <c r="N81" i="1"/>
  <c r="N83" i="1"/>
  <c r="N80" i="1"/>
  <c r="N82" i="1"/>
  <c r="Y63" i="1"/>
  <c r="V83" i="1"/>
  <c r="W63" i="1"/>
  <c r="V75" i="1"/>
  <c r="U75" i="1"/>
  <c r="P85" i="1"/>
  <c r="V81" i="1"/>
  <c r="V80" i="1"/>
  <c r="K85" i="1"/>
  <c r="U18" i="1" l="1"/>
  <c r="U19" i="1"/>
  <c r="U49" i="1"/>
  <c r="U27" i="1"/>
  <c r="U12" i="1"/>
  <c r="U74" i="1"/>
  <c r="U13" i="1"/>
  <c r="U55" i="1"/>
  <c r="U16" i="1"/>
  <c r="U44" i="1"/>
  <c r="U56" i="1"/>
  <c r="U48" i="1"/>
  <c r="U30" i="1"/>
  <c r="U62" i="1"/>
  <c r="U15" i="1"/>
  <c r="U50" i="1"/>
  <c r="U22" i="1"/>
  <c r="U31" i="1"/>
  <c r="U43" i="1"/>
  <c r="U53" i="1"/>
  <c r="U46" i="1"/>
  <c r="U40" i="1"/>
  <c r="U47" i="1"/>
  <c r="U36" i="1"/>
  <c r="U35" i="1"/>
  <c r="U14" i="1"/>
  <c r="U10" i="1"/>
  <c r="U51" i="1"/>
  <c r="U17" i="1"/>
  <c r="U26" i="1"/>
  <c r="U58" i="1"/>
  <c r="V71" i="1"/>
  <c r="X58" i="1" s="1"/>
  <c r="U52" i="1"/>
  <c r="U11" i="1"/>
  <c r="U38" i="1"/>
  <c r="U39" i="1"/>
  <c r="U59" i="1"/>
  <c r="U34" i="1"/>
  <c r="U57" i="1"/>
  <c r="U54" i="1"/>
  <c r="U60" i="1"/>
  <c r="U42" i="1"/>
  <c r="U61" i="1"/>
  <c r="U25" i="1"/>
  <c r="U41" i="1"/>
  <c r="U23" i="1"/>
  <c r="U37" i="1"/>
  <c r="U32" i="1"/>
  <c r="U24" i="1"/>
  <c r="U33" i="1"/>
  <c r="R64" i="1"/>
  <c r="Q22" i="1"/>
  <c r="Q19" i="1"/>
  <c r="Q15" i="1"/>
  <c r="Q10" i="1"/>
  <c r="S70" i="1"/>
  <c r="Q26" i="1"/>
  <c r="Q18" i="1"/>
  <c r="Q14" i="1"/>
  <c r="Q24" i="1"/>
  <c r="Q25" i="1"/>
  <c r="S5" i="1"/>
  <c r="Q17" i="1"/>
  <c r="Q11" i="1"/>
  <c r="Q12" i="1"/>
  <c r="Q27" i="1"/>
  <c r="Q13" i="1"/>
  <c r="P78" i="1"/>
  <c r="Q23" i="1"/>
  <c r="Q16" i="1"/>
  <c r="Q13" i="7"/>
  <c r="S13" i="7"/>
  <c r="O14" i="7"/>
  <c r="T13" i="7"/>
  <c r="R13" i="7"/>
  <c r="P66" i="1"/>
  <c r="P67" i="1" s="1"/>
  <c r="P69" i="1" s="1"/>
  <c r="S4" i="1" s="1"/>
  <c r="N20" i="1"/>
  <c r="E15" i="7"/>
  <c r="F14" i="7"/>
  <c r="P13" i="7"/>
  <c r="H13" i="7"/>
  <c r="N13" i="7"/>
  <c r="W64" i="1"/>
  <c r="K44" i="4"/>
  <c r="J45" i="4"/>
  <c r="Q80" i="1"/>
  <c r="Q81" i="1"/>
  <c r="Q83" i="1"/>
  <c r="Q82" i="1"/>
  <c r="Y81" i="1"/>
  <c r="Y75" i="1"/>
  <c r="X75" i="1"/>
  <c r="V84" i="1"/>
  <c r="Q84" i="1"/>
  <c r="Y80" i="1"/>
  <c r="AB63" i="1"/>
  <c r="Y83" i="1"/>
  <c r="Z63" i="1"/>
  <c r="Z64" i="1" s="1"/>
  <c r="S85" i="1"/>
  <c r="Y82" i="1"/>
  <c r="N85" i="1"/>
  <c r="X27" i="1" l="1"/>
  <c r="X22" i="1"/>
  <c r="X15" i="1"/>
  <c r="X10" i="1"/>
  <c r="X25" i="1"/>
  <c r="X40" i="1"/>
  <c r="X12" i="1"/>
  <c r="X52" i="1"/>
  <c r="X16" i="1"/>
  <c r="X57" i="1"/>
  <c r="X43" i="1"/>
  <c r="X50" i="1"/>
  <c r="X51" i="1"/>
  <c r="X18" i="1"/>
  <c r="X38" i="1"/>
  <c r="X61" i="1"/>
  <c r="X33" i="1"/>
  <c r="X30" i="1"/>
  <c r="Y71" i="1"/>
  <c r="AA42" i="1" s="1"/>
  <c r="X39" i="1"/>
  <c r="X48" i="1"/>
  <c r="X47" i="1"/>
  <c r="X17" i="1"/>
  <c r="X14" i="1"/>
  <c r="X24" i="1"/>
  <c r="X74" i="1"/>
  <c r="X41" i="1"/>
  <c r="X19" i="1"/>
  <c r="X23" i="1"/>
  <c r="X46" i="1"/>
  <c r="X36" i="1"/>
  <c r="X13" i="1"/>
  <c r="X44" i="1"/>
  <c r="X35" i="1"/>
  <c r="X62" i="1"/>
  <c r="X55" i="1"/>
  <c r="U64" i="1"/>
  <c r="X11" i="1"/>
  <c r="X56" i="1"/>
  <c r="X31" i="1"/>
  <c r="X42" i="1"/>
  <c r="X32" i="1"/>
  <c r="X54" i="1"/>
  <c r="X49" i="1"/>
  <c r="X26" i="1"/>
  <c r="X60" i="1"/>
  <c r="X45" i="1"/>
  <c r="X53" i="1"/>
  <c r="X59" i="1"/>
  <c r="X37" i="1"/>
  <c r="X34" i="1"/>
  <c r="L44" i="4"/>
  <c r="K45" i="4"/>
  <c r="F15" i="7"/>
  <c r="E16" i="7"/>
  <c r="Q20" i="1"/>
  <c r="P14" i="7"/>
  <c r="H14" i="7"/>
  <c r="V5" i="1"/>
  <c r="T13" i="1"/>
  <c r="T17" i="1"/>
  <c r="T22" i="1"/>
  <c r="T14" i="1"/>
  <c r="T18" i="1"/>
  <c r="T24" i="1"/>
  <c r="T26" i="1"/>
  <c r="T16" i="1"/>
  <c r="T15" i="1"/>
  <c r="T27" i="1"/>
  <c r="T19" i="1"/>
  <c r="T12" i="1"/>
  <c r="T10" i="1"/>
  <c r="T23" i="1"/>
  <c r="T25" i="1"/>
  <c r="V70" i="1"/>
  <c r="T11" i="1"/>
  <c r="S6" i="1"/>
  <c r="S73" i="1"/>
  <c r="O15" i="7"/>
  <c r="T14" i="7"/>
  <c r="R14" i="7"/>
  <c r="Q14" i="7"/>
  <c r="S14" i="7"/>
  <c r="T82" i="1"/>
  <c r="T83" i="1"/>
  <c r="T80" i="1"/>
  <c r="T81" i="1"/>
  <c r="Y84" i="1"/>
  <c r="AB80" i="1"/>
  <c r="BB43" i="1"/>
  <c r="AX43" i="1"/>
  <c r="AL43" i="1"/>
  <c r="AO43" i="1"/>
  <c r="AR43" i="1"/>
  <c r="AU43" i="1"/>
  <c r="AI43" i="1"/>
  <c r="AB75" i="1"/>
  <c r="AA75" i="1"/>
  <c r="Q85" i="1"/>
  <c r="AB82" i="1"/>
  <c r="AE63" i="1"/>
  <c r="AC63" i="1"/>
  <c r="AC64" i="1" s="1"/>
  <c r="AB83" i="1"/>
  <c r="V85" i="1"/>
  <c r="W84" i="1" s="1"/>
  <c r="AB81" i="1"/>
  <c r="T84" i="1"/>
  <c r="AA23" i="1" l="1"/>
  <c r="AA45" i="1"/>
  <c r="AA51" i="1"/>
  <c r="AA10" i="1"/>
  <c r="AA39" i="1"/>
  <c r="AA49" i="1"/>
  <c r="AA31" i="1"/>
  <c r="AA40" i="1"/>
  <c r="AA37" i="1"/>
  <c r="AA44" i="1"/>
  <c r="AA60" i="1"/>
  <c r="AA58" i="1"/>
  <c r="AB71" i="1"/>
  <c r="AD58" i="1" s="1"/>
  <c r="AA41" i="1"/>
  <c r="AA36" i="1"/>
  <c r="AA16" i="1"/>
  <c r="AA57" i="1"/>
  <c r="AA13" i="1"/>
  <c r="AA59" i="1"/>
  <c r="AA53" i="1"/>
  <c r="AA12" i="1"/>
  <c r="AA55" i="1"/>
  <c r="AA14" i="1"/>
  <c r="AA15" i="1"/>
  <c r="AA33" i="1"/>
  <c r="AA61" i="1"/>
  <c r="AA27" i="1"/>
  <c r="AA43" i="1"/>
  <c r="AA24" i="1"/>
  <c r="AA35" i="1"/>
  <c r="AA48" i="1"/>
  <c r="AA22" i="1"/>
  <c r="AA47" i="1"/>
  <c r="AA74" i="1"/>
  <c r="AA18" i="1"/>
  <c r="AA62" i="1"/>
  <c r="AA34" i="1"/>
  <c r="AA25" i="1"/>
  <c r="AA26" i="1"/>
  <c r="AA11" i="1"/>
  <c r="AA32" i="1"/>
  <c r="AA30" i="1"/>
  <c r="AA50" i="1"/>
  <c r="AA19" i="1"/>
  <c r="AA38" i="1"/>
  <c r="AA46" i="1"/>
  <c r="AA56" i="1"/>
  <c r="AA52" i="1"/>
  <c r="X64" i="1"/>
  <c r="AA54" i="1"/>
  <c r="AA17" i="1"/>
  <c r="R15" i="7"/>
  <c r="Q15" i="7"/>
  <c r="T15" i="7"/>
  <c r="S15" i="7"/>
  <c r="O16" i="7"/>
  <c r="S66" i="1"/>
  <c r="S67" i="1" s="1"/>
  <c r="S69" i="1" s="1"/>
  <c r="V4" i="1" s="1"/>
  <c r="W23" i="1"/>
  <c r="W25" i="1"/>
  <c r="W27" i="1"/>
  <c r="Y5" i="1"/>
  <c r="W11" i="1"/>
  <c r="W15" i="1"/>
  <c r="W19" i="1"/>
  <c r="W18" i="1"/>
  <c r="Y70" i="1"/>
  <c r="W16" i="1"/>
  <c r="W13" i="1"/>
  <c r="W12" i="1"/>
  <c r="W10" i="1"/>
  <c r="W14" i="1"/>
  <c r="W24" i="1"/>
  <c r="W26" i="1"/>
  <c r="W22" i="1"/>
  <c r="W17" i="1"/>
  <c r="E17" i="7"/>
  <c r="F16" i="7"/>
  <c r="T20" i="1"/>
  <c r="H15" i="7"/>
  <c r="P15" i="7"/>
  <c r="M44" i="4"/>
  <c r="L45" i="4"/>
  <c r="L49" i="8"/>
  <c r="W80" i="1"/>
  <c r="W81" i="1"/>
  <c r="W83" i="1"/>
  <c r="W82" i="1"/>
  <c r="AE82" i="1"/>
  <c r="AE75" i="1"/>
  <c r="AD75" i="1"/>
  <c r="AE81" i="1"/>
  <c r="AB84" i="1"/>
  <c r="AH63" i="1"/>
  <c r="AF63" i="1"/>
  <c r="AF64" i="1" s="1"/>
  <c r="AE83" i="1"/>
  <c r="AE80" i="1"/>
  <c r="Y85" i="1"/>
  <c r="T85" i="1"/>
  <c r="AD10" i="1" l="1"/>
  <c r="AD55" i="1"/>
  <c r="AD23" i="1"/>
  <c r="AD74" i="1"/>
  <c r="AD13" i="1"/>
  <c r="AD42" i="1"/>
  <c r="AD12" i="1"/>
  <c r="AD31" i="1"/>
  <c r="AD50" i="1"/>
  <c r="AD37" i="1"/>
  <c r="AD35" i="1"/>
  <c r="AD34" i="1"/>
  <c r="AD53" i="1"/>
  <c r="AD46" i="1"/>
  <c r="AD52" i="1"/>
  <c r="AD25" i="1"/>
  <c r="AE71" i="1"/>
  <c r="AG55" i="1" s="1"/>
  <c r="AD17" i="1"/>
  <c r="AD54" i="1"/>
  <c r="AD48" i="1"/>
  <c r="AD16" i="1"/>
  <c r="AA64" i="1"/>
  <c r="AD39" i="1"/>
  <c r="AD47" i="1"/>
  <c r="AD30" i="1"/>
  <c r="AD11" i="1"/>
  <c r="AD45" i="1"/>
  <c r="AD51" i="1"/>
  <c r="AD22" i="1"/>
  <c r="AD61" i="1"/>
  <c r="AD19" i="1"/>
  <c r="AD60" i="1"/>
  <c r="AD36" i="1"/>
  <c r="AD32" i="1"/>
  <c r="AD44" i="1"/>
  <c r="AD14" i="1"/>
  <c r="AD62" i="1"/>
  <c r="AD27" i="1"/>
  <c r="AD43" i="1"/>
  <c r="AD49" i="1"/>
  <c r="AD18" i="1"/>
  <c r="AD59" i="1"/>
  <c r="AD15" i="1"/>
  <c r="AD33" i="1"/>
  <c r="AD57" i="1"/>
  <c r="AD26" i="1"/>
  <c r="AD24" i="1"/>
  <c r="AD56" i="1"/>
  <c r="AD40" i="1"/>
  <c r="AD38" i="1"/>
  <c r="AD41" i="1"/>
  <c r="N44" i="4"/>
  <c r="M45" i="4"/>
  <c r="H16" i="7"/>
  <c r="P16" i="7"/>
  <c r="W20" i="1"/>
  <c r="V6" i="1"/>
  <c r="V73" i="1"/>
  <c r="E18" i="7"/>
  <c r="F17" i="7"/>
  <c r="T16" i="7"/>
  <c r="R16" i="7"/>
  <c r="Q16" i="7"/>
  <c r="S16" i="7"/>
  <c r="O17" i="7"/>
  <c r="Z10" i="1"/>
  <c r="Z22" i="1"/>
  <c r="Z24" i="1"/>
  <c r="Z26" i="1"/>
  <c r="Z23" i="1"/>
  <c r="Z25" i="1"/>
  <c r="Z17" i="1"/>
  <c r="AB5" i="1"/>
  <c r="Z13" i="1"/>
  <c r="AB70" i="1"/>
  <c r="Z11" i="1"/>
  <c r="Z15" i="1"/>
  <c r="Z19" i="1"/>
  <c r="Z14" i="1"/>
  <c r="Z18" i="1"/>
  <c r="Z27" i="1"/>
  <c r="Z12" i="1"/>
  <c r="Z16" i="1"/>
  <c r="L53" i="8"/>
  <c r="AH80" i="1"/>
  <c r="AE84" i="1"/>
  <c r="AB85" i="1"/>
  <c r="AC84" i="1" s="1"/>
  <c r="AH81" i="1"/>
  <c r="AG75" i="1"/>
  <c r="AH75" i="1"/>
  <c r="W85" i="1"/>
  <c r="Z82" i="1"/>
  <c r="Z83" i="1"/>
  <c r="Z80" i="1"/>
  <c r="Z81" i="1"/>
  <c r="AK63" i="1"/>
  <c r="AH83" i="1"/>
  <c r="AI63" i="1"/>
  <c r="AI64" i="1" s="1"/>
  <c r="AH82" i="1"/>
  <c r="Z84" i="1"/>
  <c r="Z20" i="1" l="1"/>
  <c r="AG39" i="1"/>
  <c r="AG43" i="1"/>
  <c r="AG41" i="1"/>
  <c r="AG57" i="1"/>
  <c r="AG42" i="1"/>
  <c r="AG14" i="1"/>
  <c r="AG23" i="1"/>
  <c r="AG54" i="1"/>
  <c r="AG18" i="1"/>
  <c r="AG49" i="1"/>
  <c r="AG16" i="1"/>
  <c r="AG40" i="1"/>
  <c r="AG37" i="1"/>
  <c r="AG59" i="1"/>
  <c r="AG15" i="1"/>
  <c r="AG31" i="1"/>
  <c r="AG60" i="1"/>
  <c r="AG36" i="1"/>
  <c r="AG10" i="1"/>
  <c r="AG58" i="1"/>
  <c r="AH71" i="1"/>
  <c r="AJ59" i="1" s="1"/>
  <c r="AG51" i="1"/>
  <c r="AG46" i="1"/>
  <c r="AG52" i="1"/>
  <c r="AG34" i="1"/>
  <c r="AG22" i="1"/>
  <c r="AG50" i="1"/>
  <c r="AG30" i="1"/>
  <c r="AG19" i="1"/>
  <c r="AG17" i="1"/>
  <c r="AD64" i="1"/>
  <c r="AG61" i="1"/>
  <c r="AG33" i="1"/>
  <c r="AG13" i="1"/>
  <c r="AG56" i="1"/>
  <c r="AG12" i="1"/>
  <c r="AG35" i="1"/>
  <c r="AG25" i="1"/>
  <c r="AG38" i="1"/>
  <c r="AG27" i="1"/>
  <c r="AG11" i="1"/>
  <c r="AG24" i="1"/>
  <c r="AG53" i="1"/>
  <c r="AG26" i="1"/>
  <c r="AG47" i="1"/>
  <c r="AG44" i="1"/>
  <c r="AG32" i="1"/>
  <c r="AG74" i="1"/>
  <c r="AG62" i="1"/>
  <c r="AG45" i="1"/>
  <c r="AG48" i="1"/>
  <c r="R17" i="7"/>
  <c r="S17" i="7"/>
  <c r="O18" i="7"/>
  <c r="Q17" i="7"/>
  <c r="T17" i="7"/>
  <c r="H17" i="7"/>
  <c r="P17" i="7"/>
  <c r="N17" i="7"/>
  <c r="F18" i="7"/>
  <c r="E19" i="7"/>
  <c r="V66" i="1"/>
  <c r="V67" i="1" s="1"/>
  <c r="V69" i="1" s="1"/>
  <c r="Y4" i="1" s="1"/>
  <c r="AE5" i="1"/>
  <c r="AC14" i="1"/>
  <c r="AC18" i="1"/>
  <c r="AC11" i="1"/>
  <c r="AC15" i="1"/>
  <c r="AC19" i="1"/>
  <c r="AC23" i="1"/>
  <c r="AC25" i="1"/>
  <c r="AC27" i="1"/>
  <c r="AC22" i="1"/>
  <c r="AC13" i="1"/>
  <c r="AC17" i="1"/>
  <c r="AC16" i="1"/>
  <c r="AC24" i="1"/>
  <c r="AC10" i="1"/>
  <c r="AC12" i="1"/>
  <c r="AE70" i="1"/>
  <c r="AC26" i="1"/>
  <c r="O44" i="4"/>
  <c r="N45" i="4"/>
  <c r="BB22" i="1"/>
  <c r="BH22" i="1"/>
  <c r="AN65" i="1"/>
  <c r="AK82" i="1"/>
  <c r="AH84" i="1"/>
  <c r="AK81" i="1"/>
  <c r="Z85" i="1"/>
  <c r="AN63" i="1"/>
  <c r="AK83" i="1"/>
  <c r="AL63" i="1"/>
  <c r="AL64" i="1" s="1"/>
  <c r="AK75" i="1"/>
  <c r="AJ75" i="1"/>
  <c r="AC81" i="1"/>
  <c r="AC83" i="1"/>
  <c r="AC80" i="1"/>
  <c r="AC82" i="1"/>
  <c r="AE85" i="1"/>
  <c r="AK80" i="1"/>
  <c r="AK71" i="1" l="1"/>
  <c r="AM60" i="1" s="1"/>
  <c r="AJ34" i="1"/>
  <c r="AJ25" i="1"/>
  <c r="AJ55" i="1"/>
  <c r="AJ46" i="1"/>
  <c r="AJ38" i="1"/>
  <c r="AJ49" i="1"/>
  <c r="AJ19" i="1"/>
  <c r="AJ58" i="1"/>
  <c r="AJ51" i="1"/>
  <c r="AJ56" i="1"/>
  <c r="AJ35" i="1"/>
  <c r="AJ40" i="1"/>
  <c r="AJ14" i="1"/>
  <c r="AJ23" i="1"/>
  <c r="AJ52" i="1"/>
  <c r="AJ18" i="1"/>
  <c r="AJ12" i="1"/>
  <c r="AJ39" i="1"/>
  <c r="AJ47" i="1"/>
  <c r="AJ44" i="1"/>
  <c r="AJ50" i="1"/>
  <c r="AJ27" i="1"/>
  <c r="AJ11" i="1"/>
  <c r="AJ31" i="1"/>
  <c r="AJ24" i="1"/>
  <c r="AJ43" i="1"/>
  <c r="AG64" i="1"/>
  <c r="AJ15" i="1"/>
  <c r="AJ33" i="1"/>
  <c r="AJ26" i="1"/>
  <c r="AJ62" i="1"/>
  <c r="AJ32" i="1"/>
  <c r="AJ36" i="1"/>
  <c r="AJ42" i="1"/>
  <c r="AJ74" i="1"/>
  <c r="AJ22" i="1"/>
  <c r="AJ54" i="1"/>
  <c r="AJ60" i="1"/>
  <c r="AJ45" i="1"/>
  <c r="AJ37" i="1"/>
  <c r="AJ48" i="1"/>
  <c r="AJ13" i="1"/>
  <c r="AJ17" i="1"/>
  <c r="AJ30" i="1"/>
  <c r="AJ53" i="1"/>
  <c r="AJ57" i="1"/>
  <c r="AJ61" i="1"/>
  <c r="AJ10" i="1"/>
  <c r="AJ41" i="1"/>
  <c r="AJ16" i="1"/>
  <c r="P44" i="4"/>
  <c r="O45" i="4"/>
  <c r="AC20" i="1"/>
  <c r="I16" i="7"/>
  <c r="I21" i="7"/>
  <c r="AH70" i="1"/>
  <c r="I23" i="7"/>
  <c r="AH5" i="1"/>
  <c r="I24" i="7"/>
  <c r="AF23" i="1"/>
  <c r="I25" i="7"/>
  <c r="AF25" i="1"/>
  <c r="AF27" i="1"/>
  <c r="AF22" i="1"/>
  <c r="AF14" i="1"/>
  <c r="AF13" i="1"/>
  <c r="AF17" i="1"/>
  <c r="AF10" i="1"/>
  <c r="AF11" i="1"/>
  <c r="I13" i="7"/>
  <c r="I8" i="7"/>
  <c r="I10" i="7"/>
  <c r="I12" i="7"/>
  <c r="AF15" i="1"/>
  <c r="I14" i="7"/>
  <c r="AF24" i="1"/>
  <c r="AF18" i="1"/>
  <c r="AF26" i="1"/>
  <c r="AF12" i="1"/>
  <c r="AF16" i="1"/>
  <c r="I7" i="7"/>
  <c r="I11" i="7"/>
  <c r="I6" i="7"/>
  <c r="I17" i="7"/>
  <c r="I9" i="7"/>
  <c r="I20" i="7"/>
  <c r="I19" i="7"/>
  <c r="AF19" i="1"/>
  <c r="I18" i="7"/>
  <c r="I15" i="7"/>
  <c r="I22" i="7"/>
  <c r="Y6" i="1"/>
  <c r="Y73" i="1"/>
  <c r="F19" i="7"/>
  <c r="E20" i="7"/>
  <c r="H18" i="7"/>
  <c r="P18" i="7"/>
  <c r="S18" i="7"/>
  <c r="O19" i="7"/>
  <c r="Q18" i="7"/>
  <c r="T18" i="7"/>
  <c r="R18" i="7"/>
  <c r="L44" i="8"/>
  <c r="AC85" i="1"/>
  <c r="AN80" i="1"/>
  <c r="AF81" i="1"/>
  <c r="AF80" i="1"/>
  <c r="AF83" i="1"/>
  <c r="AF82" i="1"/>
  <c r="AQ63" i="1"/>
  <c r="AN83" i="1"/>
  <c r="AO63" i="1"/>
  <c r="AO64" i="1" s="1"/>
  <c r="AN75" i="1"/>
  <c r="AM75" i="1"/>
  <c r="AK84" i="1"/>
  <c r="AH85" i="1"/>
  <c r="AI84" i="1" s="1"/>
  <c r="AN82" i="1"/>
  <c r="AF84" i="1"/>
  <c r="AM43" i="1" l="1"/>
  <c r="AM39" i="1"/>
  <c r="AM59" i="1"/>
  <c r="AM11" i="1"/>
  <c r="AM48" i="1"/>
  <c r="AM38" i="1"/>
  <c r="AM19" i="1"/>
  <c r="AM37" i="1"/>
  <c r="AM46" i="1"/>
  <c r="AM16" i="1"/>
  <c r="AM24" i="1"/>
  <c r="AM50" i="1"/>
  <c r="AM54" i="1"/>
  <c r="AM57" i="1"/>
  <c r="AM32" i="1"/>
  <c r="AM58" i="1"/>
  <c r="AM40" i="1"/>
  <c r="AM14" i="1"/>
  <c r="AM33" i="1"/>
  <c r="AM53" i="1"/>
  <c r="AM42" i="1"/>
  <c r="AM41" i="1"/>
  <c r="AM30" i="1"/>
  <c r="AM31" i="1"/>
  <c r="AM56" i="1"/>
  <c r="AM44" i="1"/>
  <c r="AM26" i="1"/>
  <c r="AM18" i="1"/>
  <c r="AM35" i="1"/>
  <c r="AM10" i="1"/>
  <c r="AM36" i="1"/>
  <c r="AM74" i="1"/>
  <c r="AM12" i="1"/>
  <c r="AM22" i="1"/>
  <c r="AM23" i="1"/>
  <c r="AM13" i="1"/>
  <c r="AM49" i="1"/>
  <c r="AM52" i="1"/>
  <c r="AM27" i="1"/>
  <c r="AM17" i="1"/>
  <c r="AM15" i="1"/>
  <c r="AM34" i="1"/>
  <c r="AM51" i="1"/>
  <c r="AM61" i="1"/>
  <c r="AM55" i="1"/>
  <c r="AM62" i="1"/>
  <c r="AM25" i="1"/>
  <c r="AM45" i="1"/>
  <c r="AM47" i="1"/>
  <c r="AJ64" i="1"/>
  <c r="O20" i="7"/>
  <c r="Q19" i="7"/>
  <c r="T19" i="7"/>
  <c r="R19" i="7"/>
  <c r="S19" i="7"/>
  <c r="AF20" i="1"/>
  <c r="AI16" i="1"/>
  <c r="AI12" i="1"/>
  <c r="AI25" i="1"/>
  <c r="AI27" i="1"/>
  <c r="AI17" i="1"/>
  <c r="AI14" i="1"/>
  <c r="AI19" i="1"/>
  <c r="AK5" i="1"/>
  <c r="AI15" i="1"/>
  <c r="AI10" i="1"/>
  <c r="AI11" i="1"/>
  <c r="AI18" i="1"/>
  <c r="AI23" i="1"/>
  <c r="AI13" i="1"/>
  <c r="AI24" i="1"/>
  <c r="AI22" i="1"/>
  <c r="AI26" i="1"/>
  <c r="AK70" i="1"/>
  <c r="E21" i="7"/>
  <c r="F20" i="7"/>
  <c r="H19" i="7"/>
  <c r="P19" i="7"/>
  <c r="Y66" i="1"/>
  <c r="Y67" i="1" s="1"/>
  <c r="Y69" i="1" s="1"/>
  <c r="AB4" i="1" s="1"/>
  <c r="Q44" i="4"/>
  <c r="P45" i="4"/>
  <c r="L7" i="8"/>
  <c r="AF85" i="1"/>
  <c r="AQ75" i="1"/>
  <c r="AP75" i="1"/>
  <c r="AQ82" i="1"/>
  <c r="AI80" i="1"/>
  <c r="AI82" i="1"/>
  <c r="AI83" i="1"/>
  <c r="AI81" i="1"/>
  <c r="AK85" i="1"/>
  <c r="AL84" i="1" s="1"/>
  <c r="AN84" i="1"/>
  <c r="AT63" i="1"/>
  <c r="AQ83" i="1"/>
  <c r="AR63" i="1"/>
  <c r="AR64" i="1" s="1"/>
  <c r="AM64" i="1" l="1"/>
  <c r="Q45" i="4"/>
  <c r="R44" i="4"/>
  <c r="P20" i="7"/>
  <c r="H20" i="7"/>
  <c r="E22" i="7"/>
  <c r="F21" i="7"/>
  <c r="N21" i="7" s="1"/>
  <c r="AI20" i="1"/>
  <c r="AL16" i="1"/>
  <c r="AL24" i="1"/>
  <c r="AL13" i="1"/>
  <c r="AL15" i="1"/>
  <c r="AL25" i="1"/>
  <c r="AL27" i="1"/>
  <c r="AL19" i="1"/>
  <c r="AL17" i="1"/>
  <c r="AL22" i="1"/>
  <c r="AL12" i="1"/>
  <c r="AL14" i="1"/>
  <c r="AL23" i="1"/>
  <c r="AL11" i="1"/>
  <c r="AL26" i="1"/>
  <c r="AL18" i="1"/>
  <c r="AL10" i="1"/>
  <c r="AN5" i="1"/>
  <c r="AN6" i="1" s="1"/>
  <c r="AN70" i="1"/>
  <c r="AB73" i="1"/>
  <c r="AB6" i="1"/>
  <c r="O21" i="7"/>
  <c r="S20" i="7"/>
  <c r="Q20" i="7"/>
  <c r="T20" i="7"/>
  <c r="R20" i="7"/>
  <c r="AQ65" i="1"/>
  <c r="AI85" i="1"/>
  <c r="AT75" i="1"/>
  <c r="AS75" i="1"/>
  <c r="AQ84" i="1"/>
  <c r="AW63" i="1"/>
  <c r="AU63" i="1"/>
  <c r="AU64" i="1" s="1"/>
  <c r="AT83" i="1"/>
  <c r="AL80" i="1"/>
  <c r="AL83" i="1"/>
  <c r="AL81" i="1"/>
  <c r="AL82" i="1"/>
  <c r="AT82" i="1"/>
  <c r="AQ70" i="1" l="1"/>
  <c r="AR13" i="1" s="1"/>
  <c r="O22" i="7"/>
  <c r="Q21" i="7"/>
  <c r="S21" i="7"/>
  <c r="T21" i="7"/>
  <c r="R21" i="7"/>
  <c r="BB25" i="1"/>
  <c r="AN66" i="1"/>
  <c r="AN67" i="1" s="1"/>
  <c r="AN69" i="1" s="1"/>
  <c r="AQ4" i="1" s="1"/>
  <c r="AB66" i="1"/>
  <c r="AB67" i="1" s="1"/>
  <c r="AB69" i="1" s="1"/>
  <c r="AE4" i="1" s="1"/>
  <c r="AL20" i="1"/>
  <c r="AO15" i="1"/>
  <c r="AO10" i="1"/>
  <c r="AO12" i="1"/>
  <c r="AO23" i="1"/>
  <c r="AO13" i="1"/>
  <c r="AO27" i="1"/>
  <c r="AO16" i="1"/>
  <c r="AQ5" i="1"/>
  <c r="AO17" i="1"/>
  <c r="AO14" i="1"/>
  <c r="AO24" i="1"/>
  <c r="AO19" i="1"/>
  <c r="AO22" i="1"/>
  <c r="AO11" i="1"/>
  <c r="AO18" i="1"/>
  <c r="AO26" i="1"/>
  <c r="F22" i="7"/>
  <c r="E23" i="7"/>
  <c r="S44" i="4"/>
  <c r="R45" i="4"/>
  <c r="H21" i="7"/>
  <c r="P21" i="7"/>
  <c r="AR19" i="1"/>
  <c r="AR10" i="1"/>
  <c r="AR14" i="1"/>
  <c r="G39" i="8"/>
  <c r="BB63" i="1"/>
  <c r="AW82" i="1"/>
  <c r="AT84" i="1"/>
  <c r="AW83" i="1"/>
  <c r="AX63" i="1"/>
  <c r="AX64" i="1" s="1"/>
  <c r="AW75" i="1"/>
  <c r="AY75" i="1" s="1"/>
  <c r="AV75" i="1"/>
  <c r="AL85" i="1"/>
  <c r="AR25" i="1" l="1"/>
  <c r="AR22" i="1"/>
  <c r="AR17" i="1"/>
  <c r="AR18" i="1"/>
  <c r="AR26" i="1"/>
  <c r="AR15" i="1"/>
  <c r="AT5" i="1"/>
  <c r="AR23" i="1"/>
  <c r="AR11" i="1"/>
  <c r="AR12" i="1"/>
  <c r="AR16" i="1"/>
  <c r="AR24" i="1"/>
  <c r="AT4" i="1"/>
  <c r="AT73" i="1" s="1"/>
  <c r="AQ73" i="1"/>
  <c r="AQ6" i="1"/>
  <c r="AO20" i="1"/>
  <c r="AE6" i="1"/>
  <c r="AE73" i="1"/>
  <c r="BH25" i="1"/>
  <c r="BH27" i="1" s="1"/>
  <c r="AN71" i="1"/>
  <c r="AP25" i="1" s="1"/>
  <c r="AO25" i="1"/>
  <c r="AN81" i="1"/>
  <c r="T44" i="4"/>
  <c r="S45" i="4"/>
  <c r="AR27" i="1"/>
  <c r="F23" i="7"/>
  <c r="E24" i="7"/>
  <c r="P22" i="7"/>
  <c r="H22" i="7"/>
  <c r="O23" i="7"/>
  <c r="T22" i="7"/>
  <c r="R22" i="7"/>
  <c r="Q22" i="7"/>
  <c r="S22" i="7"/>
  <c r="AR20" i="1"/>
  <c r="L45" i="8"/>
  <c r="L52" i="8"/>
  <c r="BA63" i="1"/>
  <c r="AZ82" i="1"/>
  <c r="AZ84" i="1" s="1"/>
  <c r="AW84" i="1"/>
  <c r="AT6" i="1" l="1"/>
  <c r="AT66" i="1" s="1"/>
  <c r="BA25" i="1"/>
  <c r="U44" i="4"/>
  <c r="T45" i="4"/>
  <c r="E25" i="7"/>
  <c r="F24" i="7"/>
  <c r="H23" i="7"/>
  <c r="P23" i="7"/>
  <c r="AP47" i="1"/>
  <c r="AP12" i="1"/>
  <c r="AP54" i="1"/>
  <c r="AP49" i="1"/>
  <c r="AP61" i="1"/>
  <c r="AP34" i="1"/>
  <c r="AP30" i="1"/>
  <c r="AP38" i="1"/>
  <c r="AP27" i="1"/>
  <c r="AP41" i="1"/>
  <c r="AP32" i="1"/>
  <c r="AP46" i="1"/>
  <c r="AP36" i="1"/>
  <c r="AP51" i="1"/>
  <c r="AP44" i="1"/>
  <c r="AP55" i="1"/>
  <c r="AP62" i="1"/>
  <c r="AP26" i="1"/>
  <c r="AP37" i="1"/>
  <c r="AP40" i="1"/>
  <c r="AP19" i="1"/>
  <c r="AP50" i="1"/>
  <c r="AP53" i="1"/>
  <c r="AP43" i="1"/>
  <c r="AP31" i="1"/>
  <c r="AP10" i="1"/>
  <c r="AP11" i="1"/>
  <c r="AP45" i="1"/>
  <c r="AP60" i="1"/>
  <c r="AP17" i="1"/>
  <c r="AP15" i="1"/>
  <c r="AP56" i="1"/>
  <c r="AP52" i="1"/>
  <c r="AP74" i="1"/>
  <c r="AP22" i="1"/>
  <c r="AP39" i="1"/>
  <c r="AP16" i="1"/>
  <c r="AP14" i="1"/>
  <c r="AP48" i="1"/>
  <c r="AP57" i="1"/>
  <c r="AP18" i="1"/>
  <c r="AP33" i="1"/>
  <c r="AP24" i="1"/>
  <c r="AP35" i="1"/>
  <c r="AP13" i="1"/>
  <c r="AP58" i="1"/>
  <c r="AP23" i="1"/>
  <c r="AP42" i="1"/>
  <c r="AP59" i="1"/>
  <c r="AQ71" i="1"/>
  <c r="Q23" i="7"/>
  <c r="S23" i="7"/>
  <c r="T23" i="7"/>
  <c r="O24" i="7"/>
  <c r="R23" i="7"/>
  <c r="AN85" i="1"/>
  <c r="AO81" i="1" s="1"/>
  <c r="AQ81" i="1"/>
  <c r="BE58" i="1"/>
  <c r="BE60" i="1"/>
  <c r="BE59" i="1"/>
  <c r="BE50" i="1"/>
  <c r="BE53" i="1"/>
  <c r="BE54" i="1"/>
  <c r="BE61" i="1"/>
  <c r="BE55" i="1"/>
  <c r="BE47" i="1"/>
  <c r="BE57" i="1"/>
  <c r="BE52" i="1"/>
  <c r="BE56" i="1"/>
  <c r="BE48" i="1"/>
  <c r="BE49" i="1"/>
  <c r="BE51" i="1"/>
  <c r="BE13" i="1"/>
  <c r="BA17" i="1"/>
  <c r="BA46" i="1"/>
  <c r="BE36" i="1"/>
  <c r="BA10" i="1"/>
  <c r="BE45" i="1"/>
  <c r="BA36" i="1"/>
  <c r="BE31" i="1"/>
  <c r="BA45" i="1"/>
  <c r="BE11" i="1"/>
  <c r="BA24" i="1"/>
  <c r="BA16" i="1"/>
  <c r="BA35" i="1"/>
  <c r="BA44" i="1"/>
  <c r="BE44" i="1"/>
  <c r="BA42" i="1"/>
  <c r="BE39" i="1"/>
  <c r="BE38" i="1"/>
  <c r="BA15" i="1"/>
  <c r="BE35" i="1"/>
  <c r="BA33" i="1"/>
  <c r="BE34" i="1"/>
  <c r="BA11" i="1"/>
  <c r="BA19" i="1"/>
  <c r="BA13" i="1"/>
  <c r="BA30" i="1"/>
  <c r="BA41" i="1"/>
  <c r="BE42" i="1"/>
  <c r="BE32" i="1"/>
  <c r="BE33" i="1"/>
  <c r="BA26" i="1"/>
  <c r="BE62" i="1"/>
  <c r="BE46" i="1"/>
  <c r="BE41" i="1"/>
  <c r="BA37" i="1"/>
  <c r="BA62" i="1"/>
  <c r="BE12" i="1"/>
  <c r="BA32" i="1"/>
  <c r="BE37" i="1"/>
  <c r="BE40" i="1"/>
  <c r="BA31" i="1"/>
  <c r="BA39" i="1"/>
  <c r="BA34" i="1"/>
  <c r="BA40" i="1"/>
  <c r="BE30" i="1"/>
  <c r="BA18" i="1"/>
  <c r="AE66" i="1"/>
  <c r="AE67" i="1" s="1"/>
  <c r="AE69" i="1" s="1"/>
  <c r="AH4" i="1" s="1"/>
  <c r="BE10" i="1"/>
  <c r="BA38" i="1"/>
  <c r="BA23" i="1"/>
  <c r="BA12" i="1"/>
  <c r="BE43" i="1"/>
  <c r="BA43" i="1"/>
  <c r="BA22" i="1"/>
  <c r="BE22" i="1"/>
  <c r="AQ80" i="1"/>
  <c r="AT80" i="1" s="1"/>
  <c r="AQ66" i="1"/>
  <c r="AQ67" i="1" s="1"/>
  <c r="AQ69" i="1" s="1"/>
  <c r="AT65" i="1"/>
  <c r="AT70" i="1" s="1"/>
  <c r="BB14" i="1"/>
  <c r="F54" i="8"/>
  <c r="L8" i="8"/>
  <c r="F39" i="8"/>
  <c r="G54" i="8"/>
  <c r="T24" i="7" l="1"/>
  <c r="R24" i="7"/>
  <c r="Q24" i="7"/>
  <c r="S24" i="7"/>
  <c r="O25" i="7"/>
  <c r="AP64" i="1"/>
  <c r="H24" i="7"/>
  <c r="P24" i="7"/>
  <c r="N25" i="7"/>
  <c r="AS46" i="1"/>
  <c r="AS56" i="1"/>
  <c r="AS14" i="1"/>
  <c r="AS16" i="1"/>
  <c r="AS26" i="1"/>
  <c r="AS12" i="1"/>
  <c r="AS51" i="1"/>
  <c r="AS34" i="1"/>
  <c r="AS17" i="1"/>
  <c r="AS57" i="1"/>
  <c r="AS38" i="1"/>
  <c r="AS42" i="1"/>
  <c r="AS74" i="1"/>
  <c r="AS23" i="1"/>
  <c r="AS41" i="1"/>
  <c r="AS25" i="1"/>
  <c r="AS48" i="1"/>
  <c r="AS13" i="1"/>
  <c r="AS58" i="1"/>
  <c r="AS37" i="1"/>
  <c r="AS22" i="1"/>
  <c r="AS59" i="1"/>
  <c r="AS45" i="1"/>
  <c r="AS55" i="1"/>
  <c r="AS27" i="1"/>
  <c r="AS54" i="1"/>
  <c r="AS40" i="1"/>
  <c r="AS32" i="1"/>
  <c r="AS39" i="1"/>
  <c r="AS36" i="1"/>
  <c r="AS30" i="1"/>
  <c r="AS31" i="1"/>
  <c r="AS19" i="1"/>
  <c r="AS62" i="1"/>
  <c r="AS35" i="1"/>
  <c r="AT71" i="1"/>
  <c r="AS52" i="1"/>
  <c r="AS43" i="1"/>
  <c r="AS60" i="1"/>
  <c r="AS10" i="1"/>
  <c r="AS33" i="1"/>
  <c r="AS24" i="1"/>
  <c r="AS11" i="1"/>
  <c r="AS61" i="1"/>
  <c r="AS53" i="1"/>
  <c r="AS47" i="1"/>
  <c r="AS50" i="1"/>
  <c r="AS15" i="1"/>
  <c r="AS49" i="1"/>
  <c r="AS44" i="1"/>
  <c r="AS18" i="1"/>
  <c r="AH6" i="1"/>
  <c r="AH73" i="1"/>
  <c r="AT81" i="1"/>
  <c r="AW81" i="1" s="1"/>
  <c r="AZ81" i="1" s="1"/>
  <c r="AQ85" i="1"/>
  <c r="AR81" i="1" s="1"/>
  <c r="E26" i="7"/>
  <c r="F25" i="7"/>
  <c r="AO84" i="1"/>
  <c r="AO82" i="1"/>
  <c r="AO83" i="1"/>
  <c r="AO80" i="1"/>
  <c r="AN88" i="1"/>
  <c r="AN87" i="1"/>
  <c r="U45" i="4"/>
  <c r="V44" i="4"/>
  <c r="AT67" i="1"/>
  <c r="AT69" i="1" s="1"/>
  <c r="AW80" i="1"/>
  <c r="AU24" i="1"/>
  <c r="AU19" i="1"/>
  <c r="AU25" i="1"/>
  <c r="AU27" i="1"/>
  <c r="AU14" i="1"/>
  <c r="AU17" i="1"/>
  <c r="AU13" i="1"/>
  <c r="AU23" i="1"/>
  <c r="AU15" i="1"/>
  <c r="AW70" i="1"/>
  <c r="AU11" i="1"/>
  <c r="AU12" i="1"/>
  <c r="AU10" i="1"/>
  <c r="AW5" i="1"/>
  <c r="AW6" i="1" s="1"/>
  <c r="AU26" i="1"/>
  <c r="AU22" i="1"/>
  <c r="AU16" i="1"/>
  <c r="AU18" i="1"/>
  <c r="AW73" i="1"/>
  <c r="BB66" i="1"/>
  <c r="BI13" i="1" l="1"/>
  <c r="BI14" i="1"/>
  <c r="BI15" i="1"/>
  <c r="BI17" i="1"/>
  <c r="BI18" i="1"/>
  <c r="BI19" i="1"/>
  <c r="BI12" i="1"/>
  <c r="BI11" i="1"/>
  <c r="BI16" i="1"/>
  <c r="AR80" i="1"/>
  <c r="BI60" i="1"/>
  <c r="BI59" i="1"/>
  <c r="BI58" i="1"/>
  <c r="AO85" i="1"/>
  <c r="P25" i="7"/>
  <c r="H25" i="7"/>
  <c r="AW71" i="1"/>
  <c r="AV32" i="1"/>
  <c r="AV13" i="1"/>
  <c r="AV52" i="1"/>
  <c r="AV39" i="1"/>
  <c r="AV12" i="1"/>
  <c r="AV26" i="1"/>
  <c r="AV62" i="1"/>
  <c r="AV57" i="1"/>
  <c r="AV33" i="1"/>
  <c r="AV18" i="1"/>
  <c r="AV27" i="1"/>
  <c r="AV36" i="1"/>
  <c r="AV56" i="1"/>
  <c r="AV44" i="1"/>
  <c r="AV48" i="1"/>
  <c r="AV43" i="1"/>
  <c r="AV46" i="1"/>
  <c r="AV61" i="1"/>
  <c r="AV11" i="1"/>
  <c r="AV35" i="1"/>
  <c r="AV15" i="1"/>
  <c r="AV23" i="1"/>
  <c r="AV51" i="1"/>
  <c r="AV37" i="1"/>
  <c r="AV38" i="1"/>
  <c r="AV58" i="1"/>
  <c r="AV59" i="1"/>
  <c r="AV22" i="1"/>
  <c r="AV10" i="1"/>
  <c r="AV40" i="1"/>
  <c r="AV55" i="1"/>
  <c r="AV25" i="1"/>
  <c r="AV34" i="1"/>
  <c r="AV60" i="1"/>
  <c r="AV50" i="1"/>
  <c r="AV24" i="1"/>
  <c r="AV53" i="1"/>
  <c r="AV42" i="1"/>
  <c r="AV14" i="1"/>
  <c r="AV47" i="1"/>
  <c r="AV17" i="1"/>
  <c r="AV45" i="1"/>
  <c r="AV31" i="1"/>
  <c r="AV16" i="1"/>
  <c r="AV41" i="1"/>
  <c r="AV74" i="1"/>
  <c r="AV49" i="1"/>
  <c r="AV19" i="1"/>
  <c r="AV54" i="1"/>
  <c r="AV30" i="1"/>
  <c r="AT85" i="1"/>
  <c r="AU84" i="1" s="1"/>
  <c r="AH66" i="1"/>
  <c r="AH67" i="1" s="1"/>
  <c r="AH69" i="1" s="1"/>
  <c r="AK4" i="1" s="1"/>
  <c r="V45" i="4"/>
  <c r="W44" i="4"/>
  <c r="AS64" i="1"/>
  <c r="E27" i="7"/>
  <c r="F26" i="7"/>
  <c r="P26" i="7" s="1"/>
  <c r="AR84" i="1"/>
  <c r="AR83" i="1"/>
  <c r="AR82" i="1"/>
  <c r="O26" i="7"/>
  <c r="Q25" i="7"/>
  <c r="T25" i="7"/>
  <c r="R25" i="7"/>
  <c r="S25" i="7"/>
  <c r="BC59" i="1"/>
  <c r="BC60" i="1"/>
  <c r="BC58" i="1"/>
  <c r="BI61" i="1"/>
  <c r="BI57" i="1"/>
  <c r="BI62" i="1"/>
  <c r="BI56" i="1"/>
  <c r="N9" i="8"/>
  <c r="E54" i="8"/>
  <c r="BC15" i="1"/>
  <c r="BC57" i="1"/>
  <c r="BC44" i="1"/>
  <c r="BC34" i="1"/>
  <c r="BC25" i="1"/>
  <c r="BC52" i="1"/>
  <c r="BC40" i="1"/>
  <c r="BC53" i="1"/>
  <c r="BC11" i="1"/>
  <c r="BC50" i="1"/>
  <c r="BC35" i="1"/>
  <c r="BC23" i="1"/>
  <c r="BC47" i="1"/>
  <c r="BC32" i="1"/>
  <c r="BC14" i="1"/>
  <c r="BC33" i="1"/>
  <c r="BC45" i="1"/>
  <c r="BC30" i="1"/>
  <c r="BC46" i="1"/>
  <c r="BC22" i="1"/>
  <c r="BC51" i="1"/>
  <c r="BC36" i="1"/>
  <c r="BC26" i="1"/>
  <c r="BC41" i="1"/>
  <c r="BC18" i="1"/>
  <c r="BC24" i="1"/>
  <c r="BC49" i="1"/>
  <c r="BC37" i="1"/>
  <c r="BC56" i="1"/>
  <c r="BC12" i="1"/>
  <c r="BC38" i="1"/>
  <c r="BC61" i="1"/>
  <c r="BC42" i="1"/>
  <c r="BC16" i="1"/>
  <c r="BC55" i="1"/>
  <c r="BC39" i="1"/>
  <c r="BC13" i="1"/>
  <c r="BC48" i="1"/>
  <c r="BC31" i="1"/>
  <c r="BC19" i="1"/>
  <c r="BC54" i="1"/>
  <c r="BC10" i="1"/>
  <c r="BC62" i="1"/>
  <c r="BC43" i="1"/>
  <c r="BC17" i="1"/>
  <c r="BC63" i="1"/>
  <c r="J39" i="8"/>
  <c r="X9" i="8"/>
  <c r="L9" i="8"/>
  <c r="L39" i="8" s="1"/>
  <c r="E39" i="8"/>
  <c r="AZ80" i="1"/>
  <c r="AZ85" i="1" s="1"/>
  <c r="AW85" i="1"/>
  <c r="AU20" i="1"/>
  <c r="BA14" i="1"/>
  <c r="BI44" i="1"/>
  <c r="BI51" i="1"/>
  <c r="BI40" i="1"/>
  <c r="BI33" i="1"/>
  <c r="BI46" i="1"/>
  <c r="BI38" i="1"/>
  <c r="BI30" i="1"/>
  <c r="BI52" i="1"/>
  <c r="BI32" i="1"/>
  <c r="BI41" i="1"/>
  <c r="BI54" i="1"/>
  <c r="BI23" i="1"/>
  <c r="BJ23" i="1" s="1"/>
  <c r="BK23" i="1" s="1"/>
  <c r="BI49" i="1"/>
  <c r="BI35" i="1"/>
  <c r="AW66" i="1"/>
  <c r="AW67" i="1" s="1"/>
  <c r="AW69" i="1" s="1"/>
  <c r="BI42" i="1"/>
  <c r="BI50" i="1"/>
  <c r="BI45" i="1"/>
  <c r="BI48" i="1"/>
  <c r="BI22" i="1"/>
  <c r="BI34" i="1"/>
  <c r="BI36" i="1"/>
  <c r="BI24" i="1"/>
  <c r="BJ24" i="1" s="1"/>
  <c r="BK24" i="1" s="1"/>
  <c r="BI39" i="1"/>
  <c r="BI53" i="1"/>
  <c r="BI37" i="1"/>
  <c r="BI55" i="1"/>
  <c r="BI25" i="1"/>
  <c r="BJ25" i="1" s="1"/>
  <c r="BI31" i="1"/>
  <c r="BI10" i="1"/>
  <c r="BI47" i="1"/>
  <c r="BI43" i="1"/>
  <c r="AX24" i="1"/>
  <c r="AX18" i="1"/>
  <c r="AX15" i="1"/>
  <c r="AX26" i="1"/>
  <c r="AX27" i="1"/>
  <c r="AX14" i="1"/>
  <c r="AX22" i="1"/>
  <c r="AX12" i="1"/>
  <c r="AX16" i="1"/>
  <c r="AX25" i="1"/>
  <c r="AX13" i="1"/>
  <c r="AX11" i="1"/>
  <c r="AX10" i="1"/>
  <c r="AX17" i="1"/>
  <c r="AX23" i="1"/>
  <c r="AX19" i="1"/>
  <c r="M10" i="8" l="1"/>
  <c r="C62" i="8" s="1"/>
  <c r="M38" i="8"/>
  <c r="M37" i="8"/>
  <c r="M29" i="8"/>
  <c r="T29" i="8" s="1"/>
  <c r="M36" i="8"/>
  <c r="Q36" i="8" s="1"/>
  <c r="M25" i="8"/>
  <c r="T25" i="8" s="1"/>
  <c r="M30" i="8"/>
  <c r="Q30" i="8" s="1"/>
  <c r="M35" i="8"/>
  <c r="Q35" i="8" s="1"/>
  <c r="M7" i="8"/>
  <c r="Q7" i="8" s="1"/>
  <c r="M17" i="8"/>
  <c r="T17" i="8" s="1"/>
  <c r="M21" i="8"/>
  <c r="T21" i="8" s="1"/>
  <c r="M20" i="8"/>
  <c r="Q20" i="8" s="1"/>
  <c r="M22" i="8"/>
  <c r="Q22" i="8" s="1"/>
  <c r="M27" i="8"/>
  <c r="Q27" i="8" s="1"/>
  <c r="M16" i="8"/>
  <c r="T16" i="8" s="1"/>
  <c r="M31" i="8"/>
  <c r="T31" i="8" s="1"/>
  <c r="M8" i="8"/>
  <c r="T8" i="8" s="1"/>
  <c r="M32" i="8"/>
  <c r="Q32" i="8" s="1"/>
  <c r="M6" i="8"/>
  <c r="C58" i="8" s="1"/>
  <c r="M24" i="8"/>
  <c r="T24" i="8" s="1"/>
  <c r="M23" i="8"/>
  <c r="Q23" i="8" s="1"/>
  <c r="C68" i="8"/>
  <c r="W45" i="4"/>
  <c r="X44" i="4"/>
  <c r="M15" i="8"/>
  <c r="Q15" i="8" s="1"/>
  <c r="M28" i="8"/>
  <c r="Q28" i="8" s="1"/>
  <c r="AV64" i="1"/>
  <c r="AN73" i="1"/>
  <c r="AK73" i="1"/>
  <c r="AK6" i="1"/>
  <c r="M33" i="8"/>
  <c r="Q33" i="8" s="1"/>
  <c r="AU80" i="1"/>
  <c r="AY41" i="1"/>
  <c r="AY40" i="1"/>
  <c r="AY26" i="1"/>
  <c r="AY35" i="1"/>
  <c r="AY50" i="1"/>
  <c r="AY17" i="1"/>
  <c r="AY27" i="1"/>
  <c r="AY25" i="1"/>
  <c r="AY12" i="1"/>
  <c r="AY23" i="1"/>
  <c r="AY47" i="1"/>
  <c r="AY24" i="1"/>
  <c r="AY37" i="1"/>
  <c r="AY33" i="1"/>
  <c r="AY22" i="1"/>
  <c r="AY11" i="1"/>
  <c r="AY13" i="1"/>
  <c r="AY56" i="1"/>
  <c r="AY31" i="1"/>
  <c r="AY54" i="1"/>
  <c r="AY15" i="1"/>
  <c r="AY32" i="1"/>
  <c r="AY39" i="1"/>
  <c r="AY46" i="1"/>
  <c r="AY38" i="1"/>
  <c r="AY45" i="1"/>
  <c r="AY60" i="1"/>
  <c r="AY10" i="1"/>
  <c r="AY19" i="1"/>
  <c r="AY34" i="1"/>
  <c r="AY61" i="1"/>
  <c r="AY49" i="1"/>
  <c r="AY55" i="1"/>
  <c r="AY43" i="1"/>
  <c r="AY42" i="1"/>
  <c r="AY14" i="1"/>
  <c r="AY44" i="1"/>
  <c r="AY52" i="1"/>
  <c r="AY57" i="1"/>
  <c r="AY62" i="1"/>
  <c r="AY53" i="1"/>
  <c r="AY48" i="1"/>
  <c r="AY30" i="1"/>
  <c r="AY36" i="1"/>
  <c r="AY18" i="1"/>
  <c r="AY59" i="1"/>
  <c r="AY58" i="1"/>
  <c r="AY16" i="1"/>
  <c r="AY74" i="1"/>
  <c r="AY51" i="1"/>
  <c r="AU81" i="1"/>
  <c r="AU83" i="1"/>
  <c r="AU82" i="1"/>
  <c r="M12" i="8"/>
  <c r="T12" i="8" s="1"/>
  <c r="M19" i="8"/>
  <c r="Q19" i="8" s="1"/>
  <c r="M34" i="8"/>
  <c r="Q34" i="8" s="1"/>
  <c r="M13" i="8"/>
  <c r="C64" i="8" s="1"/>
  <c r="S26" i="7"/>
  <c r="O27" i="7"/>
  <c r="Q26" i="7"/>
  <c r="T26" i="7"/>
  <c r="R26" i="7"/>
  <c r="M18" i="8"/>
  <c r="Q18" i="8" s="1"/>
  <c r="M26" i="8"/>
  <c r="T26" i="8" s="1"/>
  <c r="AR85" i="1"/>
  <c r="M5" i="8"/>
  <c r="C57" i="8" s="1"/>
  <c r="BB67" i="1"/>
  <c r="F27" i="7"/>
  <c r="P27" i="7" s="1"/>
  <c r="E28" i="7"/>
  <c r="M14" i="8"/>
  <c r="C65" i="8" s="1"/>
  <c r="M11" i="8"/>
  <c r="C63" i="8" s="1"/>
  <c r="N46" i="8"/>
  <c r="L46" i="8"/>
  <c r="L54" i="8" s="1"/>
  <c r="Q10" i="8"/>
  <c r="M9" i="8"/>
  <c r="C61" i="8" s="1"/>
  <c r="BJ22" i="1"/>
  <c r="BK22" i="1" s="1"/>
  <c r="BI27" i="1"/>
  <c r="N39" i="8"/>
  <c r="BI20" i="1"/>
  <c r="BI64" i="1"/>
  <c r="X54" i="8"/>
  <c r="AX84" i="1"/>
  <c r="AX80" i="1"/>
  <c r="AX83" i="1"/>
  <c r="AX82" i="1"/>
  <c r="AX81" i="1"/>
  <c r="X39" i="8"/>
  <c r="AX20" i="1"/>
  <c r="T10" i="8" l="1"/>
  <c r="Y50" i="8"/>
  <c r="Y47" i="8"/>
  <c r="Y52" i="8"/>
  <c r="Y49" i="8"/>
  <c r="Y46" i="8"/>
  <c r="Y51" i="8"/>
  <c r="Y48" i="8"/>
  <c r="Y10" i="8"/>
  <c r="Y37" i="8"/>
  <c r="Y38" i="8"/>
  <c r="Q37" i="8"/>
  <c r="T37" i="8"/>
  <c r="Q38" i="8"/>
  <c r="T38" i="8"/>
  <c r="O37" i="8"/>
  <c r="O38" i="8"/>
  <c r="Q29" i="8"/>
  <c r="Q6" i="8"/>
  <c r="T6" i="8"/>
  <c r="BH11" i="1"/>
  <c r="BJ11" i="1" s="1"/>
  <c r="BK11" i="1" s="1"/>
  <c r="BH19" i="1"/>
  <c r="BJ19" i="1" s="1"/>
  <c r="BK19" i="1" s="1"/>
  <c r="BH12" i="1"/>
  <c r="BJ12" i="1" s="1"/>
  <c r="BK12" i="1" s="1"/>
  <c r="BH13" i="1"/>
  <c r="BJ13" i="1" s="1"/>
  <c r="BK13" i="1" s="1"/>
  <c r="BH14" i="1"/>
  <c r="BJ14" i="1" s="1"/>
  <c r="BK14" i="1" s="1"/>
  <c r="BH18" i="1"/>
  <c r="BJ18" i="1" s="1"/>
  <c r="BK18" i="1" s="1"/>
  <c r="BH17" i="1"/>
  <c r="BJ17" i="1" s="1"/>
  <c r="BK17" i="1" s="1"/>
  <c r="BH16" i="1"/>
  <c r="BJ16" i="1" s="1"/>
  <c r="BK16" i="1" s="1"/>
  <c r="BH15" i="1"/>
  <c r="BJ15" i="1" s="1"/>
  <c r="BK15" i="1" s="1"/>
  <c r="Q25" i="8"/>
  <c r="T35" i="8"/>
  <c r="T36" i="8"/>
  <c r="T7" i="8"/>
  <c r="T30" i="8"/>
  <c r="C59" i="8"/>
  <c r="T27" i="8"/>
  <c r="C60" i="8"/>
  <c r="Q16" i="8"/>
  <c r="Q17" i="8"/>
  <c r="Q8" i="8"/>
  <c r="Q31" i="8"/>
  <c r="T22" i="8"/>
  <c r="Q21" i="8"/>
  <c r="T20" i="8"/>
  <c r="T23" i="8"/>
  <c r="Q24" i="8"/>
  <c r="T28" i="8"/>
  <c r="Q12" i="8"/>
  <c r="T18" i="8"/>
  <c r="Q5" i="8"/>
  <c r="Q13" i="8"/>
  <c r="T9" i="8"/>
  <c r="T32" i="8"/>
  <c r="T34" i="8"/>
  <c r="C66" i="8"/>
  <c r="T15" i="8"/>
  <c r="T13" i="8"/>
  <c r="Q9" i="8"/>
  <c r="M39" i="8"/>
  <c r="T19" i="8"/>
  <c r="AU85" i="1"/>
  <c r="T27" i="7"/>
  <c r="R27" i="7"/>
  <c r="S27" i="7"/>
  <c r="O28" i="7"/>
  <c r="Q27" i="7"/>
  <c r="AY64" i="1"/>
  <c r="T33" i="8"/>
  <c r="AK66" i="1"/>
  <c r="AK67" i="1" s="1"/>
  <c r="AK69" i="1" s="1"/>
  <c r="BH56" i="1"/>
  <c r="BH37" i="1"/>
  <c r="BJ37" i="1" s="1"/>
  <c r="BK37" i="1" s="1"/>
  <c r="BH10" i="1"/>
  <c r="BH48" i="1"/>
  <c r="BJ48" i="1" s="1"/>
  <c r="BK48" i="1" s="1"/>
  <c r="BH39" i="1"/>
  <c r="BJ39" i="1" s="1"/>
  <c r="BK39" i="1" s="1"/>
  <c r="BH43" i="1"/>
  <c r="BJ43" i="1" s="1"/>
  <c r="BK43" i="1" s="1"/>
  <c r="BH35" i="1"/>
  <c r="BJ35" i="1" s="1"/>
  <c r="BK35" i="1" s="1"/>
  <c r="BH31" i="1"/>
  <c r="BJ31" i="1" s="1"/>
  <c r="BK31" i="1" s="1"/>
  <c r="BH42" i="1"/>
  <c r="BJ42" i="1" s="1"/>
  <c r="BK42" i="1" s="1"/>
  <c r="BH45" i="1"/>
  <c r="BJ45" i="1" s="1"/>
  <c r="BK45" i="1" s="1"/>
  <c r="BH34" i="1"/>
  <c r="BJ34" i="1" s="1"/>
  <c r="BK34" i="1" s="1"/>
  <c r="BH40" i="1"/>
  <c r="BJ40" i="1" s="1"/>
  <c r="BK40" i="1" s="1"/>
  <c r="BH50" i="1"/>
  <c r="BJ50" i="1" s="1"/>
  <c r="BK50" i="1" s="1"/>
  <c r="BH57" i="1"/>
  <c r="BJ57" i="1" s="1"/>
  <c r="BK57" i="1" s="1"/>
  <c r="BH47" i="1"/>
  <c r="BJ47" i="1" s="1"/>
  <c r="BK47" i="1" s="1"/>
  <c r="BH62" i="1"/>
  <c r="BJ62" i="1" s="1"/>
  <c r="BK62" i="1" s="1"/>
  <c r="BH53" i="1"/>
  <c r="BJ53" i="1" s="1"/>
  <c r="BK53" i="1" s="1"/>
  <c r="BH51" i="1"/>
  <c r="BJ51" i="1" s="1"/>
  <c r="BK51" i="1" s="1"/>
  <c r="BH55" i="1"/>
  <c r="BJ55" i="1" s="1"/>
  <c r="BK55" i="1" s="1"/>
  <c r="BH30" i="1"/>
  <c r="BJ30" i="1" s="1"/>
  <c r="BK30" i="1" s="1"/>
  <c r="BH60" i="1"/>
  <c r="BJ60" i="1" s="1"/>
  <c r="BK60" i="1" s="1"/>
  <c r="BH36" i="1"/>
  <c r="BJ36" i="1" s="1"/>
  <c r="BK36" i="1" s="1"/>
  <c r="BH49" i="1"/>
  <c r="BJ49" i="1" s="1"/>
  <c r="BK49" i="1" s="1"/>
  <c r="BH38" i="1"/>
  <c r="BJ38" i="1" s="1"/>
  <c r="BK38" i="1" s="1"/>
  <c r="BH41" i="1"/>
  <c r="BJ41" i="1" s="1"/>
  <c r="BK41" i="1" s="1"/>
  <c r="BH33" i="1"/>
  <c r="BJ33" i="1" s="1"/>
  <c r="BK33" i="1" s="1"/>
  <c r="BH59" i="1"/>
  <c r="BJ59" i="1" s="1"/>
  <c r="BK59" i="1" s="1"/>
  <c r="BH32" i="1"/>
  <c r="BJ32" i="1" s="1"/>
  <c r="BK32" i="1" s="1"/>
  <c r="BH46" i="1"/>
  <c r="BJ46" i="1" s="1"/>
  <c r="BK46" i="1" s="1"/>
  <c r="BH52" i="1"/>
  <c r="BJ52" i="1" s="1"/>
  <c r="BK52" i="1" s="1"/>
  <c r="BH54" i="1"/>
  <c r="BJ54" i="1" s="1"/>
  <c r="BK54" i="1" s="1"/>
  <c r="BH61" i="1"/>
  <c r="BJ61" i="1" s="1"/>
  <c r="BK61" i="1" s="1"/>
  <c r="BH44" i="1"/>
  <c r="BJ44" i="1" s="1"/>
  <c r="BK44" i="1" s="1"/>
  <c r="BH58" i="1"/>
  <c r="BJ58" i="1" s="1"/>
  <c r="BK58" i="1" s="1"/>
  <c r="E29" i="7"/>
  <c r="F28" i="7"/>
  <c r="P28" i="7" s="1"/>
  <c r="T14" i="8"/>
  <c r="Q11" i="8"/>
  <c r="T11" i="8"/>
  <c r="Q14" i="8"/>
  <c r="Q26" i="8"/>
  <c r="Y44" i="4"/>
  <c r="X45" i="4"/>
  <c r="T5" i="8"/>
  <c r="BI66" i="1"/>
  <c r="N54" i="8"/>
  <c r="O46" i="8" s="1"/>
  <c r="M49" i="8"/>
  <c r="M51" i="8"/>
  <c r="M53" i="8"/>
  <c r="M42" i="8"/>
  <c r="M48" i="8"/>
  <c r="M50" i="8"/>
  <c r="M52" i="8"/>
  <c r="M45" i="8"/>
  <c r="T45" i="8" s="1"/>
  <c r="M47" i="8"/>
  <c r="M43" i="8"/>
  <c r="M44" i="8"/>
  <c r="M46" i="8"/>
  <c r="O10" i="8"/>
  <c r="D62" i="8" s="1"/>
  <c r="D68" i="8"/>
  <c r="O19" i="8"/>
  <c r="O24" i="8"/>
  <c r="O18" i="8"/>
  <c r="O14" i="8"/>
  <c r="O21" i="8"/>
  <c r="O20" i="8"/>
  <c r="O23" i="8"/>
  <c r="O11" i="8"/>
  <c r="O36" i="8"/>
  <c r="O34" i="8"/>
  <c r="O29" i="8"/>
  <c r="O8" i="8"/>
  <c r="O5" i="8"/>
  <c r="O13" i="8"/>
  <c r="O30" i="8"/>
  <c r="O6" i="8"/>
  <c r="O15" i="8"/>
  <c r="O32" i="8"/>
  <c r="O35" i="8"/>
  <c r="O12" i="8"/>
  <c r="O33" i="8"/>
  <c r="O22" i="8"/>
  <c r="O26" i="8"/>
  <c r="O31" i="8"/>
  <c r="O7" i="8"/>
  <c r="O27" i="8"/>
  <c r="O17" i="8"/>
  <c r="O16" i="8"/>
  <c r="O28" i="8"/>
  <c r="O25" i="8"/>
  <c r="BJ27" i="1"/>
  <c r="Y9" i="8"/>
  <c r="AX85" i="1"/>
  <c r="Y8" i="8"/>
  <c r="Y11" i="8"/>
  <c r="Y13" i="8"/>
  <c r="Y22" i="8"/>
  <c r="Y20" i="8"/>
  <c r="Y25" i="8"/>
  <c r="Y12" i="8"/>
  <c r="Y7" i="8"/>
  <c r="Y23" i="8"/>
  <c r="Y18" i="8"/>
  <c r="Y30" i="8"/>
  <c r="Y29" i="8"/>
  <c r="Y28" i="8"/>
  <c r="Y6" i="8"/>
  <c r="Y53" i="8"/>
  <c r="Y16" i="8"/>
  <c r="Y17" i="8"/>
  <c r="Y31" i="8"/>
  <c r="Y26" i="8"/>
  <c r="Y33" i="8"/>
  <c r="Y35" i="8"/>
  <c r="Y27" i="8"/>
  <c r="Y24" i="8"/>
  <c r="Y43" i="8"/>
  <c r="Y19" i="8"/>
  <c r="Y32" i="8"/>
  <c r="Y42" i="8"/>
  <c r="Y34" i="8"/>
  <c r="Y5" i="8"/>
  <c r="Y15" i="8"/>
  <c r="Y14" i="8"/>
  <c r="Y21" i="8"/>
  <c r="Y44" i="8"/>
  <c r="Y36" i="8"/>
  <c r="Y45" i="8"/>
  <c r="O9" i="8"/>
  <c r="R46" i="8" l="1"/>
  <c r="U46" i="8"/>
  <c r="Q47" i="8"/>
  <c r="T47" i="8"/>
  <c r="Q52" i="8"/>
  <c r="T52" i="8"/>
  <c r="Q48" i="8"/>
  <c r="T48" i="8"/>
  <c r="Q46" i="8"/>
  <c r="T46" i="8"/>
  <c r="Q50" i="8"/>
  <c r="T50" i="8"/>
  <c r="T51" i="8"/>
  <c r="Q51" i="8"/>
  <c r="T49" i="8"/>
  <c r="Q49" i="8"/>
  <c r="R37" i="8"/>
  <c r="U37" i="8"/>
  <c r="R38" i="8"/>
  <c r="U38" i="8"/>
  <c r="C67" i="8"/>
  <c r="Q39" i="8"/>
  <c r="T39" i="8"/>
  <c r="Q45" i="8"/>
  <c r="U10" i="8"/>
  <c r="BH64" i="1"/>
  <c r="BJ56" i="1"/>
  <c r="BK56" i="1" s="1"/>
  <c r="E30" i="7"/>
  <c r="F29" i="7"/>
  <c r="P29" i="7" s="1"/>
  <c r="S28" i="7"/>
  <c r="O29" i="7"/>
  <c r="Q28" i="7"/>
  <c r="T28" i="7"/>
  <c r="R28" i="7"/>
  <c r="Z44" i="4"/>
  <c r="Y45" i="4"/>
  <c r="BH20" i="1"/>
  <c r="BJ10" i="1"/>
  <c r="Q44" i="8"/>
  <c r="T44" i="8"/>
  <c r="Q53" i="8"/>
  <c r="T53" i="8"/>
  <c r="T43" i="8"/>
  <c r="Q43" i="8"/>
  <c r="M54" i="8"/>
  <c r="T42" i="8"/>
  <c r="Q42" i="8"/>
  <c r="O48" i="8"/>
  <c r="O50" i="8"/>
  <c r="O52" i="8"/>
  <c r="O42" i="8"/>
  <c r="U42" i="8" s="1"/>
  <c r="O49" i="8"/>
  <c r="O51" i="8"/>
  <c r="O53" i="8"/>
  <c r="R53" i="8" s="1"/>
  <c r="O45" i="8"/>
  <c r="R45" i="8" s="1"/>
  <c r="O47" i="8"/>
  <c r="O43" i="8"/>
  <c r="U43" i="8" s="1"/>
  <c r="O44" i="8"/>
  <c r="U44" i="8" s="1"/>
  <c r="R10" i="8"/>
  <c r="D61" i="8"/>
  <c r="U9" i="8"/>
  <c r="R9" i="8"/>
  <c r="R28" i="8"/>
  <c r="U28" i="8"/>
  <c r="R17" i="8"/>
  <c r="U17" i="8"/>
  <c r="R31" i="8"/>
  <c r="U31" i="8"/>
  <c r="U26" i="8"/>
  <c r="R26" i="8"/>
  <c r="U33" i="8"/>
  <c r="R33" i="8"/>
  <c r="U35" i="8"/>
  <c r="R35" i="8"/>
  <c r="U15" i="8"/>
  <c r="R15" i="8"/>
  <c r="U13" i="8"/>
  <c r="R13" i="8"/>
  <c r="U8" i="8"/>
  <c r="D60" i="8"/>
  <c r="R8" i="8"/>
  <c r="U29" i="8"/>
  <c r="R29" i="8"/>
  <c r="R36" i="8"/>
  <c r="U36" i="8"/>
  <c r="R23" i="8"/>
  <c r="U23" i="8"/>
  <c r="U21" i="8"/>
  <c r="R21" i="8"/>
  <c r="U18" i="8"/>
  <c r="R18" i="8"/>
  <c r="U19" i="8"/>
  <c r="R19" i="8"/>
  <c r="R25" i="8"/>
  <c r="U25" i="8"/>
  <c r="R16" i="8"/>
  <c r="U16" i="8"/>
  <c r="U45" i="8"/>
  <c r="R27" i="8"/>
  <c r="U27" i="8"/>
  <c r="R7" i="8"/>
  <c r="U7" i="8"/>
  <c r="D59" i="8"/>
  <c r="R22" i="8"/>
  <c r="U22" i="8"/>
  <c r="R12" i="8"/>
  <c r="U12" i="8"/>
  <c r="R32" i="8"/>
  <c r="U32" i="8"/>
  <c r="U6" i="8"/>
  <c r="D58" i="8"/>
  <c r="R6" i="8"/>
  <c r="U30" i="8"/>
  <c r="R30" i="8"/>
  <c r="D57" i="8"/>
  <c r="R5" i="8"/>
  <c r="O39" i="8"/>
  <c r="U5" i="8"/>
  <c r="R34" i="8"/>
  <c r="U34" i="8"/>
  <c r="U11" i="8"/>
  <c r="R11" i="8"/>
  <c r="U20" i="8"/>
  <c r="R20" i="8"/>
  <c r="U14" i="8"/>
  <c r="R14" i="8"/>
  <c r="U24" i="8"/>
  <c r="R24" i="8"/>
  <c r="Y39" i="8"/>
  <c r="Y54" i="8"/>
  <c r="R51" i="8" l="1"/>
  <c r="U51" i="8"/>
  <c r="R49" i="8"/>
  <c r="U49" i="8"/>
  <c r="R48" i="8"/>
  <c r="U48" i="8"/>
  <c r="R47" i="8"/>
  <c r="U47" i="8"/>
  <c r="U54" i="8" s="1"/>
  <c r="R50" i="8"/>
  <c r="U50" i="8"/>
  <c r="U52" i="8"/>
  <c r="R52" i="8"/>
  <c r="R44" i="8"/>
  <c r="BJ64" i="1"/>
  <c r="R42" i="8"/>
  <c r="Z45" i="4"/>
  <c r="AA44" i="4"/>
  <c r="BJ20" i="1"/>
  <c r="BK10" i="1"/>
  <c r="O30" i="7"/>
  <c r="T29" i="7"/>
  <c r="R29" i="7"/>
  <c r="Q29" i="7"/>
  <c r="S29" i="7"/>
  <c r="F30" i="7"/>
  <c r="P30" i="7" s="1"/>
  <c r="E31" i="7"/>
  <c r="R43" i="8"/>
  <c r="BH66" i="1"/>
  <c r="U53" i="8"/>
  <c r="O54" i="8"/>
  <c r="T54" i="8"/>
  <c r="Q54" i="8"/>
  <c r="U39" i="8"/>
  <c r="R39" i="8"/>
  <c r="D67" i="8"/>
  <c r="R54" i="8" l="1"/>
  <c r="BJ66" i="1"/>
  <c r="AB44" i="4"/>
  <c r="AA45" i="4"/>
  <c r="E32" i="7"/>
  <c r="F31" i="7"/>
  <c r="P31" i="7" s="1"/>
  <c r="T30" i="7"/>
  <c r="S30" i="7"/>
  <c r="O31" i="7"/>
  <c r="Q30" i="7"/>
  <c r="R30" i="7"/>
  <c r="S31" i="7" l="1"/>
  <c r="O32" i="7"/>
  <c r="Q31" i="7"/>
  <c r="T31" i="7"/>
  <c r="R31" i="7"/>
  <c r="F32" i="7"/>
  <c r="P32" i="7" s="1"/>
  <c r="E33" i="7"/>
  <c r="AC44" i="4"/>
  <c r="AB45" i="4"/>
  <c r="S32" i="7" l="1"/>
  <c r="O33" i="7"/>
  <c r="Q32" i="7"/>
  <c r="T32" i="7"/>
  <c r="R32" i="7"/>
  <c r="E34" i="7"/>
  <c r="F33" i="7"/>
  <c r="P33" i="7" s="1"/>
  <c r="AC45" i="4"/>
  <c r="AD44" i="4"/>
  <c r="T33" i="7" l="1"/>
  <c r="O34" i="7"/>
  <c r="Q33" i="7"/>
  <c r="R33" i="7"/>
  <c r="S33" i="7"/>
  <c r="AD45" i="4"/>
  <c r="AE44" i="4"/>
  <c r="E35" i="7"/>
  <c r="F34" i="7"/>
  <c r="P34" i="7" s="1"/>
  <c r="F35" i="7" l="1"/>
  <c r="P35" i="7" s="1"/>
  <c r="E36" i="7"/>
  <c r="T34" i="7"/>
  <c r="R34" i="7"/>
  <c r="Q34" i="7"/>
  <c r="S34" i="7"/>
  <c r="O35" i="7"/>
  <c r="AE45" i="4"/>
  <c r="AF44" i="4"/>
  <c r="F36" i="7" l="1"/>
  <c r="P36" i="7" s="1"/>
  <c r="E37" i="7"/>
  <c r="AF45" i="4"/>
  <c r="AG44" i="4"/>
  <c r="O36" i="7"/>
  <c r="Q35" i="7"/>
  <c r="T35" i="7"/>
  <c r="R35" i="7"/>
  <c r="S35" i="7"/>
  <c r="E38" i="7" l="1"/>
  <c r="F37" i="7"/>
  <c r="P37" i="7" s="1"/>
  <c r="S36" i="7"/>
  <c r="T36" i="7"/>
  <c r="R36" i="7"/>
  <c r="Q36" i="7"/>
  <c r="O37" i="7"/>
  <c r="AG45" i="4"/>
  <c r="AH44" i="4"/>
  <c r="E39" i="7" l="1"/>
  <c r="F38" i="7"/>
  <c r="P38" i="7" s="1"/>
  <c r="AH45" i="4"/>
  <c r="AI44" i="4"/>
  <c r="T37" i="7"/>
  <c r="R37" i="7"/>
  <c r="S37" i="7"/>
  <c r="Q37" i="7"/>
  <c r="O38" i="7"/>
  <c r="E40" i="7" l="1"/>
  <c r="F39" i="7"/>
  <c r="P39" i="7" s="1"/>
  <c r="S38" i="7"/>
  <c r="O39" i="7"/>
  <c r="Q38" i="7"/>
  <c r="T38" i="7"/>
  <c r="R38" i="7"/>
  <c r="AI45" i="4"/>
  <c r="AJ44" i="4"/>
  <c r="F40" i="7" l="1"/>
  <c r="P40" i="7" s="1"/>
  <c r="E41" i="7"/>
  <c r="AJ45" i="4"/>
  <c r="AK44" i="4"/>
  <c r="T39" i="7"/>
  <c r="S39" i="7"/>
  <c r="O40" i="7"/>
  <c r="Q39" i="7"/>
  <c r="R39" i="7"/>
  <c r="T40" i="7" l="1"/>
  <c r="S40" i="7"/>
  <c r="O41" i="7"/>
  <c r="Q40" i="7"/>
  <c r="R40" i="7"/>
  <c r="F41" i="7"/>
  <c r="P41" i="7" s="1"/>
  <c r="E42" i="7"/>
  <c r="AK45" i="4"/>
  <c r="AL44" i="4"/>
  <c r="R41" i="7" l="1"/>
  <c r="O42" i="7"/>
  <c r="Q41" i="7"/>
  <c r="T41" i="7"/>
  <c r="S41" i="7"/>
  <c r="AL45" i="4"/>
  <c r="AM44" i="4"/>
  <c r="F42" i="7"/>
  <c r="P42" i="7" s="1"/>
  <c r="E43" i="7"/>
  <c r="S42" i="7" l="1"/>
  <c r="O43" i="7"/>
  <c r="Q42" i="7"/>
  <c r="T42" i="7"/>
  <c r="R42" i="7"/>
  <c r="E44" i="7"/>
  <c r="F43" i="7"/>
  <c r="P43" i="7" s="1"/>
  <c r="AN44" i="4"/>
  <c r="AM45" i="4"/>
  <c r="AO44" i="4" l="1"/>
  <c r="AN45" i="4"/>
  <c r="F44" i="7"/>
  <c r="P44" i="7" s="1"/>
  <c r="E45" i="7"/>
  <c r="F45" i="7" s="1"/>
  <c r="O44" i="7"/>
  <c r="Q43" i="7"/>
  <c r="T43" i="7"/>
  <c r="R43" i="7"/>
  <c r="S43" i="7"/>
  <c r="Q44" i="7" l="1"/>
  <c r="T44" i="7"/>
  <c r="R44" i="7"/>
  <c r="O45" i="7"/>
  <c r="S44" i="7"/>
  <c r="P45" i="7"/>
  <c r="P46" i="7" s="1"/>
  <c r="F46" i="7"/>
  <c r="AO45" i="4"/>
  <c r="AP44" i="4"/>
  <c r="AP45" i="4" l="1"/>
  <c r="AQ44" i="4"/>
  <c r="Q45" i="7"/>
  <c r="T45" i="7"/>
  <c r="R45" i="7"/>
  <c r="O46" i="7"/>
  <c r="S45" i="7"/>
  <c r="AQ45" i="4" l="1"/>
  <c r="AR44" i="4"/>
  <c r="AR45" i="4" l="1"/>
  <c r="AS44" i="4"/>
  <c r="AT44" i="4" l="1"/>
  <c r="AS45" i="4"/>
  <c r="AT45" i="4" l="1"/>
  <c r="AU44" i="4"/>
  <c r="AU45" i="4" l="1"/>
  <c r="AV44" i="4"/>
  <c r="AV45" i="4" l="1"/>
  <c r="AW44" i="4"/>
  <c r="AW45" i="4" l="1"/>
  <c r="AX44" i="4"/>
  <c r="AY44" i="4" l="1"/>
  <c r="AX45" i="4"/>
  <c r="AZ44" i="4" l="1"/>
  <c r="AY45" i="4"/>
  <c r="AZ45" i="4" l="1"/>
  <c r="BA44" i="4"/>
  <c r="BA45" i="4" l="1"/>
  <c r="BB44" i="4"/>
  <c r="BB45" i="4" l="1"/>
  <c r="BC44" i="4"/>
  <c r="BC45" i="4" l="1"/>
  <c r="BD44" i="4"/>
  <c r="BD45" i="4" l="1"/>
  <c r="BE44" i="4"/>
  <c r="BE45" i="4" l="1"/>
  <c r="BF44" i="4"/>
  <c r="BG44" i="4" l="1"/>
  <c r="BF45" i="4"/>
  <c r="BH44" i="4" l="1"/>
  <c r="BG45" i="4"/>
  <c r="BH45" i="4" l="1"/>
  <c r="BI44" i="4"/>
  <c r="BJ44" i="4" l="1"/>
  <c r="BI45" i="4"/>
  <c r="BK44" i="4" l="1"/>
  <c r="BJ45" i="4"/>
  <c r="BL44" i="4" l="1"/>
  <c r="BK45" i="4"/>
  <c r="BL45" i="4" l="1"/>
  <c r="BM44" i="4"/>
  <c r="BN44" i="4" l="1"/>
  <c r="BM45" i="4"/>
  <c r="BN45" i="4" l="1"/>
  <c r="BO44" i="4"/>
  <c r="BP44" i="4" l="1"/>
  <c r="BO45" i="4"/>
  <c r="BQ44" i="4" l="1"/>
  <c r="BP45" i="4"/>
  <c r="BQ45" i="4" l="1"/>
  <c r="BR44" i="4"/>
  <c r="BR45" i="4" l="1"/>
  <c r="BS44" i="4"/>
  <c r="BS45" i="4" l="1"/>
  <c r="BT44" i="4"/>
  <c r="BU44" i="4" l="1"/>
  <c r="BT45" i="4"/>
  <c r="BU45" i="4" l="1"/>
  <c r="BV44" i="4"/>
  <c r="BV45" i="4" l="1"/>
  <c r="BW44" i="4"/>
  <c r="BX44" i="4" l="1"/>
  <c r="BW45" i="4"/>
  <c r="BY44" i="4" l="1"/>
  <c r="BY45" i="4" s="1"/>
  <c r="BX45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Kenn Gordon</author>
  </authors>
  <commentList>
    <comment ref="F10" authorId="0" shapeId="0" xr:uid="{00000000-0006-0000-0000-000001000000}">
      <text>
        <r>
          <rPr>
            <b/>
            <sz val="8"/>
            <color rgb="FF000000"/>
            <rFont val="Tahoma"/>
            <family val="2"/>
          </rPr>
          <t>Kenn Gordon: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Percent of issued, granted, or optioned</t>
        </r>
      </text>
    </comment>
  </commentList>
</comments>
</file>

<file path=xl/sharedStrings.xml><?xml version="1.0" encoding="utf-8"?>
<sst xmlns="http://schemas.openxmlformats.org/spreadsheetml/2006/main" count="443" uniqueCount="207">
  <si>
    <t>Start-up</t>
  </si>
  <si>
    <t>Post-money valuation</t>
  </si>
  <si>
    <t>share price this round</t>
  </si>
  <si>
    <t>Total investment this round</t>
  </si>
  <si>
    <t>Step-up this round (current pre-money / previous pre-money)</t>
  </si>
  <si>
    <t>Pre-Money Share Price</t>
  </si>
  <si>
    <t>Pre-money valuation</t>
  </si>
  <si>
    <t>Un-granted option pool</t>
  </si>
  <si>
    <t>Pre-Money Shares Issued</t>
  </si>
  <si>
    <t>Options granted</t>
  </si>
  <si>
    <t>Total options (% of issued)</t>
  </si>
  <si>
    <t>Total Shares</t>
  </si>
  <si>
    <t>Name</t>
  </si>
  <si>
    <t>Shares</t>
  </si>
  <si>
    <t>Warrant Date</t>
  </si>
  <si>
    <t>Assigned Warrants</t>
  </si>
  <si>
    <t>Options</t>
  </si>
  <si>
    <t>Option Vesting Schedule</t>
  </si>
  <si>
    <t>Grant Number</t>
  </si>
  <si>
    <t>Options Granted</t>
  </si>
  <si>
    <t>001</t>
  </si>
  <si>
    <t>002</t>
  </si>
  <si>
    <t>003</t>
  </si>
  <si>
    <t>004</t>
  </si>
  <si>
    <t>005</t>
  </si>
  <si>
    <t>Vested Shares</t>
  </si>
  <si>
    <t>007</t>
  </si>
  <si>
    <t>010</t>
  </si>
  <si>
    <t>009</t>
  </si>
  <si>
    <t>011</t>
  </si>
  <si>
    <t>Optionee</t>
  </si>
  <si>
    <t>Status</t>
  </si>
  <si>
    <t>Position</t>
  </si>
  <si>
    <t>Service Commencement Date</t>
  </si>
  <si>
    <t>Grant Date</t>
  </si>
  <si>
    <t>Exercise Price</t>
  </si>
  <si>
    <t>Tax Status</t>
  </si>
  <si>
    <t>Vesting Commencement Date</t>
  </si>
  <si>
    <t>Vesting Ratio</t>
  </si>
  <si>
    <t>Exercise Date</t>
  </si>
  <si>
    <t>Exercise Amount</t>
  </si>
  <si>
    <t>employee</t>
  </si>
  <si>
    <t>VP Finance and Operations</t>
  </si>
  <si>
    <t>1/5</t>
  </si>
  <si>
    <t>Software Architect</t>
  </si>
  <si>
    <t>Software Engineer</t>
  </si>
  <si>
    <t>Project Manager</t>
  </si>
  <si>
    <t>006</t>
  </si>
  <si>
    <t>Office Manager</t>
  </si>
  <si>
    <t>Standard</t>
  </si>
  <si>
    <t>008</t>
  </si>
  <si>
    <t>Senior Software Engineer</t>
  </si>
  <si>
    <t>VP Sales and Business Dev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</si>
  <si>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</si>
  <si>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</si>
  <si>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</si>
  <si>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</si>
  <si>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</si>
  <si>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</si>
  <si>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</si>
  <si>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</si>
  <si>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</si>
  <si>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</si>
  <si>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</si>
  <si>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</si>
  <si>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</si>
  <si>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</si>
  <si>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</si>
  <si>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</si>
  <si>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</si>
  <si>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</si>
  <si>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</si>
  <si>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</si>
  <si>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</si>
  <si>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 xml:space="preserve">Options  </t>
  </si>
  <si>
    <t>Post Outstanding Shares</t>
  </si>
  <si>
    <t>Outstanding</t>
  </si>
  <si>
    <t>Fully Diluted</t>
  </si>
  <si>
    <t>Fully diluted shares issued</t>
  </si>
  <si>
    <t>Warrants Granted</t>
  </si>
  <si>
    <t>User Interface Designer</t>
  </si>
  <si>
    <t>Technical Writer</t>
  </si>
  <si>
    <t>Software Test Engineer</t>
  </si>
  <si>
    <t>Systems/Networking Administrator</t>
  </si>
  <si>
    <t>Graphic Designer</t>
  </si>
  <si>
    <t>Test Engineer</t>
  </si>
  <si>
    <t>consultant</t>
  </si>
  <si>
    <t>Director of Communications</t>
  </si>
  <si>
    <t>Type</t>
  </si>
  <si>
    <t>Offering</t>
  </si>
  <si>
    <t>Shareholder</t>
  </si>
  <si>
    <t>Share Price</t>
  </si>
  <si>
    <t>Check Date</t>
  </si>
  <si>
    <t>Check Number</t>
  </si>
  <si>
    <t>Share Issued</t>
  </si>
  <si>
    <t>Certificate Number</t>
  </si>
  <si>
    <t>Certificate Date</t>
  </si>
  <si>
    <t>Receipt Date</t>
  </si>
  <si>
    <t>Warrants Issued</t>
  </si>
  <si>
    <t>Warrant Number</t>
  </si>
  <si>
    <t>Common</t>
  </si>
  <si>
    <t>Founder</t>
  </si>
  <si>
    <t>CS-001</t>
  </si>
  <si>
    <t>CS-002</t>
  </si>
  <si>
    <t>CS-003</t>
  </si>
  <si>
    <t>CS-004</t>
  </si>
  <si>
    <t>Total</t>
  </si>
  <si>
    <t>Deposit Date</t>
  </si>
  <si>
    <t>Check Amount</t>
  </si>
  <si>
    <t>Price</t>
  </si>
  <si>
    <t>Warrants</t>
  </si>
  <si>
    <t>Avg Share price of block with Warrant coverage</t>
  </si>
  <si>
    <t>Block</t>
  </si>
  <si>
    <t>Units</t>
  </si>
  <si>
    <t>Block Value</t>
  </si>
  <si>
    <t>Warrant Coverage</t>
  </si>
  <si>
    <t>Value</t>
  </si>
  <si>
    <t>Total Value</t>
  </si>
  <si>
    <t>% of Company</t>
  </si>
  <si>
    <t>No warrant coverage for units past block 5</t>
  </si>
  <si>
    <t>Increase Options</t>
  </si>
  <si>
    <t>Vice Chairman</t>
  </si>
  <si>
    <t>Forfeit</t>
  </si>
  <si>
    <t>x</t>
  </si>
  <si>
    <t>Issued</t>
  </si>
  <si>
    <t>Purchased</t>
  </si>
  <si>
    <t>Offering Shares</t>
  </si>
  <si>
    <t>Offering Value</t>
  </si>
  <si>
    <t>Number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</si>
  <si>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</si>
  <si>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</si>
  <si>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</si>
  <si>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</si>
  <si>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</si>
  <si>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</si>
  <si>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</si>
  <si>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</si>
  <si>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</si>
  <si>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</si>
  <si>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</si>
  <si>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</si>
  <si>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</si>
  <si>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</si>
  <si>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</si>
  <si>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</si>
  <si>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Advisor to the Board</t>
  </si>
  <si>
    <t>Product Manager</t>
  </si>
  <si>
    <t>Issued Shares</t>
  </si>
  <si>
    <t>Granted Warrants</t>
  </si>
  <si>
    <t>Granted Options</t>
  </si>
  <si>
    <t>Remaining Options Pool</t>
  </si>
  <si>
    <t>Total options</t>
  </si>
  <si>
    <t>Exercised</t>
  </si>
  <si>
    <t>Founding</t>
  </si>
  <si>
    <t>Vested</t>
  </si>
  <si>
    <t>Stock</t>
  </si>
  <si>
    <t>Security</t>
  </si>
  <si>
    <t>Other Options &amp; Warrants</t>
  </si>
  <si>
    <t>issued + vested</t>
  </si>
  <si>
    <t>to Buy</t>
  </si>
  <si>
    <t>if sold now</t>
  </si>
  <si>
    <t>ROI</t>
  </si>
  <si>
    <t>Invested</t>
  </si>
  <si>
    <t>Current</t>
  </si>
  <si>
    <t>$6M at $60M</t>
  </si>
  <si>
    <t>$10M at $100M</t>
  </si>
  <si>
    <t>$27M at $60M</t>
  </si>
  <si>
    <t>$25M at $62M</t>
  </si>
  <si>
    <t>$25M at $100M</t>
  </si>
  <si>
    <t>Full</t>
  </si>
  <si>
    <t>Total Raise</t>
  </si>
  <si>
    <t>Common stock</t>
  </si>
  <si>
    <t>Founders</t>
  </si>
  <si>
    <t>Angel Investors</t>
  </si>
  <si>
    <t>Executives</t>
  </si>
  <si>
    <t>Consultants</t>
  </si>
  <si>
    <t>Employees</t>
  </si>
  <si>
    <t>Strategic Investors</t>
  </si>
  <si>
    <t>Shares authorized</t>
  </si>
  <si>
    <t>Shares issued</t>
  </si>
  <si>
    <t>Shares purchased this round</t>
  </si>
  <si>
    <t>Founder 1</t>
  </si>
  <si>
    <t>Founder 2</t>
  </si>
  <si>
    <t>As of September 10, 2022</t>
  </si>
  <si>
    <t>Warrant Coverage Simulation</t>
  </si>
  <si>
    <t>Simulated VC</t>
  </si>
  <si>
    <t>AW-001</t>
  </si>
  <si>
    <t>Founder 3</t>
  </si>
  <si>
    <t>Founder 4</t>
  </si>
  <si>
    <t>Founder 5</t>
  </si>
  <si>
    <t>Seed Round Loan</t>
  </si>
  <si>
    <t>Employee 1</t>
  </si>
  <si>
    <t>Employee 2</t>
  </si>
  <si>
    <t xml:space="preserve">Employee 3 </t>
  </si>
  <si>
    <t>Employee 4</t>
  </si>
  <si>
    <t>Employee 5</t>
  </si>
  <si>
    <t>Employee 6</t>
  </si>
  <si>
    <t>Employee 7</t>
  </si>
  <si>
    <t>Employee 8</t>
  </si>
  <si>
    <t>STARTUP CO</t>
  </si>
  <si>
    <t>Loan Provider</t>
  </si>
  <si>
    <t>Employee 3</t>
  </si>
  <si>
    <t>STARTUP CO Stock Certificates</t>
  </si>
  <si>
    <t>Investor 1</t>
  </si>
  <si>
    <t>Investor 2</t>
  </si>
  <si>
    <t>Investor 3</t>
  </si>
  <si>
    <t>Investor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</si>
</sst>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6" formatCode="&quot;$&quot;#,##0_);[Red]\(&quot;$&quot;#,##0\)"/>
    <numFmt numFmtId="8" formatCode="&quot;$&quot;#,##0.00_);[Red]\(&quot;$&quot;#,##0.00\)"/>
    <numFmt numFmtId="41" formatCode="_(* #,##0_);_(* \(#,##0\);_(* &quot;-&quot;_);_(@_)"/>
    <numFmt numFmtId="43" formatCode="_(* #,##0.00_);_(* \(#,##0.00\);_(* &quot;-&quot;??_);_(@_)"/>
    <numFmt numFmtId="164" formatCode="&quot;$&quot;#,##0.00"/>
    <numFmt numFmtId="165" formatCode="&quot;$&quot;#,##0.000"/>
    <numFmt numFmtId="166" formatCode="_(* #,##0_);_(* \(#,##0\);_(* &quot;-&quot;??_);_(@_)"/>
    <numFmt numFmtId="167" formatCode="0.0000"/>
    <numFmt numFmtId="168" formatCode="&quot;$&quot;#,##0"/>
    <numFmt numFmtId="169" formatCode="mm/dd/yy;@"/>
    <numFmt numFmtId="170" formatCode="0.0%"/>
    <numFmt numFmtId="171" formatCode="0.000%"/>
    <numFmt numFmtId="172" formatCode="&quot;$&quot;#,##0.0000"/>
    <numFmt numFmtId="173" formatCode="[$-409]mmmm\ d\,\ yyyy;@"/>
    <numFmt numFmtId="174" formatCode="m/d/yyyy;@"/>
  </numFmts>
  <fonts count="3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8"/>
      <name val="Iosevka Fixed"/>
      <family val="2"/>
    </font>
    <font>
      <sz val="7"/>
      <name val="Iosevka Fixed"/>
      <family val="2"/>
    </font>
    <font>
      <b/>
      <sz val="16"/>
      <name val="Iosevka Fixed"/>
      <family val="2"/>
    </font>
    <font>
      <b/>
      <sz val="8"/>
      <name val="Iosevka Fixed"/>
      <family val="2"/>
    </font>
    <font>
      <b/>
      <sz val="7"/>
      <name val="Iosevka Fixed"/>
      <family val="2"/>
    </font>
    <font>
      <sz val="8"/>
      <color indexed="18"/>
      <name val="Iosevka Fixed"/>
      <family val="2"/>
    </font>
    <font>
      <sz val="7"/>
      <color indexed="18"/>
      <name val="Iosevka Fixed"/>
      <family val="2"/>
    </font>
    <font>
      <sz val="9"/>
      <name val="Iosevka Fixed"/>
      <family val="2"/>
    </font>
    <font>
      <sz val="8"/>
      <color indexed="16"/>
      <name val="Iosevka Fixed"/>
      <family val="2"/>
    </font>
    <font>
      <b/>
      <sz val="14"/>
      <name val="Iosevka Fixed"/>
      <family val="2"/>
    </font>
    <font>
      <sz val="10"/>
      <name val="Iosevka Fixed"/>
      <family val="2"/>
    </font>
    <font>
      <b/>
      <sz val="8"/>
      <color theme="3"/>
      <name val="Iosevka Fixed"/>
      <family val="2"/>
    </font>
    <font>
      <b/>
      <sz val="10"/>
      <color theme="1"/>
      <name val="Iosevka Fixed"/>
      <family val="2"/>
    </font>
    <font>
      <sz val="10"/>
      <color theme="1"/>
      <name val="Iosevka Fixed"/>
      <family val="2"/>
    </font>
    <font>
      <b/>
      <sz val="10"/>
      <color theme="3" tint="-0.249977111117893"/>
      <name val="Iosevka Fixed"/>
      <family val="2"/>
    </font>
    <font>
      <sz val="8"/>
      <color theme="1"/>
      <name val="Iosevka Fixed"/>
      <family val="2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sz val="11"/>
      <name val="Iosevka Fixed"/>
      <family val="2"/>
    </font>
    <font>
      <b/>
      <sz val="11"/>
      <name val="Iosevka Fixed"/>
      <family val="2"/>
    </font>
    <font>
      <b/>
      <sz val="9"/>
      <name val="Iosevka Fixed"/>
      <family val="2"/>
    </font>
    <font>
      <i/>
      <sz val="9"/>
      <name val="Iosevka Fixed"/>
      <family val="2"/>
    </font>
    <font>
      <sz val="9"/>
      <name val="Iosevka Fixed"/>
      <family val="2"/>
    </font>
    <font>
      <sz val="8"/>
      <name val="Iosevka Fixed"/>
      <family val="2"/>
    </font>
    <font>
      <sz val="9"/>
      <color theme="1" tint="0.499984740745262"/>
      <name val="Iosevka Fixed"/>
      <family val="2"/>
    </font>
    <font>
      <i/>
      <sz val="9"/>
      <color theme="1" tint="0.499984740745262"/>
      <name val="Iosevka Fixed"/>
      <family val="2"/>
    </font>
    <font>
      <sz val="8"/>
      <name val="Arial"/>
      <family val="2"/>
    </font>
    <font>
      <b/>
      <sz val="8"/>
      <color indexed="18"/>
      <name val="Iosevka Fixed"/>
      <family val="2"/>
    </font>
  </fonts>
  <fills count="1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68">
    <xf numFmtId="0" fontId="0" fillId="0" borderId="0" xfId="0"/>
    <xf numFmtId="0" fontId="3" fillId="0" borderId="0" xfId="0" applyFont="1"/>
    <xf numFmtId="0" fontId="4" fillId="0" borderId="0" xfId="0" applyFont="1"/>
    <xf numFmtId="0" fontId="6" fillId="2" borderId="1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15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6" fillId="2" borderId="8" xfId="0" applyFont="1" applyFill="1" applyBorder="1" applyAlignment="1">
      <alignment horizontal="center"/>
    </xf>
    <xf numFmtId="169" fontId="6" fillId="2" borderId="2" xfId="0" applyNumberFormat="1" applyFont="1" applyFill="1" applyBorder="1" applyAlignment="1">
      <alignment horizontal="center"/>
    </xf>
    <xf numFmtId="169" fontId="7" fillId="2" borderId="6" xfId="0" applyNumberFormat="1" applyFont="1" applyFill="1" applyBorder="1" applyAlignment="1">
      <alignment horizontal="center"/>
    </xf>
    <xf numFmtId="0" fontId="7" fillId="2" borderId="13" xfId="0" applyFont="1" applyFill="1" applyBorder="1" applyAlignment="1">
      <alignment horizontal="center"/>
    </xf>
    <xf numFmtId="14" fontId="6" fillId="2" borderId="2" xfId="0" applyNumberFormat="1" applyFont="1" applyFill="1" applyBorder="1" applyAlignment="1">
      <alignment horizontal="center"/>
    </xf>
    <xf numFmtId="14" fontId="7" fillId="2" borderId="6" xfId="0" applyNumberFormat="1" applyFont="1" applyFill="1" applyBorder="1" applyAlignment="1">
      <alignment horizontal="center"/>
    </xf>
    <xf numFmtId="14" fontId="6" fillId="2" borderId="6" xfId="0" applyNumberFormat="1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6" fillId="0" borderId="3" xfId="0" applyFont="1" applyBorder="1"/>
    <xf numFmtId="0" fontId="3" fillId="0" borderId="0" xfId="0" applyFont="1" applyBorder="1"/>
    <xf numFmtId="168" fontId="8" fillId="0" borderId="3" xfId="1" applyNumberFormat="1" applyFont="1" applyFill="1" applyBorder="1"/>
    <xf numFmtId="168" fontId="9" fillId="0" borderId="0" xfId="1" applyNumberFormat="1" applyFont="1" applyFill="1" applyBorder="1"/>
    <xf numFmtId="168" fontId="4" fillId="0" borderId="16" xfId="1" applyNumberFormat="1" applyFont="1" applyBorder="1"/>
    <xf numFmtId="0" fontId="3" fillId="0" borderId="1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3" xfId="0" applyFont="1" applyBorder="1"/>
    <xf numFmtId="43" fontId="3" fillId="0" borderId="3" xfId="1" applyFont="1" applyBorder="1"/>
    <xf numFmtId="3" fontId="3" fillId="0" borderId="3" xfId="1" applyNumberFormat="1" applyFont="1" applyBorder="1"/>
    <xf numFmtId="166" fontId="3" fillId="0" borderId="3" xfId="1" applyNumberFormat="1" applyFont="1" applyBorder="1"/>
    <xf numFmtId="168" fontId="3" fillId="0" borderId="0" xfId="0" applyNumberFormat="1" applyFont="1"/>
    <xf numFmtId="172" fontId="3" fillId="0" borderId="3" xfId="1" applyNumberFormat="1" applyFont="1" applyBorder="1"/>
    <xf numFmtId="164" fontId="3" fillId="0" borderId="3" xfId="1" applyNumberFormat="1" applyFont="1" applyBorder="1"/>
    <xf numFmtId="164" fontId="3" fillId="0" borderId="0" xfId="1" applyNumberFormat="1" applyFont="1" applyBorder="1"/>
    <xf numFmtId="43" fontId="3" fillId="0" borderId="0" xfId="1" applyFont="1" applyBorder="1"/>
    <xf numFmtId="9" fontId="3" fillId="0" borderId="3" xfId="2" applyFont="1" applyBorder="1"/>
    <xf numFmtId="9" fontId="3" fillId="0" borderId="0" xfId="2" applyFont="1" applyBorder="1"/>
    <xf numFmtId="10" fontId="3" fillId="0" borderId="3" xfId="2" applyNumberFormat="1" applyFont="1" applyBorder="1"/>
    <xf numFmtId="0" fontId="6" fillId="0" borderId="0" xfId="0" applyFont="1" applyBorder="1" applyAlignment="1">
      <alignment horizontal="center"/>
    </xf>
    <xf numFmtId="166" fontId="8" fillId="3" borderId="2" xfId="1" applyNumberFormat="1" applyFont="1" applyFill="1" applyBorder="1"/>
    <xf numFmtId="170" fontId="4" fillId="8" borderId="6" xfId="2" applyNumberFormat="1" applyFont="1" applyFill="1" applyBorder="1"/>
    <xf numFmtId="170" fontId="4" fillId="9" borderId="13" xfId="2" applyNumberFormat="1" applyFont="1" applyFill="1" applyBorder="1"/>
    <xf numFmtId="170" fontId="4" fillId="9" borderId="6" xfId="2" applyNumberFormat="1" applyFont="1" applyFill="1" applyBorder="1"/>
    <xf numFmtId="168" fontId="3" fillId="0" borderId="10" xfId="0" applyNumberFormat="1" applyFont="1" applyBorder="1"/>
    <xf numFmtId="166" fontId="3" fillId="0" borderId="10" xfId="0" applyNumberFormat="1" applyFont="1" applyBorder="1"/>
    <xf numFmtId="170" fontId="3" fillId="0" borderId="10" xfId="2" applyNumberFormat="1" applyFont="1" applyBorder="1"/>
    <xf numFmtId="41" fontId="3" fillId="0" borderId="10" xfId="0" applyNumberFormat="1" applyFont="1" applyBorder="1"/>
    <xf numFmtId="166" fontId="3" fillId="0" borderId="10" xfId="1" applyNumberFormat="1" applyFont="1" applyBorder="1"/>
    <xf numFmtId="166" fontId="8" fillId="3" borderId="7" xfId="1" applyNumberFormat="1" applyFont="1" applyFill="1" applyBorder="1"/>
    <xf numFmtId="168" fontId="3" fillId="0" borderId="2" xfId="0" applyNumberFormat="1" applyFont="1" applyBorder="1"/>
    <xf numFmtId="166" fontId="3" fillId="0" borderId="11" xfId="0" applyNumberFormat="1" applyFont="1" applyBorder="1"/>
    <xf numFmtId="3" fontId="8" fillId="3" borderId="2" xfId="1" applyNumberFormat="1" applyFont="1" applyFill="1" applyBorder="1"/>
    <xf numFmtId="0" fontId="3" fillId="0" borderId="10" xfId="0" applyFont="1" applyBorder="1"/>
    <xf numFmtId="41" fontId="3" fillId="0" borderId="5" xfId="0" applyNumberFormat="1" applyFont="1" applyBorder="1" applyAlignment="1"/>
    <xf numFmtId="166" fontId="3" fillId="0" borderId="1" xfId="1" applyNumberFormat="1" applyFont="1" applyBorder="1"/>
    <xf numFmtId="9" fontId="4" fillId="8" borderId="0" xfId="2" applyFont="1" applyFill="1" applyBorder="1"/>
    <xf numFmtId="9" fontId="4" fillId="0" borderId="0" xfId="2" applyFont="1" applyBorder="1"/>
    <xf numFmtId="170" fontId="4" fillId="0" borderId="15" xfId="2" applyNumberFormat="1" applyFont="1" applyBorder="1"/>
    <xf numFmtId="170" fontId="4" fillId="0" borderId="0" xfId="2" applyNumberFormat="1" applyFont="1" applyBorder="1"/>
    <xf numFmtId="9" fontId="4" fillId="0" borderId="15" xfId="2" applyNumberFormat="1" applyFont="1" applyBorder="1"/>
    <xf numFmtId="168" fontId="3" fillId="0" borderId="1" xfId="0" applyNumberFormat="1" applyFont="1" applyBorder="1" applyAlignment="1">
      <alignment horizontal="center"/>
    </xf>
    <xf numFmtId="168" fontId="3" fillId="0" borderId="15" xfId="0" applyNumberFormat="1" applyFont="1" applyBorder="1" applyAlignment="1">
      <alignment horizontal="center"/>
    </xf>
    <xf numFmtId="170" fontId="3" fillId="0" borderId="0" xfId="2" applyNumberFormat="1" applyFont="1"/>
    <xf numFmtId="168" fontId="3" fillId="0" borderId="0" xfId="0" applyNumberFormat="1" applyFont="1" applyBorder="1"/>
    <xf numFmtId="41" fontId="3" fillId="0" borderId="0" xfId="0" applyNumberFormat="1" applyFont="1" applyBorder="1" applyAlignment="1"/>
    <xf numFmtId="164" fontId="4" fillId="0" borderId="6" xfId="2" applyNumberFormat="1" applyFont="1" applyFill="1" applyBorder="1"/>
    <xf numFmtId="164" fontId="4" fillId="0" borderId="6" xfId="2" applyNumberFormat="1" applyFont="1" applyBorder="1"/>
    <xf numFmtId="164" fontId="3" fillId="0" borderId="2" xfId="1" applyNumberFormat="1" applyFont="1" applyBorder="1"/>
    <xf numFmtId="164" fontId="4" fillId="0" borderId="13" xfId="2" applyNumberFormat="1" applyFont="1" applyBorder="1"/>
    <xf numFmtId="168" fontId="3" fillId="0" borderId="3" xfId="0" applyNumberFormat="1" applyFont="1" applyBorder="1" applyAlignment="1">
      <alignment horizontal="center"/>
    </xf>
    <xf numFmtId="168" fontId="3" fillId="0" borderId="16" xfId="0" applyNumberFormat="1" applyFont="1" applyBorder="1" applyAlignment="1">
      <alignment horizontal="center"/>
    </xf>
    <xf numFmtId="9" fontId="4" fillId="0" borderId="0" xfId="2" applyFont="1" applyFill="1" applyBorder="1"/>
    <xf numFmtId="170" fontId="4" fillId="0" borderId="16" xfId="2" applyNumberFormat="1" applyFont="1" applyBorder="1"/>
    <xf numFmtId="9" fontId="4" fillId="0" borderId="16" xfId="2" applyNumberFormat="1" applyFont="1" applyBorder="1"/>
    <xf numFmtId="166" fontId="4" fillId="0" borderId="0" xfId="1" applyNumberFormat="1" applyFont="1" applyBorder="1"/>
    <xf numFmtId="166" fontId="4" fillId="0" borderId="0" xfId="1" applyNumberFormat="1" applyFont="1" applyFill="1" applyBorder="1"/>
    <xf numFmtId="10" fontId="4" fillId="0" borderId="0" xfId="2" applyNumberFormat="1" applyFont="1" applyBorder="1"/>
    <xf numFmtId="168" fontId="3" fillId="0" borderId="2" xfId="0" applyNumberFormat="1" applyFont="1" applyBorder="1" applyAlignment="1">
      <alignment horizontal="center"/>
    </xf>
    <xf numFmtId="168" fontId="3" fillId="0" borderId="13" xfId="0" applyNumberFormat="1" applyFont="1" applyBorder="1" applyAlignment="1">
      <alignment horizontal="center"/>
    </xf>
    <xf numFmtId="166" fontId="8" fillId="0" borderId="2" xfId="1" applyNumberFormat="1" applyFont="1" applyFill="1" applyBorder="1"/>
    <xf numFmtId="166" fontId="9" fillId="0" borderId="6" xfId="1" applyNumberFormat="1" applyFont="1" applyFill="1" applyBorder="1"/>
    <xf numFmtId="9" fontId="4" fillId="0" borderId="13" xfId="2" applyNumberFormat="1" applyFont="1" applyBorder="1"/>
    <xf numFmtId="170" fontId="4" fillId="10" borderId="6" xfId="2" applyNumberFormat="1" applyFont="1" applyFill="1" applyBorder="1"/>
    <xf numFmtId="10" fontId="4" fillId="9" borderId="13" xfId="2" applyNumberFormat="1" applyFont="1" applyFill="1" applyBorder="1"/>
    <xf numFmtId="10" fontId="3" fillId="0" borderId="0" xfId="2" applyNumberFormat="1" applyFont="1"/>
    <xf numFmtId="166" fontId="8" fillId="0" borderId="7" xfId="1" applyNumberFormat="1" applyFont="1" applyFill="1" applyBorder="1"/>
    <xf numFmtId="166" fontId="9" fillId="0" borderId="4" xfId="1" applyNumberFormat="1" applyFont="1" applyFill="1" applyBorder="1"/>
    <xf numFmtId="9" fontId="4" fillId="0" borderId="14" xfId="2" applyNumberFormat="1" applyFont="1" applyBorder="1"/>
    <xf numFmtId="3" fontId="8" fillId="3" borderId="7" xfId="1" applyNumberFormat="1" applyFont="1" applyFill="1" applyBorder="1"/>
    <xf numFmtId="41" fontId="3" fillId="0" borderId="4" xfId="0" applyNumberFormat="1" applyFont="1" applyBorder="1" applyAlignment="1"/>
    <xf numFmtId="166" fontId="3" fillId="7" borderId="7" xfId="1" applyNumberFormat="1" applyFont="1" applyFill="1" applyBorder="1"/>
    <xf numFmtId="166" fontId="4" fillId="7" borderId="6" xfId="1" applyNumberFormat="1" applyFont="1" applyFill="1" applyBorder="1"/>
    <xf numFmtId="170" fontId="4" fillId="7" borderId="6" xfId="2" applyNumberFormat="1" applyFont="1" applyFill="1" applyBorder="1"/>
    <xf numFmtId="170" fontId="4" fillId="9" borderId="14" xfId="2" applyNumberFormat="1" applyFont="1" applyFill="1" applyBorder="1"/>
    <xf numFmtId="43" fontId="4" fillId="0" borderId="0" xfId="1" applyFont="1" applyBorder="1"/>
    <xf numFmtId="9" fontId="4" fillId="0" borderId="16" xfId="1" applyNumberFormat="1" applyFont="1" applyBorder="1"/>
    <xf numFmtId="9" fontId="4" fillId="10" borderId="5" xfId="1" applyNumberFormat="1" applyFont="1" applyFill="1" applyBorder="1"/>
    <xf numFmtId="9" fontId="4" fillId="9" borderId="16" xfId="1" applyNumberFormat="1" applyFont="1" applyFill="1" applyBorder="1"/>
    <xf numFmtId="10" fontId="3" fillId="0" borderId="3" xfId="1" applyNumberFormat="1" applyFont="1" applyBorder="1"/>
    <xf numFmtId="10" fontId="3" fillId="0" borderId="1" xfId="1" applyNumberFormat="1" applyFont="1" applyBorder="1"/>
    <xf numFmtId="9" fontId="4" fillId="9" borderId="15" xfId="1" applyNumberFormat="1" applyFont="1" applyFill="1" applyBorder="1"/>
    <xf numFmtId="10" fontId="3" fillId="0" borderId="0" xfId="1" applyNumberFormat="1" applyFont="1" applyBorder="1"/>
    <xf numFmtId="10" fontId="4" fillId="0" borderId="16" xfId="1" applyNumberFormat="1" applyFont="1" applyBorder="1"/>
    <xf numFmtId="0" fontId="4" fillId="0" borderId="16" xfId="0" applyFont="1" applyBorder="1"/>
    <xf numFmtId="172" fontId="4" fillId="0" borderId="0" xfId="1" applyNumberFormat="1" applyFont="1" applyBorder="1"/>
    <xf numFmtId="43" fontId="4" fillId="0" borderId="16" xfId="1" applyFont="1" applyBorder="1"/>
    <xf numFmtId="164" fontId="4" fillId="0" borderId="0" xfId="1" applyNumberFormat="1" applyFont="1" applyBorder="1"/>
    <xf numFmtId="0" fontId="6" fillId="0" borderId="0" xfId="0" applyFont="1" applyBorder="1"/>
    <xf numFmtId="168" fontId="6" fillId="0" borderId="3" xfId="1" applyNumberFormat="1" applyFont="1" applyBorder="1"/>
    <xf numFmtId="168" fontId="7" fillId="0" borderId="0" xfId="1" applyNumberFormat="1" applyFont="1" applyBorder="1"/>
    <xf numFmtId="168" fontId="7" fillId="0" borderId="16" xfId="1" applyNumberFormat="1" applyFont="1" applyBorder="1"/>
    <xf numFmtId="168" fontId="6" fillId="0" borderId="3" xfId="1" applyNumberFormat="1" applyFont="1" applyFill="1" applyBorder="1"/>
    <xf numFmtId="168" fontId="7" fillId="0" borderId="0" xfId="1" applyNumberFormat="1" applyFont="1" applyFill="1" applyBorder="1"/>
    <xf numFmtId="168" fontId="6" fillId="0" borderId="0" xfId="1" applyNumberFormat="1" applyFont="1" applyFill="1" applyBorder="1"/>
    <xf numFmtId="168" fontId="3" fillId="0" borderId="3" xfId="1" applyNumberFormat="1" applyFont="1" applyBorder="1"/>
    <xf numFmtId="168" fontId="4" fillId="0" borderId="0" xfId="1" applyNumberFormat="1" applyFont="1" applyBorder="1"/>
    <xf numFmtId="168" fontId="3" fillId="0" borderId="0" xfId="1" applyNumberFormat="1" applyFont="1" applyBorder="1"/>
    <xf numFmtId="3" fontId="3" fillId="0" borderId="0" xfId="1" applyNumberFormat="1" applyFont="1" applyBorder="1"/>
    <xf numFmtId="166" fontId="3" fillId="0" borderId="0" xfId="0" applyNumberFormat="1" applyFont="1"/>
    <xf numFmtId="0" fontId="3" fillId="0" borderId="0" xfId="0" applyFont="1" applyBorder="1" applyAlignment="1">
      <alignment wrapText="1"/>
    </xf>
    <xf numFmtId="9" fontId="4" fillId="0" borderId="16" xfId="2" applyFont="1" applyBorder="1"/>
    <xf numFmtId="164" fontId="3" fillId="0" borderId="0" xfId="0" applyNumberFormat="1" applyFont="1"/>
    <xf numFmtId="0" fontId="4" fillId="0" borderId="0" xfId="0" applyFont="1" applyBorder="1"/>
    <xf numFmtId="43" fontId="4" fillId="0" borderId="6" xfId="1" applyFont="1" applyBorder="1"/>
    <xf numFmtId="43" fontId="4" fillId="0" borderId="13" xfId="1" applyFont="1" applyBorder="1"/>
    <xf numFmtId="166" fontId="4" fillId="0" borderId="5" xfId="1" applyNumberFormat="1" applyFont="1" applyBorder="1"/>
    <xf numFmtId="9" fontId="9" fillId="3" borderId="15" xfId="2" applyFont="1" applyFill="1" applyBorder="1"/>
    <xf numFmtId="166" fontId="3" fillId="0" borderId="5" xfId="1" applyNumberFormat="1" applyFont="1" applyBorder="1"/>
    <xf numFmtId="9" fontId="4" fillId="0" borderId="5" xfId="2" applyFont="1" applyBorder="1"/>
    <xf numFmtId="9" fontId="4" fillId="0" borderId="15" xfId="2" applyFont="1" applyBorder="1"/>
    <xf numFmtId="10" fontId="4" fillId="0" borderId="5" xfId="2" applyNumberFormat="1" applyFont="1" applyBorder="1"/>
    <xf numFmtId="0" fontId="3" fillId="0" borderId="2" xfId="0" applyFont="1" applyBorder="1"/>
    <xf numFmtId="0" fontId="3" fillId="0" borderId="6" xfId="0" applyFont="1" applyBorder="1" applyAlignment="1">
      <alignment horizontal="left"/>
    </xf>
    <xf numFmtId="0" fontId="4" fillId="0" borderId="6" xfId="0" applyFont="1" applyBorder="1"/>
    <xf numFmtId="0" fontId="4" fillId="0" borderId="13" xfId="0" applyFont="1" applyBorder="1"/>
    <xf numFmtId="166" fontId="3" fillId="0" borderId="6" xfId="0" applyNumberFormat="1" applyFont="1" applyBorder="1"/>
    <xf numFmtId="166" fontId="4" fillId="0" borderId="6" xfId="0" applyNumberFormat="1" applyFont="1" applyBorder="1"/>
    <xf numFmtId="9" fontId="4" fillId="11" borderId="6" xfId="2" applyFont="1" applyFill="1" applyBorder="1"/>
    <xf numFmtId="166" fontId="3" fillId="0" borderId="2" xfId="0" applyNumberFormat="1" applyFont="1" applyBorder="1"/>
    <xf numFmtId="9" fontId="4" fillId="0" borderId="13" xfId="2" applyFont="1" applyBorder="1"/>
    <xf numFmtId="9" fontId="4" fillId="0" borderId="6" xfId="2" applyFont="1" applyBorder="1"/>
    <xf numFmtId="9" fontId="3" fillId="0" borderId="0" xfId="2" applyFont="1"/>
    <xf numFmtId="9" fontId="4" fillId="0" borderId="0" xfId="2" applyFont="1"/>
    <xf numFmtId="170" fontId="4" fillId="0" borderId="0" xfId="0" applyNumberFormat="1" applyFont="1"/>
    <xf numFmtId="43" fontId="3" fillId="0" borderId="0" xfId="0" applyNumberFormat="1" applyFont="1"/>
    <xf numFmtId="43" fontId="4" fillId="0" borderId="0" xfId="0" applyNumberFormat="1" applyFont="1"/>
    <xf numFmtId="0" fontId="3" fillId="0" borderId="7" xfId="0" applyFont="1" applyBorder="1"/>
    <xf numFmtId="0" fontId="3" fillId="0" borderId="4" xfId="0" applyFont="1" applyBorder="1"/>
    <xf numFmtId="0" fontId="4" fillId="0" borderId="4" xfId="0" applyFont="1" applyBorder="1"/>
    <xf numFmtId="3" fontId="3" fillId="0" borderId="4" xfId="0" applyNumberFormat="1" applyFont="1" applyBorder="1"/>
    <xf numFmtId="171" fontId="4" fillId="0" borderId="4" xfId="2" applyNumberFormat="1" applyFont="1" applyBorder="1"/>
    <xf numFmtId="0" fontId="4" fillId="0" borderId="14" xfId="0" applyFont="1" applyBorder="1"/>
    <xf numFmtId="166" fontId="4" fillId="0" borderId="0" xfId="0" applyNumberFormat="1" applyFont="1"/>
    <xf numFmtId="43" fontId="4" fillId="0" borderId="0" xfId="1" applyFont="1"/>
    <xf numFmtId="171" fontId="4" fillId="0" borderId="0" xfId="2" applyNumberFormat="1" applyFont="1"/>
    <xf numFmtId="43" fontId="3" fillId="0" borderId="0" xfId="1" applyFont="1"/>
    <xf numFmtId="168" fontId="4" fillId="0" borderId="0" xfId="0" applyNumberFormat="1" applyFont="1"/>
    <xf numFmtId="170" fontId="4" fillId="0" borderId="0" xfId="2" applyNumberFormat="1" applyFont="1"/>
    <xf numFmtId="10" fontId="4" fillId="0" borderId="0" xfId="2" applyNumberFormat="1" applyFont="1"/>
    <xf numFmtId="0" fontId="6" fillId="0" borderId="0" xfId="0" applyFont="1"/>
    <xf numFmtId="41" fontId="3" fillId="0" borderId="0" xfId="0" applyNumberFormat="1" applyFont="1" applyAlignment="1"/>
    <xf numFmtId="167" fontId="4" fillId="0" borderId="0" xfId="0" applyNumberFormat="1" applyFont="1"/>
    <xf numFmtId="0" fontId="12" fillId="0" borderId="0" xfId="0" applyFont="1"/>
    <xf numFmtId="0" fontId="3" fillId="0" borderId="0" xfId="0" applyFont="1" applyAlignment="1">
      <alignment horizontal="center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165" fontId="3" fillId="0" borderId="0" xfId="0" applyNumberFormat="1" applyFont="1" applyAlignment="1">
      <alignment horizontal="center" wrapText="1"/>
    </xf>
    <xf numFmtId="1" fontId="3" fillId="0" borderId="0" xfId="0" applyNumberFormat="1" applyFont="1" applyAlignment="1">
      <alignment horizontal="center" wrapText="1"/>
    </xf>
    <xf numFmtId="168" fontId="3" fillId="0" borderId="0" xfId="0" applyNumberFormat="1" applyFont="1" applyAlignment="1">
      <alignment horizontal="center" wrapText="1"/>
    </xf>
    <xf numFmtId="169" fontId="3" fillId="0" borderId="0" xfId="0" applyNumberFormat="1" applyFont="1" applyAlignment="1">
      <alignment horizontal="center" wrapText="1"/>
    </xf>
    <xf numFmtId="3" fontId="3" fillId="0" borderId="0" xfId="0" applyNumberFormat="1" applyFont="1" applyAlignment="1">
      <alignment horizontal="center" wrapText="1"/>
    </xf>
    <xf numFmtId="174" fontId="3" fillId="0" borderId="0" xfId="0" applyNumberFormat="1" applyFont="1" applyAlignment="1">
      <alignment horizontal="center" wrapText="1"/>
    </xf>
    <xf numFmtId="14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168" fontId="3" fillId="0" borderId="0" xfId="0" applyNumberFormat="1" applyFont="1" applyAlignment="1">
      <alignment horizontal="center"/>
    </xf>
    <xf numFmtId="169" fontId="3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174" fontId="3" fillId="0" borderId="0" xfId="0" applyNumberFormat="1" applyFont="1" applyAlignment="1">
      <alignment horizontal="center"/>
    </xf>
    <xf numFmtId="17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0" xfId="0" applyFont="1" applyFill="1"/>
    <xf numFmtId="17" fontId="3" fillId="0" borderId="0" xfId="0" applyNumberFormat="1" applyFont="1" applyFill="1" applyAlignment="1">
      <alignment horizontal="center"/>
    </xf>
    <xf numFmtId="14" fontId="3" fillId="0" borderId="0" xfId="0" applyNumberFormat="1" applyFont="1" applyFill="1" applyAlignment="1">
      <alignment horizontal="center"/>
    </xf>
    <xf numFmtId="1" fontId="3" fillId="0" borderId="0" xfId="0" applyNumberFormat="1" applyFont="1" applyFill="1" applyAlignment="1">
      <alignment horizontal="center"/>
    </xf>
    <xf numFmtId="168" fontId="3" fillId="0" borderId="0" xfId="0" applyNumberFormat="1" applyFont="1" applyFill="1" applyAlignment="1">
      <alignment horizontal="center"/>
    </xf>
    <xf numFmtId="3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6" fillId="0" borderId="17" xfId="0" applyFont="1" applyBorder="1"/>
    <xf numFmtId="0" fontId="6" fillId="0" borderId="17" xfId="0" applyFont="1" applyBorder="1" applyAlignment="1">
      <alignment horizontal="center"/>
    </xf>
    <xf numFmtId="164" fontId="6" fillId="0" borderId="17" xfId="0" applyNumberFormat="1" applyFont="1" applyBorder="1" applyAlignment="1">
      <alignment horizontal="center"/>
    </xf>
    <xf numFmtId="1" fontId="6" fillId="0" borderId="17" xfId="0" applyNumberFormat="1" applyFont="1" applyBorder="1" applyAlignment="1">
      <alignment horizontal="center"/>
    </xf>
    <xf numFmtId="168" fontId="6" fillId="0" borderId="17" xfId="0" applyNumberFormat="1" applyFont="1" applyBorder="1" applyAlignment="1">
      <alignment horizontal="center"/>
    </xf>
    <xf numFmtId="169" fontId="6" fillId="0" borderId="17" xfId="0" applyNumberFormat="1" applyFont="1" applyBorder="1" applyAlignment="1">
      <alignment horizontal="center"/>
    </xf>
    <xf numFmtId="3" fontId="6" fillId="0" borderId="17" xfId="0" applyNumberFormat="1" applyFont="1" applyBorder="1" applyAlignment="1">
      <alignment horizontal="center"/>
    </xf>
    <xf numFmtId="0" fontId="13" fillId="0" borderId="0" xfId="0" applyFont="1"/>
    <xf numFmtId="0" fontId="3" fillId="0" borderId="10" xfId="0" applyNumberFormat="1" applyFont="1" applyBorder="1" applyAlignment="1">
      <alignment horizontal="left"/>
    </xf>
    <xf numFmtId="3" fontId="3" fillId="0" borderId="10" xfId="0" applyNumberFormat="1" applyFont="1" applyBorder="1" applyAlignment="1">
      <alignment horizontal="right"/>
    </xf>
    <xf numFmtId="3" fontId="3" fillId="0" borderId="10" xfId="0" applyNumberFormat="1" applyFont="1" applyBorder="1"/>
    <xf numFmtId="3" fontId="3" fillId="0" borderId="0" xfId="0" applyNumberFormat="1" applyFont="1"/>
    <xf numFmtId="3" fontId="3" fillId="0" borderId="10" xfId="0" applyNumberFormat="1" applyFont="1" applyFill="1" applyBorder="1"/>
    <xf numFmtId="3" fontId="3" fillId="0" borderId="8" xfId="0" applyNumberFormat="1" applyFont="1" applyBorder="1"/>
    <xf numFmtId="3" fontId="6" fillId="0" borderId="12" xfId="0" applyNumberFormat="1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2" borderId="10" xfId="0" applyFont="1" applyFill="1" applyBorder="1"/>
    <xf numFmtId="0" fontId="6" fillId="2" borderId="10" xfId="0" applyFont="1" applyFill="1" applyBorder="1" applyAlignment="1">
      <alignment horizontal="left"/>
    </xf>
    <xf numFmtId="0" fontId="6" fillId="2" borderId="10" xfId="0" applyFont="1" applyFill="1" applyBorder="1" applyAlignment="1">
      <alignment horizontal="center"/>
    </xf>
    <xf numFmtId="6" fontId="3" fillId="0" borderId="10" xfId="0" applyNumberFormat="1" applyFont="1" applyBorder="1"/>
    <xf numFmtId="8" fontId="3" fillId="0" borderId="0" xfId="0" applyNumberFormat="1" applyFont="1"/>
    <xf numFmtId="3" fontId="3" fillId="0" borderId="14" xfId="0" applyNumberFormat="1" applyFont="1" applyBorder="1"/>
    <xf numFmtId="0" fontId="3" fillId="0" borderId="14" xfId="0" applyFont="1" applyBorder="1"/>
    <xf numFmtId="0" fontId="3" fillId="0" borderId="10" xfId="0" applyNumberFormat="1" applyFont="1" applyBorder="1" applyAlignment="1">
      <alignment horizontal="left" indent="1"/>
    </xf>
    <xf numFmtId="170" fontId="3" fillId="0" borderId="10" xfId="0" applyNumberFormat="1" applyFont="1" applyBorder="1"/>
    <xf numFmtId="0" fontId="3" fillId="0" borderId="10" xfId="0" applyNumberFormat="1" applyFont="1" applyFill="1" applyBorder="1" applyAlignment="1">
      <alignment horizontal="left" indent="2"/>
    </xf>
    <xf numFmtId="0" fontId="6" fillId="0" borderId="12" xfId="0" applyNumberFormat="1" applyFont="1" applyFill="1" applyBorder="1" applyAlignment="1">
      <alignment horizontal="left" indent="1"/>
    </xf>
    <xf numFmtId="170" fontId="6" fillId="0" borderId="12" xfId="0" applyNumberFormat="1" applyFont="1" applyBorder="1"/>
    <xf numFmtId="168" fontId="6" fillId="0" borderId="12" xfId="0" applyNumberFormat="1" applyFont="1" applyBorder="1"/>
    <xf numFmtId="170" fontId="3" fillId="0" borderId="10" xfId="0" applyNumberFormat="1" applyFont="1" applyBorder="1" applyAlignment="1">
      <alignment horizontal="right"/>
    </xf>
    <xf numFmtId="9" fontId="3" fillId="0" borderId="0" xfId="0" applyNumberFormat="1" applyFont="1" applyBorder="1" applyAlignment="1">
      <alignment horizontal="center"/>
    </xf>
    <xf numFmtId="166" fontId="3" fillId="0" borderId="0" xfId="1" applyNumberFormat="1" applyFont="1"/>
    <xf numFmtId="0" fontId="3" fillId="0" borderId="8" xfId="0" applyFont="1" applyBorder="1" applyAlignment="1">
      <alignment horizontal="left"/>
    </xf>
    <xf numFmtId="170" fontId="3" fillId="0" borderId="8" xfId="0" applyNumberFormat="1" applyFont="1" applyBorder="1" applyAlignment="1">
      <alignment horizontal="right"/>
    </xf>
    <xf numFmtId="0" fontId="3" fillId="0" borderId="12" xfId="0" applyFont="1" applyBorder="1"/>
    <xf numFmtId="170" fontId="3" fillId="0" borderId="12" xfId="2" applyNumberFormat="1" applyFont="1" applyBorder="1" applyAlignment="1">
      <alignment horizontal="right"/>
    </xf>
    <xf numFmtId="170" fontId="3" fillId="0" borderId="12" xfId="0" applyNumberFormat="1" applyFont="1" applyBorder="1" applyAlignment="1">
      <alignment horizontal="right"/>
    </xf>
    <xf numFmtId="170" fontId="3" fillId="0" borderId="0" xfId="0" applyNumberFormat="1" applyFont="1" applyBorder="1" applyAlignment="1">
      <alignment horizontal="center"/>
    </xf>
    <xf numFmtId="0" fontId="3" fillId="0" borderId="10" xfId="0" applyFont="1" applyFill="1" applyBorder="1" applyAlignment="1"/>
    <xf numFmtId="3" fontId="3" fillId="0" borderId="0" xfId="0" applyNumberFormat="1" applyFont="1" applyBorder="1"/>
    <xf numFmtId="0" fontId="15" fillId="0" borderId="0" xfId="0" applyFont="1"/>
    <xf numFmtId="0" fontId="13" fillId="0" borderId="0" xfId="0" applyNumberFormat="1" applyFont="1" applyBorder="1" applyAlignment="1">
      <alignment horizontal="left"/>
    </xf>
    <xf numFmtId="3" fontId="16" fillId="0" borderId="0" xfId="0" applyNumberFormat="1" applyFont="1"/>
    <xf numFmtId="0" fontId="16" fillId="0" borderId="0" xfId="0" applyFont="1"/>
    <xf numFmtId="0" fontId="17" fillId="0" borderId="5" xfId="0" applyNumberFormat="1" applyFont="1" applyBorder="1" applyAlignment="1">
      <alignment horizontal="left"/>
    </xf>
    <xf numFmtId="3" fontId="17" fillId="0" borderId="5" xfId="0" applyNumberFormat="1" applyFont="1" applyBorder="1"/>
    <xf numFmtId="168" fontId="17" fillId="0" borderId="5" xfId="0" applyNumberFormat="1" applyFont="1" applyBorder="1"/>
    <xf numFmtId="0" fontId="16" fillId="0" borderId="0" xfId="0" applyFont="1" applyBorder="1"/>
    <xf numFmtId="0" fontId="18" fillId="0" borderId="1" xfId="0" applyFont="1" applyBorder="1"/>
    <xf numFmtId="0" fontId="18" fillId="0" borderId="2" xfId="0" applyFont="1" applyBorder="1"/>
    <xf numFmtId="0" fontId="18" fillId="14" borderId="2" xfId="0" applyFont="1" applyFill="1" applyBorder="1" applyAlignment="1">
      <alignment horizontal="center"/>
    </xf>
    <xf numFmtId="0" fontId="18" fillId="14" borderId="13" xfId="0" applyFont="1" applyFill="1" applyBorder="1" applyAlignment="1">
      <alignment horizontal="center"/>
    </xf>
    <xf numFmtId="0" fontId="18" fillId="0" borderId="6" xfId="0" applyFont="1" applyBorder="1" applyAlignment="1">
      <alignment horizontal="center"/>
    </xf>
    <xf numFmtId="0" fontId="18" fillId="0" borderId="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10" fontId="18" fillId="14" borderId="3" xfId="0" applyNumberFormat="1" applyFont="1" applyFill="1" applyBorder="1" applyAlignment="1">
      <alignment horizontal="right"/>
    </xf>
    <xf numFmtId="10" fontId="18" fillId="14" borderId="16" xfId="0" applyNumberFormat="1" applyFont="1" applyFill="1" applyBorder="1" applyAlignment="1">
      <alignment horizontal="right"/>
    </xf>
    <xf numFmtId="10" fontId="18" fillId="0" borderId="0" xfId="0" applyNumberFormat="1" applyFont="1" applyBorder="1" applyAlignment="1">
      <alignment horizontal="right"/>
    </xf>
    <xf numFmtId="170" fontId="18" fillId="0" borderId="3" xfId="0" applyNumberFormat="1" applyFont="1" applyBorder="1"/>
    <xf numFmtId="170" fontId="18" fillId="0" borderId="0" xfId="0" applyNumberFormat="1" applyFont="1" applyBorder="1"/>
    <xf numFmtId="170" fontId="18" fillId="14" borderId="3" xfId="0" applyNumberFormat="1" applyFont="1" applyFill="1" applyBorder="1"/>
    <xf numFmtId="170" fontId="18" fillId="14" borderId="16" xfId="0" applyNumberFormat="1" applyFont="1" applyFill="1" applyBorder="1"/>
    <xf numFmtId="170" fontId="18" fillId="0" borderId="16" xfId="0" applyNumberFormat="1" applyFont="1" applyBorder="1"/>
    <xf numFmtId="0" fontId="3" fillId="0" borderId="3" xfId="0" applyFont="1" applyBorder="1" applyAlignment="1">
      <alignment horizontal="left"/>
    </xf>
    <xf numFmtId="0" fontId="18" fillId="14" borderId="3" xfId="0" applyFont="1" applyFill="1" applyBorder="1" applyAlignment="1">
      <alignment horizontal="right"/>
    </xf>
    <xf numFmtId="0" fontId="18" fillId="14" borderId="16" xfId="0" applyFont="1" applyFill="1" applyBorder="1" applyAlignment="1">
      <alignment horizontal="right"/>
    </xf>
    <xf numFmtId="0" fontId="18" fillId="0" borderId="0" xfId="0" applyFont="1" applyBorder="1" applyAlignment="1">
      <alignment horizontal="right"/>
    </xf>
    <xf numFmtId="10" fontId="18" fillId="14" borderId="1" xfId="0" applyNumberFormat="1" applyFont="1" applyFill="1" applyBorder="1" applyAlignment="1">
      <alignment horizontal="right"/>
    </xf>
    <xf numFmtId="10" fontId="18" fillId="14" borderId="15" xfId="0" applyNumberFormat="1" applyFont="1" applyFill="1" applyBorder="1" applyAlignment="1">
      <alignment horizontal="right"/>
    </xf>
    <xf numFmtId="10" fontId="18" fillId="0" borderId="5" xfId="0" applyNumberFormat="1" applyFont="1" applyBorder="1" applyAlignment="1">
      <alignment horizontal="right"/>
    </xf>
    <xf numFmtId="170" fontId="18" fillId="0" borderId="1" xfId="0" applyNumberFormat="1" applyFont="1" applyBorder="1"/>
    <xf numFmtId="170" fontId="18" fillId="0" borderId="5" xfId="0" applyNumberFormat="1" applyFont="1" applyBorder="1"/>
    <xf numFmtId="170" fontId="18" fillId="14" borderId="1" xfId="0" applyNumberFormat="1" applyFont="1" applyFill="1" applyBorder="1"/>
    <xf numFmtId="170" fontId="18" fillId="14" borderId="15" xfId="0" applyNumberFormat="1" applyFont="1" applyFill="1" applyBorder="1"/>
    <xf numFmtId="170" fontId="18" fillId="0" borderId="15" xfId="0" applyNumberFormat="1" applyFont="1" applyBorder="1"/>
    <xf numFmtId="3" fontId="18" fillId="14" borderId="2" xfId="0" applyNumberFormat="1" applyFont="1" applyFill="1" applyBorder="1" applyAlignment="1">
      <alignment horizontal="right"/>
    </xf>
    <xf numFmtId="3" fontId="18" fillId="14" borderId="13" xfId="0" applyNumberFormat="1" applyFont="1" applyFill="1" applyBorder="1" applyAlignment="1">
      <alignment horizontal="right"/>
    </xf>
    <xf numFmtId="3" fontId="18" fillId="0" borderId="6" xfId="0" applyNumberFormat="1" applyFont="1" applyBorder="1" applyAlignment="1">
      <alignment horizontal="right"/>
    </xf>
    <xf numFmtId="3" fontId="18" fillId="0" borderId="2" xfId="0" applyNumberFormat="1" applyFont="1" applyBorder="1"/>
    <xf numFmtId="3" fontId="18" fillId="0" borderId="6" xfId="0" applyNumberFormat="1" applyFont="1" applyBorder="1"/>
    <xf numFmtId="3" fontId="18" fillId="14" borderId="2" xfId="0" applyNumberFormat="1" applyFont="1" applyFill="1" applyBorder="1"/>
    <xf numFmtId="3" fontId="18" fillId="14" borderId="13" xfId="0" applyNumberFormat="1" applyFont="1" applyFill="1" applyBorder="1"/>
    <xf numFmtId="3" fontId="18" fillId="0" borderId="13" xfId="0" applyNumberFormat="1" applyFont="1" applyBorder="1"/>
    <xf numFmtId="0" fontId="18" fillId="0" borderId="7" xfId="0" applyFont="1" applyBorder="1"/>
    <xf numFmtId="0" fontId="18" fillId="14" borderId="7" xfId="0" applyFont="1" applyFill="1" applyBorder="1"/>
    <xf numFmtId="0" fontId="18" fillId="14" borderId="14" xfId="0" applyFont="1" applyFill="1" applyBorder="1"/>
    <xf numFmtId="6" fontId="18" fillId="0" borderId="7" xfId="0" applyNumberFormat="1" applyFont="1" applyBorder="1"/>
    <xf numFmtId="0" fontId="18" fillId="0" borderId="14" xfId="0" applyFont="1" applyBorder="1"/>
    <xf numFmtId="6" fontId="18" fillId="14" borderId="4" xfId="0" applyNumberFormat="1" applyFont="1" applyFill="1" applyBorder="1"/>
    <xf numFmtId="6" fontId="18" fillId="0" borderId="2" xfId="0" applyNumberFormat="1" applyFont="1" applyBorder="1"/>
    <xf numFmtId="0" fontId="18" fillId="0" borderId="6" xfId="0" applyFont="1" applyBorder="1"/>
    <xf numFmtId="6" fontId="18" fillId="14" borderId="2" xfId="0" applyNumberFormat="1" applyFont="1" applyFill="1" applyBorder="1"/>
    <xf numFmtId="0" fontId="18" fillId="14" borderId="13" xfId="0" applyFont="1" applyFill="1" applyBorder="1"/>
    <xf numFmtId="0" fontId="18" fillId="0" borderId="13" xfId="0" applyFont="1" applyBorder="1"/>
    <xf numFmtId="15" fontId="13" fillId="0" borderId="0" xfId="0" applyNumberFormat="1" applyFont="1"/>
    <xf numFmtId="6" fontId="13" fillId="0" borderId="0" xfId="0" applyNumberFormat="1" applyFont="1"/>
    <xf numFmtId="9" fontId="13" fillId="0" borderId="0" xfId="2" applyNumberFormat="1" applyFont="1"/>
    <xf numFmtId="0" fontId="21" fillId="0" borderId="0" xfId="0" applyFont="1"/>
    <xf numFmtId="0" fontId="22" fillId="0" borderId="0" xfId="0" applyFont="1"/>
    <xf numFmtId="0" fontId="22" fillId="4" borderId="10" xfId="0" applyFont="1" applyFill="1" applyBorder="1"/>
    <xf numFmtId="0" fontId="22" fillId="4" borderId="10" xfId="0" applyFont="1" applyFill="1" applyBorder="1" applyAlignment="1">
      <alignment horizontal="center"/>
    </xf>
    <xf numFmtId="0" fontId="21" fillId="0" borderId="10" xfId="0" applyFont="1" applyBorder="1" applyAlignment="1">
      <alignment horizontal="left" wrapText="1"/>
    </xf>
    <xf numFmtId="0" fontId="21" fillId="0" borderId="10" xfId="0" applyFont="1" applyBorder="1"/>
    <xf numFmtId="3" fontId="21" fillId="0" borderId="10" xfId="0" applyNumberFormat="1" applyFont="1" applyBorder="1"/>
    <xf numFmtId="164" fontId="21" fillId="0" borderId="10" xfId="0" applyNumberFormat="1" applyFont="1" applyBorder="1"/>
    <xf numFmtId="14" fontId="21" fillId="0" borderId="10" xfId="0" applyNumberFormat="1" applyFont="1" applyBorder="1"/>
    <xf numFmtId="164" fontId="21" fillId="0" borderId="0" xfId="0" applyNumberFormat="1" applyFont="1"/>
    <xf numFmtId="0" fontId="10" fillId="0" borderId="0" xfId="0" applyFont="1" applyAlignment="1">
      <alignment horizontal="center"/>
    </xf>
    <xf numFmtId="0" fontId="10" fillId="0" borderId="0" xfId="0" applyFont="1"/>
    <xf numFmtId="0" fontId="10" fillId="0" borderId="10" xfId="0" quotePrefix="1" applyFont="1" applyBorder="1" applyAlignment="1">
      <alignment horizontal="center"/>
    </xf>
    <xf numFmtId="173" fontId="10" fillId="6" borderId="10" xfId="0" applyNumberFormat="1" applyFont="1" applyFill="1" applyBorder="1" applyAlignment="1">
      <alignment horizontal="center"/>
    </xf>
    <xf numFmtId="0" fontId="10" fillId="0" borderId="10" xfId="0" applyFont="1" applyBorder="1" applyAlignment="1">
      <alignment horizontal="center"/>
    </xf>
    <xf numFmtId="3" fontId="10" fillId="0" borderId="10" xfId="0" applyNumberFormat="1" applyFont="1" applyBorder="1" applyAlignment="1">
      <alignment horizontal="center"/>
    </xf>
    <xf numFmtId="8" fontId="10" fillId="0" borderId="10" xfId="0" applyNumberFormat="1" applyFont="1" applyBorder="1" applyAlignment="1">
      <alignment horizontal="center"/>
    </xf>
    <xf numFmtId="0" fontId="10" fillId="0" borderId="10" xfId="0" applyFont="1" applyBorder="1"/>
    <xf numFmtId="173" fontId="10" fillId="0" borderId="10" xfId="0" applyNumberFormat="1" applyFont="1" applyBorder="1" applyAlignment="1">
      <alignment horizontal="center"/>
    </xf>
    <xf numFmtId="49" fontId="10" fillId="0" borderId="10" xfId="0" applyNumberFormat="1" applyFont="1" applyBorder="1" applyAlignment="1">
      <alignment horizontal="center"/>
    </xf>
    <xf numFmtId="0" fontId="10" fillId="0" borderId="1" xfId="0" applyFont="1" applyBorder="1"/>
    <xf numFmtId="0" fontId="10" fillId="0" borderId="5" xfId="0" applyFont="1" applyBorder="1"/>
    <xf numFmtId="3" fontId="10" fillId="0" borderId="15" xfId="0" applyNumberFormat="1" applyFont="1" applyBorder="1"/>
    <xf numFmtId="3" fontId="10" fillId="0" borderId="0" xfId="0" applyNumberFormat="1" applyFont="1"/>
    <xf numFmtId="0" fontId="10" fillId="0" borderId="7" xfId="0" applyFont="1" applyBorder="1"/>
    <xf numFmtId="0" fontId="10" fillId="0" borderId="4" xfId="0" applyFont="1" applyBorder="1"/>
    <xf numFmtId="3" fontId="10" fillId="0" borderId="14" xfId="0" applyNumberFormat="1" applyFont="1" applyBorder="1"/>
    <xf numFmtId="3" fontId="10" fillId="0" borderId="10" xfId="0" applyNumberFormat="1" applyFont="1" applyBorder="1"/>
    <xf numFmtId="9" fontId="10" fillId="0" borderId="14" xfId="2" applyFont="1" applyBorder="1"/>
    <xf numFmtId="0" fontId="23" fillId="5" borderId="10" xfId="0" applyFont="1" applyFill="1" applyBorder="1" applyAlignment="1">
      <alignment horizontal="center" vertical="center" wrapText="1"/>
    </xf>
    <xf numFmtId="0" fontId="23" fillId="5" borderId="10" xfId="0" applyFont="1" applyFill="1" applyBorder="1" applyAlignment="1">
      <alignment vertical="center" wrapText="1"/>
    </xf>
    <xf numFmtId="0" fontId="10" fillId="0" borderId="0" xfId="0" applyFont="1" applyFill="1"/>
    <xf numFmtId="0" fontId="10" fillId="0" borderId="0" xfId="0" applyFont="1" applyFill="1" applyAlignment="1">
      <alignment horizontal="center"/>
    </xf>
    <xf numFmtId="0" fontId="23" fillId="0" borderId="0" xfId="0" applyFont="1" applyFill="1"/>
    <xf numFmtId="0" fontId="23" fillId="0" borderId="0" xfId="0" applyFont="1" applyFill="1" applyAlignment="1">
      <alignment horizontal="center"/>
    </xf>
    <xf numFmtId="0" fontId="23" fillId="0" borderId="0" xfId="0" applyFont="1"/>
    <xf numFmtId="0" fontId="23" fillId="4" borderId="10" xfId="0" applyFont="1" applyFill="1" applyBorder="1" applyAlignment="1">
      <alignment horizontal="center" wrapText="1"/>
    </xf>
    <xf numFmtId="17" fontId="23" fillId="4" borderId="10" xfId="0" applyNumberFormat="1" applyFont="1" applyFill="1" applyBorder="1" applyAlignment="1">
      <alignment horizontal="center" vertical="center"/>
    </xf>
    <xf numFmtId="49" fontId="10" fillId="0" borderId="10" xfId="0" applyNumberFormat="1" applyFont="1" applyFill="1" applyBorder="1"/>
    <xf numFmtId="1" fontId="10" fillId="0" borderId="10" xfId="0" applyNumberFormat="1" applyFont="1" applyFill="1" applyBorder="1" applyAlignment="1">
      <alignment horizontal="center"/>
    </xf>
    <xf numFmtId="3" fontId="10" fillId="0" borderId="10" xfId="0" applyNumberFormat="1" applyFont="1" applyFill="1" applyBorder="1"/>
    <xf numFmtId="0" fontId="10" fillId="0" borderId="10" xfId="0" applyFont="1" applyFill="1" applyBorder="1" applyAlignment="1">
      <alignment horizontal="left"/>
    </xf>
    <xf numFmtId="1" fontId="10" fillId="0" borderId="10" xfId="0" quotePrefix="1" applyNumberFormat="1" applyFont="1" applyFill="1" applyBorder="1" applyAlignment="1">
      <alignment horizontal="center"/>
    </xf>
    <xf numFmtId="41" fontId="10" fillId="0" borderId="11" xfId="0" applyNumberFormat="1" applyFont="1" applyFill="1" applyBorder="1" applyAlignment="1">
      <alignment horizontal="left"/>
    </xf>
    <xf numFmtId="49" fontId="10" fillId="0" borderId="11" xfId="0" applyNumberFormat="1" applyFont="1" applyFill="1" applyBorder="1"/>
    <xf numFmtId="0" fontId="10" fillId="0" borderId="10" xfId="0" quotePrefix="1" applyFont="1" applyFill="1" applyBorder="1" applyAlignment="1">
      <alignment horizontal="center"/>
    </xf>
    <xf numFmtId="49" fontId="10" fillId="0" borderId="10" xfId="0" applyNumberFormat="1" applyFont="1" applyFill="1" applyBorder="1" applyAlignment="1">
      <alignment horizontal="center"/>
    </xf>
    <xf numFmtId="3" fontId="10" fillId="0" borderId="8" xfId="0" applyNumberFormat="1" applyFont="1" applyFill="1" applyBorder="1"/>
    <xf numFmtId="49" fontId="10" fillId="0" borderId="8" xfId="0" applyNumberFormat="1" applyFont="1" applyFill="1" applyBorder="1"/>
    <xf numFmtId="49" fontId="10" fillId="0" borderId="8" xfId="0" applyNumberFormat="1" applyFont="1" applyFill="1" applyBorder="1" applyAlignment="1">
      <alignment horizontal="center"/>
    </xf>
    <xf numFmtId="49" fontId="10" fillId="0" borderId="8" xfId="0" applyNumberFormat="1" applyFont="1" applyBorder="1"/>
    <xf numFmtId="49" fontId="10" fillId="0" borderId="8" xfId="0" applyNumberFormat="1" applyFont="1" applyBorder="1" applyAlignment="1">
      <alignment horizontal="center"/>
    </xf>
    <xf numFmtId="3" fontId="10" fillId="0" borderId="8" xfId="0" applyNumberFormat="1" applyFont="1" applyBorder="1"/>
    <xf numFmtId="0" fontId="23" fillId="0" borderId="12" xfId="0" applyFont="1" applyBorder="1"/>
    <xf numFmtId="0" fontId="23" fillId="0" borderId="12" xfId="0" applyFont="1" applyBorder="1" applyAlignment="1">
      <alignment horizontal="center"/>
    </xf>
    <xf numFmtId="3" fontId="23" fillId="0" borderId="12" xfId="0" applyNumberFormat="1" applyFont="1" applyBorder="1"/>
    <xf numFmtId="9" fontId="10" fillId="0" borderId="0" xfId="2" applyFont="1"/>
    <xf numFmtId="0" fontId="23" fillId="4" borderId="10" xfId="0" applyFont="1" applyFill="1" applyBorder="1" applyAlignment="1">
      <alignment horizontal="center"/>
    </xf>
    <xf numFmtId="0" fontId="10" fillId="12" borderId="1" xfId="0" applyFont="1" applyFill="1" applyBorder="1" applyAlignment="1">
      <alignment horizontal="center" vertical="center"/>
    </xf>
    <xf numFmtId="0" fontId="10" fillId="12" borderId="5" xfId="0" applyFont="1" applyFill="1" applyBorder="1" applyAlignment="1">
      <alignment horizontal="center" vertical="center"/>
    </xf>
    <xf numFmtId="0" fontId="10" fillId="12" borderId="15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/>
    </xf>
    <xf numFmtId="3" fontId="10" fillId="0" borderId="5" xfId="0" applyNumberFormat="1" applyFont="1" applyFill="1" applyBorder="1" applyAlignment="1">
      <alignment horizontal="center"/>
    </xf>
    <xf numFmtId="164" fontId="10" fillId="0" borderId="5" xfId="0" applyNumberFormat="1" applyFont="1" applyFill="1" applyBorder="1" applyAlignment="1">
      <alignment horizontal="center"/>
    </xf>
    <xf numFmtId="168" fontId="10" fillId="0" borderId="5" xfId="0" applyNumberFormat="1" applyFont="1" applyFill="1" applyBorder="1"/>
    <xf numFmtId="3" fontId="10" fillId="0" borderId="5" xfId="0" applyNumberFormat="1" applyFont="1" applyFill="1" applyBorder="1"/>
    <xf numFmtId="10" fontId="10" fillId="0" borderId="15" xfId="2" applyNumberFormat="1" applyFont="1" applyBorder="1"/>
    <xf numFmtId="9" fontId="10" fillId="0" borderId="5" xfId="2" applyFont="1" applyFill="1" applyBorder="1" applyAlignment="1">
      <alignment horizontal="center"/>
    </xf>
    <xf numFmtId="168" fontId="10" fillId="0" borderId="15" xfId="0" applyNumberFormat="1" applyFont="1" applyFill="1" applyBorder="1" applyAlignment="1">
      <alignment horizontal="center"/>
    </xf>
    <xf numFmtId="0" fontId="10" fillId="0" borderId="15" xfId="0" applyFont="1" applyFill="1" applyBorder="1" applyAlignment="1">
      <alignment horizontal="center"/>
    </xf>
    <xf numFmtId="3" fontId="10" fillId="0" borderId="1" xfId="0" applyNumberFormat="1" applyFont="1" applyFill="1" applyBorder="1"/>
    <xf numFmtId="168" fontId="10" fillId="0" borderId="15" xfId="0" applyNumberFormat="1" applyFont="1" applyFill="1" applyBorder="1"/>
    <xf numFmtId="171" fontId="10" fillId="0" borderId="8" xfId="2" applyNumberFormat="1" applyFont="1" applyFill="1" applyBorder="1"/>
    <xf numFmtId="10" fontId="10" fillId="0" borderId="5" xfId="2" applyNumberFormat="1" applyFont="1" applyFill="1" applyBorder="1"/>
    <xf numFmtId="10" fontId="10" fillId="0" borderId="15" xfId="2" applyNumberFormat="1" applyFont="1" applyFill="1" applyBorder="1"/>
    <xf numFmtId="0" fontId="10" fillId="0" borderId="0" xfId="0" applyFont="1" applyFill="1" applyBorder="1" applyAlignment="1">
      <alignment horizontal="center"/>
    </xf>
    <xf numFmtId="3" fontId="10" fillId="0" borderId="0" xfId="0" applyNumberFormat="1" applyFont="1" applyFill="1" applyBorder="1" applyAlignment="1">
      <alignment horizontal="center"/>
    </xf>
    <xf numFmtId="164" fontId="10" fillId="0" borderId="0" xfId="0" applyNumberFormat="1" applyFont="1" applyFill="1" applyBorder="1" applyAlignment="1">
      <alignment horizontal="center"/>
    </xf>
    <xf numFmtId="168" fontId="10" fillId="0" borderId="0" xfId="0" applyNumberFormat="1" applyFont="1" applyFill="1" applyBorder="1"/>
    <xf numFmtId="3" fontId="10" fillId="0" borderId="0" xfId="0" applyNumberFormat="1" applyFont="1" applyFill="1" applyBorder="1"/>
    <xf numFmtId="10" fontId="10" fillId="0" borderId="16" xfId="2" applyNumberFormat="1" applyFont="1" applyBorder="1"/>
    <xf numFmtId="9" fontId="10" fillId="0" borderId="0" xfId="2" applyFont="1" applyFill="1" applyBorder="1" applyAlignment="1">
      <alignment horizontal="center"/>
    </xf>
    <xf numFmtId="168" fontId="10" fillId="0" borderId="16" xfId="0" applyNumberFormat="1" applyFont="1" applyFill="1" applyBorder="1" applyAlignment="1">
      <alignment horizontal="center"/>
    </xf>
    <xf numFmtId="0" fontId="10" fillId="0" borderId="16" xfId="0" applyFont="1" applyFill="1" applyBorder="1" applyAlignment="1">
      <alignment horizontal="center"/>
    </xf>
    <xf numFmtId="3" fontId="10" fillId="0" borderId="3" xfId="0" applyNumberFormat="1" applyFont="1" applyFill="1" applyBorder="1"/>
    <xf numFmtId="168" fontId="10" fillId="0" borderId="16" xfId="0" applyNumberFormat="1" applyFont="1" applyFill="1" applyBorder="1"/>
    <xf numFmtId="171" fontId="10" fillId="0" borderId="9" xfId="2" applyNumberFormat="1" applyFont="1" applyFill="1" applyBorder="1"/>
    <xf numFmtId="10" fontId="10" fillId="0" borderId="0" xfId="2" applyNumberFormat="1" applyFont="1" applyFill="1" applyBorder="1"/>
    <xf numFmtId="10" fontId="10" fillId="0" borderId="16" xfId="2" applyNumberFormat="1" applyFont="1" applyFill="1" applyBorder="1"/>
    <xf numFmtId="164" fontId="10" fillId="0" borderId="16" xfId="0" applyNumberFormat="1" applyFont="1" applyFill="1" applyBorder="1" applyAlignment="1">
      <alignment horizontal="center"/>
    </xf>
    <xf numFmtId="0" fontId="10" fillId="0" borderId="6" xfId="0" applyFont="1" applyFill="1" applyBorder="1" applyAlignment="1">
      <alignment horizontal="center"/>
    </xf>
    <xf numFmtId="3" fontId="10" fillId="0" borderId="6" xfId="0" applyNumberFormat="1" applyFont="1" applyFill="1" applyBorder="1" applyAlignment="1">
      <alignment horizontal="center"/>
    </xf>
    <xf numFmtId="164" fontId="10" fillId="0" borderId="6" xfId="0" applyNumberFormat="1" applyFont="1" applyFill="1" applyBorder="1" applyAlignment="1">
      <alignment horizontal="center"/>
    </xf>
    <xf numFmtId="168" fontId="10" fillId="0" borderId="6" xfId="0" applyNumberFormat="1" applyFont="1" applyFill="1" applyBorder="1"/>
    <xf numFmtId="3" fontId="10" fillId="0" borderId="6" xfId="0" applyNumberFormat="1" applyFont="1" applyFill="1" applyBorder="1"/>
    <xf numFmtId="10" fontId="10" fillId="0" borderId="13" xfId="2" applyNumberFormat="1" applyFont="1" applyBorder="1"/>
    <xf numFmtId="9" fontId="10" fillId="0" borderId="6" xfId="2" applyFont="1" applyFill="1" applyBorder="1" applyAlignment="1">
      <alignment horizontal="center"/>
    </xf>
    <xf numFmtId="168" fontId="10" fillId="0" borderId="13" xfId="0" applyNumberFormat="1" applyFont="1" applyFill="1" applyBorder="1" applyAlignment="1">
      <alignment horizontal="center"/>
    </xf>
    <xf numFmtId="164" fontId="10" fillId="0" borderId="13" xfId="0" applyNumberFormat="1" applyFont="1" applyFill="1" applyBorder="1" applyAlignment="1">
      <alignment horizontal="center"/>
    </xf>
    <xf numFmtId="3" fontId="10" fillId="0" borderId="2" xfId="0" applyNumberFormat="1" applyFont="1" applyFill="1" applyBorder="1"/>
    <xf numFmtId="168" fontId="10" fillId="0" borderId="13" xfId="0" applyNumberFormat="1" applyFont="1" applyFill="1" applyBorder="1"/>
    <xf numFmtId="171" fontId="10" fillId="0" borderId="11" xfId="2" applyNumberFormat="1" applyFont="1" applyFill="1" applyBorder="1"/>
    <xf numFmtId="10" fontId="10" fillId="0" borderId="6" xfId="2" applyNumberFormat="1" applyFont="1" applyFill="1" applyBorder="1"/>
    <xf numFmtId="10" fontId="10" fillId="0" borderId="13" xfId="2" applyNumberFormat="1" applyFont="1" applyFill="1" applyBorder="1"/>
    <xf numFmtId="164" fontId="10" fillId="0" borderId="15" xfId="0" applyNumberFormat="1" applyFont="1" applyFill="1" applyBorder="1" applyAlignment="1">
      <alignment horizontal="center"/>
    </xf>
    <xf numFmtId="171" fontId="10" fillId="0" borderId="16" xfId="2" applyNumberFormat="1" applyFont="1" applyFill="1" applyBorder="1"/>
    <xf numFmtId="171" fontId="10" fillId="0" borderId="15" xfId="2" applyNumberFormat="1" applyFont="1" applyFill="1" applyBorder="1"/>
    <xf numFmtId="171" fontId="10" fillId="0" borderId="13" xfId="2" applyNumberFormat="1" applyFont="1" applyFill="1" applyBorder="1"/>
    <xf numFmtId="0" fontId="10" fillId="0" borderId="5" xfId="0" applyFont="1" applyBorder="1" applyAlignment="1">
      <alignment horizontal="center"/>
    </xf>
    <xf numFmtId="164" fontId="10" fillId="0" borderId="5" xfId="0" applyNumberFormat="1" applyFont="1" applyBorder="1" applyAlignment="1">
      <alignment horizontal="center"/>
    </xf>
    <xf numFmtId="168" fontId="10" fillId="0" borderId="5" xfId="0" applyNumberFormat="1" applyFont="1" applyBorder="1"/>
    <xf numFmtId="9" fontId="10" fillId="0" borderId="5" xfId="2" applyFont="1" applyBorder="1" applyAlignment="1">
      <alignment horizontal="center"/>
    </xf>
    <xf numFmtId="3" fontId="10" fillId="0" borderId="5" xfId="0" applyNumberFormat="1" applyFont="1" applyBorder="1" applyAlignment="1">
      <alignment horizontal="center"/>
    </xf>
    <xf numFmtId="168" fontId="10" fillId="0" borderId="15" xfId="0" applyNumberFormat="1" applyFont="1" applyBorder="1" applyAlignment="1">
      <alignment horizontal="center"/>
    </xf>
    <xf numFmtId="164" fontId="10" fillId="0" borderId="15" xfId="0" applyNumberFormat="1" applyFont="1" applyBorder="1" applyAlignment="1">
      <alignment horizontal="center"/>
    </xf>
    <xf numFmtId="3" fontId="10" fillId="0" borderId="1" xfId="0" applyNumberFormat="1" applyFont="1" applyBorder="1"/>
    <xf numFmtId="168" fontId="10" fillId="0" borderId="15" xfId="0" applyNumberFormat="1" applyFont="1" applyBorder="1"/>
    <xf numFmtId="171" fontId="10" fillId="0" borderId="16" xfId="2" applyNumberFormat="1" applyFont="1" applyBorder="1"/>
    <xf numFmtId="10" fontId="10" fillId="0" borderId="0" xfId="2" applyNumberFormat="1" applyFont="1" applyBorder="1"/>
    <xf numFmtId="0" fontId="10" fillId="0" borderId="0" xfId="0" applyFont="1" applyBorder="1" applyAlignment="1">
      <alignment horizontal="center"/>
    </xf>
    <xf numFmtId="164" fontId="10" fillId="0" borderId="0" xfId="0" applyNumberFormat="1" applyFont="1" applyBorder="1" applyAlignment="1">
      <alignment horizontal="center"/>
    </xf>
    <xf numFmtId="168" fontId="10" fillId="0" borderId="0" xfId="0" applyNumberFormat="1" applyFont="1" applyBorder="1"/>
    <xf numFmtId="9" fontId="10" fillId="0" borderId="0" xfId="2" applyFont="1" applyBorder="1" applyAlignment="1">
      <alignment horizontal="center"/>
    </xf>
    <xf numFmtId="3" fontId="10" fillId="0" borderId="0" xfId="0" applyNumberFormat="1" applyFont="1" applyBorder="1" applyAlignment="1">
      <alignment horizontal="center"/>
    </xf>
    <xf numFmtId="168" fontId="10" fillId="0" borderId="16" xfId="0" applyNumberFormat="1" applyFont="1" applyBorder="1" applyAlignment="1">
      <alignment horizontal="center"/>
    </xf>
    <xf numFmtId="164" fontId="10" fillId="0" borderId="16" xfId="0" applyNumberFormat="1" applyFont="1" applyBorder="1" applyAlignment="1">
      <alignment horizontal="center"/>
    </xf>
    <xf numFmtId="3" fontId="10" fillId="0" borderId="3" xfId="0" applyNumberFormat="1" applyFont="1" applyBorder="1"/>
    <xf numFmtId="168" fontId="10" fillId="0" borderId="16" xfId="0" applyNumberFormat="1" applyFont="1" applyBorder="1"/>
    <xf numFmtId="9" fontId="10" fillId="0" borderId="6" xfId="2" applyFont="1" applyBorder="1" applyAlignment="1">
      <alignment horizontal="center"/>
    </xf>
    <xf numFmtId="3" fontId="10" fillId="0" borderId="6" xfId="0" applyNumberFormat="1" applyFont="1" applyBorder="1" applyAlignment="1">
      <alignment horizontal="center"/>
    </xf>
    <xf numFmtId="164" fontId="10" fillId="0" borderId="6" xfId="0" applyNumberFormat="1" applyFont="1" applyBorder="1" applyAlignment="1">
      <alignment horizontal="center"/>
    </xf>
    <xf numFmtId="168" fontId="10" fillId="0" borderId="13" xfId="0" applyNumberFormat="1" applyFont="1" applyBorder="1" applyAlignment="1">
      <alignment horizontal="center"/>
    </xf>
    <xf numFmtId="164" fontId="10" fillId="0" borderId="13" xfId="0" applyNumberFormat="1" applyFont="1" applyBorder="1" applyAlignment="1">
      <alignment horizontal="center"/>
    </xf>
    <xf numFmtId="3" fontId="10" fillId="0" borderId="2" xfId="0" applyNumberFormat="1" applyFont="1" applyBorder="1"/>
    <xf numFmtId="168" fontId="10" fillId="0" borderId="13" xfId="0" applyNumberFormat="1" applyFont="1" applyBorder="1"/>
    <xf numFmtId="171" fontId="10" fillId="0" borderId="15" xfId="2" applyNumberFormat="1" applyFont="1" applyBorder="1"/>
    <xf numFmtId="10" fontId="10" fillId="0" borderId="5" xfId="2" applyNumberFormat="1" applyFont="1" applyBorder="1"/>
    <xf numFmtId="171" fontId="10" fillId="0" borderId="13" xfId="2" applyNumberFormat="1" applyFont="1" applyBorder="1"/>
    <xf numFmtId="10" fontId="10" fillId="0" borderId="6" xfId="2" applyNumberFormat="1" applyFont="1" applyBorder="1"/>
    <xf numFmtId="0" fontId="10" fillId="0" borderId="3" xfId="0" applyFont="1" applyBorder="1"/>
    <xf numFmtId="9" fontId="10" fillId="0" borderId="3" xfId="2" applyFont="1" applyFill="1" applyBorder="1" applyAlignment="1">
      <alignment horizontal="center"/>
    </xf>
    <xf numFmtId="168" fontId="10" fillId="0" borderId="0" xfId="0" applyNumberFormat="1" applyFont="1" applyFill="1" applyBorder="1" applyAlignment="1">
      <alignment horizontal="center"/>
    </xf>
    <xf numFmtId="0" fontId="10" fillId="0" borderId="16" xfId="0" applyFont="1" applyBorder="1"/>
    <xf numFmtId="164" fontId="10" fillId="0" borderId="18" xfId="0" applyNumberFormat="1" applyFont="1" applyBorder="1" applyAlignment="1">
      <alignment horizontal="center"/>
    </xf>
    <xf numFmtId="0" fontId="10" fillId="0" borderId="19" xfId="0" applyFont="1" applyBorder="1"/>
    <xf numFmtId="0" fontId="23" fillId="0" borderId="20" xfId="0" applyFont="1" applyBorder="1"/>
    <xf numFmtId="3" fontId="23" fillId="0" borderId="20" xfId="0" applyNumberFormat="1" applyFont="1" applyBorder="1"/>
    <xf numFmtId="168" fontId="23" fillId="0" borderId="21" xfId="0" applyNumberFormat="1" applyFont="1" applyBorder="1"/>
    <xf numFmtId="168" fontId="23" fillId="0" borderId="6" xfId="0" applyNumberFormat="1" applyFont="1" applyBorder="1"/>
    <xf numFmtId="0" fontId="23" fillId="0" borderId="7" xfId="0" applyFont="1" applyBorder="1"/>
    <xf numFmtId="3" fontId="23" fillId="0" borderId="4" xfId="0" applyNumberFormat="1" applyFont="1" applyBorder="1"/>
    <xf numFmtId="0" fontId="23" fillId="0" borderId="4" xfId="0" applyFont="1" applyBorder="1"/>
    <xf numFmtId="168" fontId="23" fillId="0" borderId="14" xfId="0" applyNumberFormat="1" applyFont="1" applyBorder="1"/>
    <xf numFmtId="0" fontId="23" fillId="0" borderId="21" xfId="0" applyFont="1" applyBorder="1"/>
    <xf numFmtId="3" fontId="23" fillId="0" borderId="19" xfId="0" applyNumberFormat="1" applyFont="1" applyBorder="1"/>
    <xf numFmtId="0" fontId="10" fillId="0" borderId="21" xfId="0" applyFont="1" applyBorder="1"/>
    <xf numFmtId="0" fontId="10" fillId="0" borderId="20" xfId="0" applyFont="1" applyBorder="1"/>
    <xf numFmtId="0" fontId="23" fillId="12" borderId="3" xfId="0" applyFont="1" applyFill="1" applyBorder="1" applyAlignment="1">
      <alignment horizontal="center" wrapText="1"/>
    </xf>
    <xf numFmtId="0" fontId="23" fillId="12" borderId="0" xfId="0" applyFont="1" applyFill="1" applyBorder="1" applyAlignment="1">
      <alignment horizontal="center" wrapText="1"/>
    </xf>
    <xf numFmtId="0" fontId="23" fillId="12" borderId="16" xfId="0" applyFont="1" applyFill="1" applyBorder="1" applyAlignment="1">
      <alignment horizontal="center" wrapText="1"/>
    </xf>
    <xf numFmtId="0" fontId="23" fillId="12" borderId="6" xfId="0" applyFont="1" applyFill="1" applyBorder="1" applyAlignment="1">
      <alignment horizontal="center" wrapText="1"/>
    </xf>
    <xf numFmtId="0" fontId="23" fillId="12" borderId="13" xfId="0" applyFont="1" applyFill="1" applyBorder="1" applyAlignment="1">
      <alignment horizontal="center" wrapText="1"/>
    </xf>
    <xf numFmtId="0" fontId="15" fillId="15" borderId="0" xfId="0" applyFont="1" applyFill="1" applyBorder="1"/>
    <xf numFmtId="165" fontId="15" fillId="15" borderId="0" xfId="0" applyNumberFormat="1" applyFont="1" applyFill="1"/>
    <xf numFmtId="164" fontId="15" fillId="15" borderId="0" xfId="0" applyNumberFormat="1" applyFont="1" applyFill="1"/>
    <xf numFmtId="170" fontId="4" fillId="0" borderId="6" xfId="2" applyNumberFormat="1" applyFont="1" applyFill="1" applyBorder="1"/>
    <xf numFmtId="170" fontId="4" fillId="0" borderId="6" xfId="2" applyNumberFormat="1" applyFont="1" applyBorder="1"/>
    <xf numFmtId="164" fontId="3" fillId="0" borderId="10" xfId="0" applyNumberFormat="1" applyFont="1" applyBorder="1"/>
    <xf numFmtId="173" fontId="24" fillId="6" borderId="10" xfId="0" applyNumberFormat="1" applyFont="1" applyFill="1" applyBorder="1" applyAlignment="1">
      <alignment horizontal="center"/>
    </xf>
    <xf numFmtId="0" fontId="24" fillId="0" borderId="10" xfId="0" applyFont="1" applyBorder="1" applyAlignment="1">
      <alignment horizontal="center"/>
    </xf>
    <xf numFmtId="3" fontId="24" fillId="0" borderId="10" xfId="0" applyNumberFormat="1" applyFont="1" applyBorder="1" applyAlignment="1">
      <alignment horizontal="center"/>
    </xf>
    <xf numFmtId="8" fontId="24" fillId="0" borderId="10" xfId="0" applyNumberFormat="1" applyFont="1" applyBorder="1" applyAlignment="1">
      <alignment horizontal="center"/>
    </xf>
    <xf numFmtId="49" fontId="24" fillId="0" borderId="10" xfId="0" applyNumberFormat="1" applyFont="1" applyBorder="1" applyAlignment="1">
      <alignment horizontal="center"/>
    </xf>
    <xf numFmtId="173" fontId="24" fillId="0" borderId="10" xfId="0" applyNumberFormat="1" applyFont="1" applyBorder="1" applyAlignment="1">
      <alignment horizontal="center"/>
    </xf>
    <xf numFmtId="164" fontId="16" fillId="0" borderId="0" xfId="0" applyNumberFormat="1" applyFont="1"/>
    <xf numFmtId="165" fontId="21" fillId="0" borderId="10" xfId="0" applyNumberFormat="1" applyFont="1" applyBorder="1"/>
    <xf numFmtId="165" fontId="3" fillId="0" borderId="0" xfId="0" applyNumberFormat="1" applyFont="1" applyFill="1" applyAlignment="1">
      <alignment horizontal="center"/>
    </xf>
    <xf numFmtId="0" fontId="25" fillId="0" borderId="10" xfId="0" applyFont="1" applyFill="1" applyBorder="1" applyAlignment="1">
      <alignment horizontal="center"/>
    </xf>
    <xf numFmtId="0" fontId="25" fillId="0" borderId="10" xfId="0" quotePrefix="1" applyFont="1" applyBorder="1" applyAlignment="1">
      <alignment horizontal="center"/>
    </xf>
    <xf numFmtId="0" fontId="25" fillId="6" borderId="10" xfId="0" applyNumberFormat="1" applyFont="1" applyFill="1" applyBorder="1" applyAlignment="1">
      <alignment horizontal="left"/>
    </xf>
    <xf numFmtId="173" fontId="25" fillId="6" borderId="10" xfId="0" applyNumberFormat="1" applyFont="1" applyFill="1" applyBorder="1" applyAlignment="1">
      <alignment horizontal="center"/>
    </xf>
    <xf numFmtId="3" fontId="25" fillId="6" borderId="10" xfId="1" applyNumberFormat="1" applyFont="1" applyFill="1" applyBorder="1" applyAlignment="1">
      <alignment horizontal="center"/>
    </xf>
    <xf numFmtId="165" fontId="25" fillId="6" borderId="10" xfId="1" applyNumberFormat="1" applyFont="1" applyFill="1" applyBorder="1" applyAlignment="1">
      <alignment horizontal="center"/>
    </xf>
    <xf numFmtId="0" fontId="25" fillId="6" borderId="10" xfId="0" applyFont="1" applyFill="1" applyBorder="1" applyAlignment="1">
      <alignment horizontal="center"/>
    </xf>
    <xf numFmtId="49" fontId="25" fillId="6" borderId="10" xfId="0" applyNumberFormat="1" applyFont="1" applyFill="1" applyBorder="1" applyAlignment="1">
      <alignment horizontal="center"/>
    </xf>
    <xf numFmtId="3" fontId="25" fillId="6" borderId="10" xfId="0" applyNumberFormat="1" applyFont="1" applyFill="1" applyBorder="1" applyAlignment="1">
      <alignment horizontal="center"/>
    </xf>
    <xf numFmtId="0" fontId="25" fillId="0" borderId="0" xfId="0" applyFont="1"/>
    <xf numFmtId="0" fontId="26" fillId="0" borderId="0" xfId="0" applyFont="1"/>
    <xf numFmtId="0" fontId="27" fillId="6" borderId="10" xfId="0" applyNumberFormat="1" applyFont="1" applyFill="1" applyBorder="1" applyAlignment="1">
      <alignment horizontal="left"/>
    </xf>
    <xf numFmtId="0" fontId="28" fillId="0" borderId="10" xfId="0" applyFont="1" applyFill="1" applyBorder="1" applyAlignment="1">
      <alignment horizontal="center"/>
    </xf>
    <xf numFmtId="0" fontId="28" fillId="6" borderId="10" xfId="0" applyFont="1" applyFill="1" applyBorder="1" applyAlignment="1">
      <alignment horizontal="left"/>
    </xf>
    <xf numFmtId="173" fontId="28" fillId="6" borderId="10" xfId="0" applyNumberFormat="1" applyFont="1" applyFill="1" applyBorder="1" applyAlignment="1">
      <alignment horizontal="center"/>
    </xf>
    <xf numFmtId="3" fontId="28" fillId="6" borderId="10" xfId="1" applyNumberFormat="1" applyFont="1" applyFill="1" applyBorder="1" applyAlignment="1">
      <alignment horizontal="center"/>
    </xf>
    <xf numFmtId="164" fontId="28" fillId="6" borderId="10" xfId="1" applyNumberFormat="1" applyFont="1" applyFill="1" applyBorder="1" applyAlignment="1">
      <alignment horizontal="center"/>
    </xf>
    <xf numFmtId="0" fontId="28" fillId="6" borderId="10" xfId="0" applyFont="1" applyFill="1" applyBorder="1" applyAlignment="1">
      <alignment horizontal="center"/>
    </xf>
    <xf numFmtId="49" fontId="28" fillId="6" borderId="10" xfId="0" applyNumberFormat="1" applyFont="1" applyFill="1" applyBorder="1" applyAlignment="1">
      <alignment horizontal="center"/>
    </xf>
    <xf numFmtId="3" fontId="28" fillId="6" borderId="10" xfId="0" applyNumberFormat="1" applyFont="1" applyFill="1" applyBorder="1" applyAlignment="1">
      <alignment horizontal="center"/>
    </xf>
    <xf numFmtId="173" fontId="27" fillId="6" borderId="10" xfId="0" applyNumberFormat="1" applyFont="1" applyFill="1" applyBorder="1" applyAlignment="1">
      <alignment horizontal="center"/>
    </xf>
    <xf numFmtId="0" fontId="27" fillId="0" borderId="10" xfId="0" applyNumberFormat="1" applyFont="1" applyBorder="1" applyAlignment="1">
      <alignment horizontal="left"/>
    </xf>
    <xf numFmtId="0" fontId="28" fillId="0" borderId="10" xfId="0" applyFont="1" applyBorder="1" applyAlignment="1">
      <alignment horizontal="center"/>
    </xf>
    <xf numFmtId="0" fontId="28" fillId="0" borderId="10" xfId="0" applyFont="1" applyBorder="1" applyAlignment="1">
      <alignment horizontal="left"/>
    </xf>
    <xf numFmtId="3" fontId="28" fillId="0" borderId="10" xfId="0" applyNumberFormat="1" applyFont="1" applyBorder="1" applyAlignment="1">
      <alignment horizontal="center"/>
    </xf>
    <xf numFmtId="8" fontId="28" fillId="0" borderId="10" xfId="0" applyNumberFormat="1" applyFont="1" applyBorder="1" applyAlignment="1">
      <alignment horizontal="center"/>
    </xf>
    <xf numFmtId="0" fontId="27" fillId="0" borderId="10" xfId="0" applyFont="1" applyBorder="1"/>
    <xf numFmtId="3" fontId="28" fillId="0" borderId="10" xfId="1" applyNumberFormat="1" applyFont="1" applyFill="1" applyBorder="1" applyAlignment="1">
      <alignment horizontal="center"/>
    </xf>
    <xf numFmtId="12" fontId="28" fillId="0" borderId="10" xfId="0" applyNumberFormat="1" applyFont="1" applyBorder="1" applyAlignment="1">
      <alignment horizontal="center"/>
    </xf>
    <xf numFmtId="0" fontId="27" fillId="0" borderId="11" xfId="0" applyNumberFormat="1" applyFont="1" applyFill="1" applyBorder="1" applyAlignment="1">
      <alignment horizontal="left"/>
    </xf>
    <xf numFmtId="0" fontId="27" fillId="0" borderId="10" xfId="0" applyNumberFormat="1" applyFont="1" applyBorder="1"/>
    <xf numFmtId="49" fontId="28" fillId="0" borderId="10" xfId="0" applyNumberFormat="1" applyFont="1" applyBorder="1" applyAlignment="1">
      <alignment horizontal="center"/>
    </xf>
    <xf numFmtId="173" fontId="28" fillId="0" borderId="10" xfId="0" applyNumberFormat="1" applyFont="1" applyBorder="1" applyAlignment="1">
      <alignment horizontal="center"/>
    </xf>
    <xf numFmtId="168" fontId="3" fillId="0" borderId="7" xfId="0" applyNumberFormat="1" applyFont="1" applyBorder="1"/>
    <xf numFmtId="168" fontId="3" fillId="0" borderId="4" xfId="0" applyNumberFormat="1" applyFont="1" applyBorder="1"/>
    <xf numFmtId="168" fontId="3" fillId="0" borderId="14" xfId="0" applyNumberFormat="1" applyFont="1" applyBorder="1"/>
    <xf numFmtId="172" fontId="3" fillId="16" borderId="3" xfId="1" applyNumberFormat="1" applyFont="1" applyFill="1" applyBorder="1"/>
    <xf numFmtId="166" fontId="3" fillId="16" borderId="3" xfId="1" applyNumberFormat="1" applyFont="1" applyFill="1" applyBorder="1"/>
    <xf numFmtId="170" fontId="4" fillId="15" borderId="6" xfId="2" applyNumberFormat="1" applyFont="1" applyFill="1" applyBorder="1"/>
    <xf numFmtId="170" fontId="4" fillId="15" borderId="0" xfId="2" applyNumberFormat="1" applyFont="1" applyFill="1" applyBorder="1"/>
    <xf numFmtId="9" fontId="4" fillId="15" borderId="0" xfId="2" applyFont="1" applyFill="1" applyBorder="1"/>
    <xf numFmtId="41" fontId="3" fillId="0" borderId="6" xfId="0" applyNumberFormat="1" applyFont="1" applyFill="1" applyBorder="1" applyAlignment="1"/>
    <xf numFmtId="166" fontId="3" fillId="0" borderId="2" xfId="1" applyNumberFormat="1" applyFont="1" applyFill="1" applyBorder="1"/>
    <xf numFmtId="41" fontId="3" fillId="0" borderId="4" xfId="0" applyNumberFormat="1" applyFont="1" applyFill="1" applyBorder="1" applyAlignment="1"/>
    <xf numFmtId="166" fontId="3" fillId="0" borderId="7" xfId="1" applyNumberFormat="1" applyFont="1" applyFill="1" applyBorder="1"/>
    <xf numFmtId="41" fontId="3" fillId="0" borderId="6" xfId="0" applyNumberFormat="1" applyFont="1" applyFill="1" applyBorder="1"/>
    <xf numFmtId="166" fontId="3" fillId="0" borderId="3" xfId="1" applyNumberFormat="1" applyFont="1" applyFill="1" applyBorder="1"/>
    <xf numFmtId="166" fontId="3" fillId="0" borderId="1" xfId="1" applyNumberFormat="1" applyFont="1" applyFill="1" applyBorder="1"/>
    <xf numFmtId="164" fontId="3" fillId="0" borderId="2" xfId="1" applyNumberFormat="1" applyFont="1" applyFill="1" applyBorder="1"/>
    <xf numFmtId="166" fontId="11" fillId="0" borderId="7" xfId="1" applyNumberFormat="1" applyFont="1" applyFill="1" applyBorder="1"/>
    <xf numFmtId="38" fontId="8" fillId="0" borderId="2" xfId="1" applyNumberFormat="1" applyFont="1" applyFill="1" applyBorder="1"/>
    <xf numFmtId="10" fontId="3" fillId="0" borderId="1" xfId="2" applyNumberFormat="1" applyFont="1" applyFill="1" applyBorder="1"/>
    <xf numFmtId="164" fontId="3" fillId="0" borderId="2" xfId="2" applyNumberFormat="1" applyFont="1" applyFill="1" applyBorder="1"/>
    <xf numFmtId="10" fontId="3" fillId="0" borderId="3" xfId="2" applyNumberFormat="1" applyFont="1" applyFill="1" applyBorder="1"/>
    <xf numFmtId="166" fontId="3" fillId="0" borderId="2" xfId="0" applyNumberFormat="1" applyFont="1" applyFill="1" applyBorder="1"/>
    <xf numFmtId="3" fontId="8" fillId="0" borderId="2" xfId="1" applyNumberFormat="1" applyFont="1" applyFill="1" applyBorder="1"/>
    <xf numFmtId="3" fontId="8" fillId="0" borderId="2" xfId="2" applyNumberFormat="1" applyFont="1" applyFill="1" applyBorder="1"/>
    <xf numFmtId="3" fontId="8" fillId="0" borderId="7" xfId="2" applyNumberFormat="1" applyFont="1" applyFill="1" applyBorder="1"/>
    <xf numFmtId="3" fontId="8" fillId="0" borderId="7" xfId="1" applyNumberFormat="1" applyFont="1" applyFill="1" applyBorder="1"/>
    <xf numFmtId="10" fontId="8" fillId="0" borderId="4" xfId="2" applyNumberFormat="1" applyFont="1" applyFill="1" applyBorder="1"/>
    <xf numFmtId="3" fontId="8" fillId="0" borderId="4" xfId="2" applyNumberFormat="1" applyFont="1" applyFill="1" applyBorder="1"/>
    <xf numFmtId="3" fontId="8" fillId="0" borderId="4" xfId="1" applyNumberFormat="1" applyFont="1" applyFill="1" applyBorder="1"/>
    <xf numFmtId="10" fontId="3" fillId="0" borderId="5" xfId="2" applyNumberFormat="1" applyFont="1" applyFill="1" applyBorder="1"/>
    <xf numFmtId="164" fontId="3" fillId="0" borderId="6" xfId="2" applyNumberFormat="1" applyFont="1" applyFill="1" applyBorder="1"/>
    <xf numFmtId="10" fontId="3" fillId="0" borderId="0" xfId="2" applyNumberFormat="1" applyFont="1" applyFill="1" applyBorder="1"/>
    <xf numFmtId="3" fontId="8" fillId="0" borderId="6" xfId="1" applyNumberFormat="1" applyFont="1" applyFill="1" applyBorder="1"/>
    <xf numFmtId="38" fontId="3" fillId="0" borderId="2" xfId="1" applyNumberFormat="1" applyFont="1" applyFill="1" applyBorder="1"/>
    <xf numFmtId="38" fontId="3" fillId="0" borderId="2" xfId="2" applyNumberFormat="1" applyFont="1" applyFill="1" applyBorder="1"/>
    <xf numFmtId="38" fontId="3" fillId="0" borderId="4" xfId="1" applyNumberFormat="1" applyFont="1" applyFill="1" applyBorder="1"/>
    <xf numFmtId="168" fontId="30" fillId="0" borderId="3" xfId="1" applyNumberFormat="1" applyFont="1" applyFill="1" applyBorder="1"/>
    <xf numFmtId="168" fontId="30" fillId="0" borderId="3" xfId="1" applyNumberFormat="1" applyFont="1" applyFill="1" applyBorder="1" applyAlignment="1">
      <alignment horizontal="center"/>
    </xf>
    <xf numFmtId="172" fontId="10" fillId="0" borderId="9" xfId="1" applyNumberFormat="1" applyFont="1" applyFill="1" applyBorder="1" applyAlignment="1">
      <alignment horizontal="center" vertical="center" textRotation="90"/>
    </xf>
    <xf numFmtId="172" fontId="10" fillId="0" borderId="11" xfId="1" applyNumberFormat="1" applyFont="1" applyFill="1" applyBorder="1" applyAlignment="1">
      <alignment horizontal="center" vertical="center" textRotation="90"/>
    </xf>
    <xf numFmtId="168" fontId="7" fillId="8" borderId="0" xfId="1" applyNumberFormat="1" applyFont="1" applyFill="1" applyBorder="1" applyAlignment="1">
      <alignment horizontal="center" textRotation="90"/>
    </xf>
    <xf numFmtId="172" fontId="7" fillId="9" borderId="16" xfId="1" applyNumberFormat="1" applyFont="1" applyFill="1" applyBorder="1" applyAlignment="1">
      <alignment horizontal="center" textRotation="90"/>
    </xf>
    <xf numFmtId="168" fontId="7" fillId="15" borderId="0" xfId="1" applyNumberFormat="1" applyFont="1" applyFill="1" applyBorder="1" applyAlignment="1">
      <alignment horizontal="center" textRotation="90"/>
    </xf>
    <xf numFmtId="0" fontId="5" fillId="12" borderId="1" xfId="0" applyFont="1" applyFill="1" applyBorder="1" applyAlignment="1">
      <alignment horizontal="center" vertical="center"/>
    </xf>
    <xf numFmtId="0" fontId="5" fillId="12" borderId="15" xfId="0" applyFont="1" applyFill="1" applyBorder="1" applyAlignment="1">
      <alignment horizontal="center" vertical="center"/>
    </xf>
    <xf numFmtId="0" fontId="5" fillId="12" borderId="2" xfId="0" applyFont="1" applyFill="1" applyBorder="1" applyAlignment="1">
      <alignment horizontal="center" vertical="center"/>
    </xf>
    <xf numFmtId="0" fontId="5" fillId="12" borderId="13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wrapText="1"/>
    </xf>
    <xf numFmtId="0" fontId="10" fillId="0" borderId="0" xfId="0" applyFont="1" applyAlignment="1">
      <alignment horizontal="center"/>
    </xf>
    <xf numFmtId="0" fontId="10" fillId="0" borderId="1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9" fontId="10" fillId="0" borderId="5" xfId="2" applyFont="1" applyFill="1" applyBorder="1" applyAlignment="1">
      <alignment horizontal="center"/>
    </xf>
    <xf numFmtId="9" fontId="10" fillId="0" borderId="15" xfId="2" applyFont="1" applyFill="1" applyBorder="1" applyAlignment="1">
      <alignment horizontal="center"/>
    </xf>
    <xf numFmtId="0" fontId="23" fillId="12" borderId="1" xfId="0" applyFont="1" applyFill="1" applyBorder="1" applyAlignment="1">
      <alignment horizontal="center" vertical="center" wrapText="1"/>
    </xf>
    <xf numFmtId="0" fontId="23" fillId="12" borderId="5" xfId="0" applyFont="1" applyFill="1" applyBorder="1" applyAlignment="1">
      <alignment horizontal="center" vertical="center" wrapText="1"/>
    </xf>
    <xf numFmtId="0" fontId="23" fillId="12" borderId="15" xfId="0" applyFont="1" applyFill="1" applyBorder="1" applyAlignment="1">
      <alignment horizontal="center" vertical="center" wrapText="1"/>
    </xf>
    <xf numFmtId="0" fontId="23" fillId="12" borderId="15" xfId="0" applyFont="1" applyFill="1" applyBorder="1" applyAlignment="1">
      <alignment horizontal="center" wrapText="1"/>
    </xf>
    <xf numFmtId="0" fontId="23" fillId="12" borderId="13" xfId="0" applyFont="1" applyFill="1" applyBorder="1" applyAlignment="1">
      <alignment horizontal="center" wrapText="1"/>
    </xf>
    <xf numFmtId="6" fontId="14" fillId="13" borderId="10" xfId="0" applyNumberFormat="1" applyFont="1" applyFill="1" applyBorder="1" applyAlignment="1">
      <alignment horizontal="center"/>
    </xf>
    <xf numFmtId="0" fontId="6" fillId="14" borderId="7" xfId="0" applyFont="1" applyFill="1" applyBorder="1" applyAlignment="1">
      <alignment horizontal="center"/>
    </xf>
    <xf numFmtId="0" fontId="6" fillId="14" borderId="14" xfId="0" applyFont="1" applyFill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18" fillId="0" borderId="15" xfId="0" applyFont="1" applyBorder="1" applyAlignment="1">
      <alignment horizontal="center"/>
    </xf>
    <xf numFmtId="0" fontId="18" fillId="14" borderId="1" xfId="0" applyFont="1" applyFill="1" applyBorder="1" applyAlignment="1">
      <alignment horizontal="center"/>
    </xf>
    <xf numFmtId="0" fontId="18" fillId="14" borderId="15" xfId="0" applyFont="1" applyFill="1" applyBorder="1" applyAlignment="1">
      <alignment horizontal="center"/>
    </xf>
    <xf numFmtId="0" fontId="18" fillId="0" borderId="5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FFFFFF"/>
      <rgbColor rgb="00FF0000"/>
      <rgbColor rgb="0000FF00"/>
      <rgbColor rgb="000000FF"/>
      <rgbColor rgb="00FFFF00"/>
      <rgbColor rgb="00FF00FF"/>
      <rgbColor rgb="0000FFFF"/>
      <rgbColor rgb="00FFCCF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CCECFF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ln>
                  <a:noFill/>
                </a:ln>
                <a:solidFill>
                  <a:schemeClr val="tx1"/>
                </a:solidFill>
                <a:latin typeface="Iosevka" panose="02000509030000000004" pitchFamily="49" charset="0"/>
                <a:ea typeface="+mn-ea"/>
                <a:cs typeface="+mn-cs"/>
              </a:defRPr>
            </a:pPr>
            <a:r>
              <a:rPr lang="en-US"/>
              <a:t>STARTUP CO Fully Dilluted Share Holdings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'Cap Summary'!$B$5:$B$9</c:f>
              <c:strCache>
                <c:ptCount val="5"/>
                <c:pt idx="0">
                  <c:v>Founder 1</c:v>
                </c:pt>
                <c:pt idx="1">
                  <c:v>Founder 2</c:v>
                </c:pt>
                <c:pt idx="2">
                  <c:v>Founder 3</c:v>
                </c:pt>
                <c:pt idx="3">
                  <c:v>Founder 4</c:v>
                </c:pt>
                <c:pt idx="4">
                  <c:v>Founder 5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0-F380-3E4E-8EEE-CBE8834DF00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B3C3-A044-B9A4-BB34DE84C7E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B3C3-A044-B9A4-BB34DE84C7E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B3C3-A044-B9A4-BB34DE84C7E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hade val="51000"/>
                      <a:satMod val="130000"/>
                    </a:schemeClr>
                  </a:gs>
                  <a:gs pos="80000">
                    <a:schemeClr val="accent5">
                      <a:shade val="93000"/>
                      <a:satMod val="130000"/>
                    </a:schemeClr>
                  </a:gs>
                  <a:gs pos="100000">
                    <a:schemeClr val="accent5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B3C3-A044-B9A4-BB34DE84C7E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hade val="51000"/>
                      <a:satMod val="130000"/>
                    </a:schemeClr>
                  </a:gs>
                  <a:gs pos="80000">
                    <a:schemeClr val="accent6">
                      <a:shade val="93000"/>
                      <a:satMod val="130000"/>
                    </a:schemeClr>
                  </a:gs>
                  <a:gs pos="100000">
                    <a:schemeClr val="accent6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B3C3-A044-B9A4-BB34DE84C7E1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1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1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B3C3-A044-B9A4-BB34DE84C7E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2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2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B3C3-A044-B9A4-BB34DE84C7E1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3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3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B3C3-A044-B9A4-BB34DE84C7E1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4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4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B3C3-A044-B9A4-BB34DE84C7E1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5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5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B3C3-A044-B9A4-BB34DE84C7E1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6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6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B3C3-A044-B9A4-BB34DE84C7E1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ln>
                        <a:noFill/>
                      </a:ln>
                      <a:solidFill>
                        <a:schemeClr val="tx1"/>
                      </a:solidFill>
                      <a:latin typeface="Iosevka" panose="02000509030000000004" pitchFamily="49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0-F380-3E4E-8EEE-CBE8834DF00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Iosevka" panose="02000509030000000004" pitchFamily="49" charset="0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'Cap Summary'!$B$5:$B$9</c:f>
              <c:strCache>
                <c:ptCount val="5"/>
                <c:pt idx="0">
                  <c:v>Founder 1</c:v>
                </c:pt>
                <c:pt idx="1">
                  <c:v>Founder 2</c:v>
                </c:pt>
                <c:pt idx="2">
                  <c:v>Founder 3</c:v>
                </c:pt>
                <c:pt idx="3">
                  <c:v>Founder 4</c:v>
                </c:pt>
                <c:pt idx="4">
                  <c:v>Founder 5</c:v>
                </c:pt>
              </c:strCache>
            </c:strRef>
          </c:cat>
          <c:val>
            <c:numRef>
              <c:f>'Cap Summary'!$L$5:$L$9</c:f>
              <c:numCache>
                <c:formatCode>#,##0</c:formatCode>
                <c:ptCount val="5"/>
                <c:pt idx="0">
                  <c:v>10000000</c:v>
                </c:pt>
                <c:pt idx="1">
                  <c:v>5000000</c:v>
                </c:pt>
                <c:pt idx="2">
                  <c:v>5000000</c:v>
                </c:pt>
                <c:pt idx="3">
                  <c:v>2500000</c:v>
                </c:pt>
                <c:pt idx="4">
                  <c:v>250000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22-0A47-8A8D-F8332DB7B382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12700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 rot="0" vert="horz"/>
    <a:lstStyle/>
    <a:p>
      <a:pPr>
        <a:defRPr sz="900" baseline="0">
          <a:ln>
            <a:noFill/>
          </a:ln>
          <a:solidFill>
            <a:schemeClr val="tx1"/>
          </a:solidFill>
          <a:latin typeface="Iosevka" panose="02000509030000000004" pitchFamily="49" charset="0"/>
        </a:defRPr>
      </a:pPr>
      <a:endParaRPr lang="en-US"/>
    </a:p>
  </c:txPr>
  <c:printSettings>
    <c:headerFooter/>
    <c:pageMargins b="0.75000000000000289" l="0.70000000000000062" r="0.70000000000000062" t="0.75000000000000289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344714</xdr:colOff>
      <xdr:row>2</xdr:row>
      <xdr:rowOff>62591</xdr:rowOff>
    </xdr:from>
    <xdr:to>
      <xdr:col>40</xdr:col>
      <xdr:colOff>326571</xdr:colOff>
      <xdr:row>54</xdr:row>
      <xdr:rowOff>18143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K88"/>
  <sheetViews>
    <sheetView showGridLines="0" tabSelected="1" zoomScale="140" zoomScaleNormal="14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BI84" sqref="BI84"/>
    </sheetView>
  </sheetViews>
  <sheetFormatPr baseColWidth="10" defaultColWidth="9.1640625" defaultRowHeight="11" outlineLevelCol="1" x14ac:dyDescent="0.15"/>
  <cols>
    <col min="1" max="1" width="1.33203125" style="1" customWidth="1"/>
    <col min="2" max="2" width="2.1640625" style="1" customWidth="1"/>
    <col min="3" max="3" width="22.83203125" style="1" customWidth="1"/>
    <col min="4" max="4" width="11.6640625" style="1" customWidth="1"/>
    <col min="5" max="5" width="4.83203125" style="2" bestFit="1" customWidth="1"/>
    <col min="6" max="6" width="4.6640625" style="2" bestFit="1" customWidth="1"/>
    <col min="7" max="7" width="11.33203125" style="1" customWidth="1"/>
    <col min="8" max="8" width="4.5" style="2" customWidth="1"/>
    <col min="9" max="9" width="4.6640625" style="2" bestFit="1" customWidth="1"/>
    <col min="10" max="10" width="11.5" style="1" customWidth="1"/>
    <col min="11" max="11" width="4.83203125" style="2" bestFit="1" customWidth="1"/>
    <col min="12" max="12" width="4.6640625" style="2" bestFit="1" customWidth="1"/>
    <col min="13" max="13" width="10.1640625" style="1" bestFit="1" customWidth="1"/>
    <col min="14" max="14" width="4.5" style="2" customWidth="1"/>
    <col min="15" max="15" width="4.6640625" style="2" bestFit="1" customWidth="1"/>
    <col min="16" max="16" width="11.1640625" style="1" customWidth="1"/>
    <col min="17" max="18" width="4.83203125" style="2" customWidth="1"/>
    <col min="19" max="19" width="12.33203125" style="1" customWidth="1"/>
    <col min="20" max="20" width="4.83203125" style="2" customWidth="1"/>
    <col min="21" max="21" width="4.5" style="2" customWidth="1"/>
    <col min="22" max="22" width="10.5" style="1" customWidth="1"/>
    <col min="23" max="23" width="4.83203125" style="2" customWidth="1"/>
    <col min="24" max="24" width="4.5" style="2" customWidth="1"/>
    <col min="25" max="25" width="12.5" style="2" customWidth="1"/>
    <col min="26" max="27" width="4.5" style="2" hidden="1" customWidth="1" outlineLevel="1"/>
    <col min="28" max="28" width="9.83203125" style="2" hidden="1" customWidth="1" outlineLevel="1"/>
    <col min="29" max="30" width="4.5" style="2" hidden="1" customWidth="1" outlineLevel="1"/>
    <col min="31" max="31" width="10.5" style="2" hidden="1" customWidth="1" outlineLevel="1"/>
    <col min="32" max="32" width="4.5" style="2" hidden="1" customWidth="1" outlineLevel="1"/>
    <col min="33" max="33" width="6" style="2" hidden="1" customWidth="1" outlineLevel="1"/>
    <col min="34" max="34" width="10.5" style="2" hidden="1" customWidth="1" outlineLevel="1"/>
    <col min="35" max="36" width="6" style="2" hidden="1" customWidth="1" outlineLevel="1"/>
    <col min="37" max="37" width="10.5" style="2" hidden="1" customWidth="1" outlineLevel="1"/>
    <col min="38" max="39" width="6" style="2" hidden="1" customWidth="1" outlineLevel="1"/>
    <col min="40" max="40" width="9.83203125" style="2" hidden="1" customWidth="1" outlineLevel="1"/>
    <col min="41" max="42" width="6" style="2" hidden="1" customWidth="1" outlineLevel="1"/>
    <col min="43" max="43" width="9.83203125" style="2" hidden="1" customWidth="1" outlineLevel="1"/>
    <col min="44" max="45" width="6" style="2" hidden="1" customWidth="1" outlineLevel="1"/>
    <col min="46" max="46" width="10.5" style="2" hidden="1" customWidth="1" outlineLevel="1"/>
    <col min="47" max="48" width="6" style="2" hidden="1" customWidth="1" outlineLevel="1"/>
    <col min="49" max="49" width="10.5" style="2" hidden="1" customWidth="1" outlineLevel="1"/>
    <col min="50" max="51" width="6" style="2" hidden="1" customWidth="1" outlineLevel="1"/>
    <col min="52" max="52" width="1.6640625" style="1" customWidth="1" collapsed="1"/>
    <col min="53" max="53" width="11.33203125" style="1" customWidth="1"/>
    <col min="54" max="54" width="9.83203125" style="1" bestFit="1" customWidth="1"/>
    <col min="55" max="55" width="6.1640625" style="1" customWidth="1"/>
    <col min="56" max="56" width="1.33203125" style="1" customWidth="1"/>
    <col min="57" max="57" width="9.5" style="1" bestFit="1" customWidth="1"/>
    <col min="58" max="58" width="2.33203125" style="1" customWidth="1"/>
    <col min="59" max="59" width="17.6640625" style="1" customWidth="1" outlineLevel="1"/>
    <col min="60" max="60" width="11.5" style="1" bestFit="1" customWidth="1" outlineLevel="1"/>
    <col min="61" max="61" width="10.6640625" style="1" customWidth="1" outlineLevel="1"/>
    <col min="62" max="62" width="10.5" style="1" customWidth="1" outlineLevel="1"/>
    <col min="63" max="63" width="9.1640625" style="1" customWidth="1" outlineLevel="1"/>
    <col min="64" max="16384" width="9.1640625" style="1"/>
  </cols>
  <sheetData>
    <row r="1" spans="2:63" ht="5.25" customHeight="1" x14ac:dyDescent="0.15"/>
    <row r="2" spans="2:63" s="7" customFormat="1" ht="12.75" customHeight="1" x14ac:dyDescent="0.15">
      <c r="B2" s="541" t="s">
        <v>199</v>
      </c>
      <c r="C2" s="542"/>
      <c r="D2" s="3" t="s">
        <v>0</v>
      </c>
      <c r="E2" s="4"/>
      <c r="F2" s="5"/>
      <c r="G2" s="3" t="s">
        <v>16</v>
      </c>
      <c r="H2" s="4"/>
      <c r="I2" s="5"/>
      <c r="J2" s="3" t="s">
        <v>16</v>
      </c>
      <c r="K2" s="4"/>
      <c r="L2" s="5"/>
      <c r="M2" s="3" t="s">
        <v>16</v>
      </c>
      <c r="N2" s="4"/>
      <c r="O2" s="5"/>
      <c r="P2" s="6" t="s">
        <v>100</v>
      </c>
      <c r="Q2" s="4"/>
      <c r="R2" s="5"/>
      <c r="S2" s="6" t="s">
        <v>100</v>
      </c>
      <c r="T2" s="4"/>
      <c r="U2" s="4"/>
      <c r="V2" s="3" t="s">
        <v>16</v>
      </c>
      <c r="W2" s="4"/>
      <c r="X2" s="5"/>
      <c r="Y2" s="3" t="s">
        <v>16</v>
      </c>
      <c r="Z2" s="4"/>
      <c r="AA2" s="5"/>
      <c r="AB2" s="3"/>
      <c r="AC2" s="4"/>
      <c r="AD2" s="5"/>
      <c r="AE2" s="3"/>
      <c r="AF2" s="4"/>
      <c r="AG2" s="5"/>
      <c r="AH2" s="3"/>
      <c r="AI2" s="4"/>
      <c r="AJ2" s="5"/>
      <c r="AK2" s="3"/>
      <c r="AL2" s="4"/>
      <c r="AM2" s="5"/>
      <c r="AN2" s="3"/>
      <c r="AO2" s="4"/>
      <c r="AP2" s="5"/>
      <c r="AQ2" s="3"/>
      <c r="AR2" s="4"/>
      <c r="AS2" s="5"/>
      <c r="AT2" s="3"/>
      <c r="AU2" s="4"/>
      <c r="AV2" s="5"/>
      <c r="AW2" s="3"/>
      <c r="AX2" s="4"/>
      <c r="AY2" s="5"/>
      <c r="BA2" s="3"/>
      <c r="BB2" s="545" t="s">
        <v>11</v>
      </c>
      <c r="BC2" s="8"/>
    </row>
    <row r="3" spans="2:63" s="7" customFormat="1" x14ac:dyDescent="0.15">
      <c r="B3" s="543"/>
      <c r="C3" s="544"/>
      <c r="D3" s="9">
        <v>44781</v>
      </c>
      <c r="E3" s="10"/>
      <c r="F3" s="11"/>
      <c r="G3" s="9">
        <v>44782</v>
      </c>
      <c r="H3" s="10"/>
      <c r="I3" s="11"/>
      <c r="J3" s="9">
        <v>44896</v>
      </c>
      <c r="K3" s="10"/>
      <c r="L3" s="11"/>
      <c r="M3" s="12">
        <v>44956</v>
      </c>
      <c r="N3" s="13"/>
      <c r="O3" s="11"/>
      <c r="P3" s="14">
        <v>45078</v>
      </c>
      <c r="Q3" s="13"/>
      <c r="R3" s="11"/>
      <c r="S3" s="14">
        <v>45261</v>
      </c>
      <c r="T3" s="13"/>
      <c r="U3" s="15"/>
      <c r="V3" s="9">
        <v>45292</v>
      </c>
      <c r="W3" s="10"/>
      <c r="X3" s="11"/>
      <c r="Y3" s="9">
        <v>45444</v>
      </c>
      <c r="Z3" s="10"/>
      <c r="AA3" s="11"/>
      <c r="AB3" s="9">
        <v>45627</v>
      </c>
      <c r="AC3" s="10"/>
      <c r="AD3" s="11"/>
      <c r="AE3" s="9">
        <v>45658</v>
      </c>
      <c r="AF3" s="10"/>
      <c r="AG3" s="11"/>
      <c r="AH3" s="9">
        <v>45809</v>
      </c>
      <c r="AI3" s="10"/>
      <c r="AJ3" s="11"/>
      <c r="AK3" s="9">
        <v>45992</v>
      </c>
      <c r="AL3" s="10"/>
      <c r="AM3" s="11"/>
      <c r="AN3" s="9">
        <v>46023</v>
      </c>
      <c r="AO3" s="10"/>
      <c r="AP3" s="11"/>
      <c r="AQ3" s="9">
        <v>46174</v>
      </c>
      <c r="AR3" s="10"/>
      <c r="AS3" s="11"/>
      <c r="AT3" s="9">
        <v>46357</v>
      </c>
      <c r="AU3" s="10"/>
      <c r="AV3" s="11"/>
      <c r="AW3" s="9">
        <v>46388</v>
      </c>
      <c r="AX3" s="10"/>
      <c r="AY3" s="11"/>
      <c r="BA3" s="16"/>
      <c r="BB3" s="545"/>
      <c r="BC3" s="17"/>
    </row>
    <row r="4" spans="2:63" x14ac:dyDescent="0.15">
      <c r="B4" s="18" t="s">
        <v>6</v>
      </c>
      <c r="C4" s="19"/>
      <c r="D4" s="20"/>
      <c r="E4" s="21"/>
      <c r="F4" s="22"/>
      <c r="G4" s="534">
        <v>500000</v>
      </c>
      <c r="H4" s="21"/>
      <c r="I4" s="22"/>
      <c r="J4" s="535">
        <v>15000000</v>
      </c>
      <c r="K4" s="21"/>
      <c r="L4" s="22"/>
      <c r="M4" s="535">
        <v>250000000</v>
      </c>
      <c r="N4" s="21"/>
      <c r="O4" s="22"/>
      <c r="P4" s="535">
        <v>35000000</v>
      </c>
      <c r="Q4" s="21"/>
      <c r="R4" s="22"/>
      <c r="S4" s="535">
        <f>P69</f>
        <v>35000000</v>
      </c>
      <c r="T4" s="21"/>
      <c r="U4" s="22"/>
      <c r="V4" s="535">
        <f>S69</f>
        <v>35000000</v>
      </c>
      <c r="W4" s="21"/>
      <c r="X4" s="22"/>
      <c r="Y4" s="535">
        <f>V69</f>
        <v>35000000</v>
      </c>
      <c r="Z4" s="21"/>
      <c r="AA4" s="22"/>
      <c r="AB4" s="20">
        <f>Y69</f>
        <v>35000000</v>
      </c>
      <c r="AC4" s="21"/>
      <c r="AD4" s="22"/>
      <c r="AE4" s="20">
        <f>AB69</f>
        <v>35000000</v>
      </c>
      <c r="AF4" s="21"/>
      <c r="AG4" s="22"/>
      <c r="AH4" s="20">
        <f>AE69</f>
        <v>35000000</v>
      </c>
      <c r="AI4" s="21"/>
      <c r="AJ4" s="22"/>
      <c r="AK4" s="20">
        <f>AH69</f>
        <v>35000000</v>
      </c>
      <c r="AL4" s="21"/>
      <c r="AM4" s="22"/>
      <c r="AN4" s="20">
        <v>60000000</v>
      </c>
      <c r="AO4" s="21"/>
      <c r="AP4" s="22"/>
      <c r="AQ4" s="20">
        <f>AN69</f>
        <v>60000000</v>
      </c>
      <c r="AR4" s="21"/>
      <c r="AS4" s="22"/>
      <c r="AT4" s="20">
        <f>AQ4</f>
        <v>60000000</v>
      </c>
      <c r="AU4" s="21"/>
      <c r="AV4" s="22"/>
      <c r="AW4" s="20">
        <v>250000000</v>
      </c>
      <c r="AX4" s="21"/>
      <c r="AY4" s="22"/>
      <c r="BA4" s="23"/>
      <c r="BB4" s="24"/>
      <c r="BC4" s="25"/>
    </row>
    <row r="5" spans="2:63" ht="12.75" customHeight="1" x14ac:dyDescent="0.15">
      <c r="B5" s="26"/>
      <c r="C5" s="19" t="s">
        <v>8</v>
      </c>
      <c r="D5" s="27">
        <v>0</v>
      </c>
      <c r="E5" s="540" t="s">
        <v>124</v>
      </c>
      <c r="F5" s="539" t="s">
        <v>77</v>
      </c>
      <c r="G5" s="28">
        <f>D70</f>
        <v>62750000</v>
      </c>
      <c r="H5" s="540" t="s">
        <v>124</v>
      </c>
      <c r="I5" s="539" t="s">
        <v>77</v>
      </c>
      <c r="J5" s="29">
        <f>G70</f>
        <v>62750000</v>
      </c>
      <c r="K5" s="540" t="s">
        <v>124</v>
      </c>
      <c r="L5" s="539" t="s">
        <v>77</v>
      </c>
      <c r="M5" s="29">
        <f>J70</f>
        <v>62750000</v>
      </c>
      <c r="N5" s="540" t="s">
        <v>124</v>
      </c>
      <c r="O5" s="539" t="s">
        <v>77</v>
      </c>
      <c r="P5" s="29">
        <f>M70</f>
        <v>75250000</v>
      </c>
      <c r="Q5" s="540" t="s">
        <v>124</v>
      </c>
      <c r="R5" s="539" t="s">
        <v>77</v>
      </c>
      <c r="S5" s="29">
        <f>P70</f>
        <v>75250000</v>
      </c>
      <c r="T5" s="538" t="s">
        <v>124</v>
      </c>
      <c r="U5" s="539" t="s">
        <v>77</v>
      </c>
      <c r="V5" s="29">
        <f>S70</f>
        <v>75250000</v>
      </c>
      <c r="W5" s="538" t="s">
        <v>124</v>
      </c>
      <c r="X5" s="539" t="s">
        <v>77</v>
      </c>
      <c r="Y5" s="29">
        <f>V70</f>
        <v>75250000</v>
      </c>
      <c r="Z5" s="538" t="s">
        <v>124</v>
      </c>
      <c r="AA5" s="539" t="s">
        <v>77</v>
      </c>
      <c r="AB5" s="29">
        <f>Y70</f>
        <v>75250000</v>
      </c>
      <c r="AC5" s="538" t="s">
        <v>124</v>
      </c>
      <c r="AD5" s="539" t="s">
        <v>77</v>
      </c>
      <c r="AE5" s="29">
        <f>AB70</f>
        <v>75250000</v>
      </c>
      <c r="AF5" s="538" t="s">
        <v>124</v>
      </c>
      <c r="AG5" s="539" t="s">
        <v>77</v>
      </c>
      <c r="AH5" s="29">
        <f>AE70</f>
        <v>75250000</v>
      </c>
      <c r="AI5" s="538" t="s">
        <v>124</v>
      </c>
      <c r="AJ5" s="539" t="s">
        <v>77</v>
      </c>
      <c r="AK5" s="29">
        <f>AH70</f>
        <v>75250000</v>
      </c>
      <c r="AL5" s="538" t="s">
        <v>124</v>
      </c>
      <c r="AM5" s="539" t="s">
        <v>77</v>
      </c>
      <c r="AN5" s="29">
        <f>AK70</f>
        <v>75250000</v>
      </c>
      <c r="AO5" s="538" t="s">
        <v>124</v>
      </c>
      <c r="AP5" s="539" t="s">
        <v>77</v>
      </c>
      <c r="AQ5" s="29">
        <f>AN70</f>
        <v>75250000</v>
      </c>
      <c r="AR5" s="538" t="s">
        <v>76</v>
      </c>
      <c r="AS5" s="539" t="s">
        <v>77</v>
      </c>
      <c r="AT5" s="29">
        <f>AQ70</f>
        <v>75250000</v>
      </c>
      <c r="AU5" s="538" t="s">
        <v>124</v>
      </c>
      <c r="AV5" s="539" t="s">
        <v>77</v>
      </c>
      <c r="AW5" s="29">
        <f>AT70</f>
        <v>75250000</v>
      </c>
      <c r="AX5" s="538" t="s">
        <v>124</v>
      </c>
      <c r="AY5" s="539" t="s">
        <v>77</v>
      </c>
      <c r="BA5" s="26"/>
      <c r="BB5" s="25"/>
      <c r="BC5" s="536" t="s">
        <v>77</v>
      </c>
      <c r="BE5" s="30"/>
    </row>
    <row r="6" spans="2:63" ht="11.25" customHeight="1" x14ac:dyDescent="0.15">
      <c r="B6" s="26"/>
      <c r="C6" s="19" t="s">
        <v>5</v>
      </c>
      <c r="D6" s="501">
        <v>1E-3</v>
      </c>
      <c r="E6" s="540"/>
      <c r="F6" s="539"/>
      <c r="G6" s="31">
        <f>G4/G5</f>
        <v>7.9681274900398405E-3</v>
      </c>
      <c r="H6" s="540"/>
      <c r="I6" s="539"/>
      <c r="J6" s="32">
        <f>J4/J5</f>
        <v>0.23904382470119523</v>
      </c>
      <c r="K6" s="540"/>
      <c r="L6" s="539"/>
      <c r="M6" s="32">
        <f>M4/M5</f>
        <v>3.9840637450199203</v>
      </c>
      <c r="N6" s="540"/>
      <c r="O6" s="539"/>
      <c r="P6" s="32">
        <f>P4/P5</f>
        <v>0.46511627906976744</v>
      </c>
      <c r="Q6" s="540"/>
      <c r="R6" s="539"/>
      <c r="S6" s="33">
        <f>S4/S5</f>
        <v>0.46511627906976744</v>
      </c>
      <c r="T6" s="538"/>
      <c r="U6" s="539"/>
      <c r="V6" s="32">
        <f>V4/V5</f>
        <v>0.46511627906976744</v>
      </c>
      <c r="W6" s="538"/>
      <c r="X6" s="539"/>
      <c r="Y6" s="32">
        <f>Y4/Y5</f>
        <v>0.46511627906976744</v>
      </c>
      <c r="Z6" s="538"/>
      <c r="AA6" s="539"/>
      <c r="AB6" s="32">
        <f>AB4/AB5</f>
        <v>0.46511627906976744</v>
      </c>
      <c r="AC6" s="538"/>
      <c r="AD6" s="539"/>
      <c r="AE6" s="32">
        <f>AE4/AE5</f>
        <v>0.46511627906976744</v>
      </c>
      <c r="AF6" s="538"/>
      <c r="AG6" s="539"/>
      <c r="AH6" s="32">
        <f>AH4/AH5</f>
        <v>0.46511627906976744</v>
      </c>
      <c r="AI6" s="538"/>
      <c r="AJ6" s="539"/>
      <c r="AK6" s="32">
        <f>AK4/AK5</f>
        <v>0.46511627906976744</v>
      </c>
      <c r="AL6" s="538"/>
      <c r="AM6" s="539"/>
      <c r="AN6" s="32">
        <f>ROUND(AN4/AN5,2)</f>
        <v>0.8</v>
      </c>
      <c r="AO6" s="538"/>
      <c r="AP6" s="539"/>
      <c r="AQ6" s="32">
        <f>ROUND(AQ4/AQ5,2)</f>
        <v>0.8</v>
      </c>
      <c r="AR6" s="538"/>
      <c r="AS6" s="539"/>
      <c r="AT6" s="32">
        <f>ROUND(AT4/AT5,2)</f>
        <v>0.8</v>
      </c>
      <c r="AU6" s="538"/>
      <c r="AV6" s="539"/>
      <c r="AW6" s="32">
        <f>ROUND(AW4/AW5,2)</f>
        <v>3.32</v>
      </c>
      <c r="AX6" s="538"/>
      <c r="AY6" s="539"/>
      <c r="BA6" s="26"/>
      <c r="BB6" s="25"/>
      <c r="BC6" s="536"/>
      <c r="BE6" s="30"/>
    </row>
    <row r="7" spans="2:63" ht="5.25" customHeight="1" x14ac:dyDescent="0.15">
      <c r="B7" s="26"/>
      <c r="C7" s="19"/>
      <c r="D7" s="27"/>
      <c r="E7" s="540"/>
      <c r="F7" s="539"/>
      <c r="G7" s="27"/>
      <c r="H7" s="540"/>
      <c r="I7" s="539"/>
      <c r="J7" s="27"/>
      <c r="K7" s="540"/>
      <c r="L7" s="539"/>
      <c r="M7" s="27"/>
      <c r="N7" s="540"/>
      <c r="O7" s="539"/>
      <c r="P7" s="27"/>
      <c r="Q7" s="540"/>
      <c r="R7" s="539"/>
      <c r="S7" s="34"/>
      <c r="T7" s="538"/>
      <c r="U7" s="539"/>
      <c r="V7" s="27"/>
      <c r="W7" s="538"/>
      <c r="X7" s="539"/>
      <c r="Y7" s="27"/>
      <c r="Z7" s="538"/>
      <c r="AA7" s="539"/>
      <c r="AB7" s="27"/>
      <c r="AC7" s="538"/>
      <c r="AD7" s="539"/>
      <c r="AE7" s="27"/>
      <c r="AF7" s="538"/>
      <c r="AG7" s="539"/>
      <c r="AH7" s="27"/>
      <c r="AI7" s="538"/>
      <c r="AJ7" s="539"/>
      <c r="AK7" s="27"/>
      <c r="AL7" s="538"/>
      <c r="AM7" s="539"/>
      <c r="AN7" s="27"/>
      <c r="AO7" s="538"/>
      <c r="AP7" s="539"/>
      <c r="AQ7" s="27"/>
      <c r="AR7" s="538"/>
      <c r="AS7" s="539"/>
      <c r="AT7" s="27"/>
      <c r="AU7" s="538"/>
      <c r="AV7" s="539"/>
      <c r="AW7" s="27"/>
      <c r="AX7" s="538"/>
      <c r="AY7" s="539"/>
      <c r="BA7" s="26"/>
      <c r="BB7" s="25"/>
      <c r="BC7" s="536"/>
      <c r="BE7" s="30"/>
    </row>
    <row r="8" spans="2:63" x14ac:dyDescent="0.15">
      <c r="B8" s="18" t="s">
        <v>178</v>
      </c>
      <c r="C8" s="19"/>
      <c r="D8" s="502">
        <v>100000000</v>
      </c>
      <c r="E8" s="540"/>
      <c r="F8" s="539"/>
      <c r="G8" s="27"/>
      <c r="H8" s="540"/>
      <c r="I8" s="539"/>
      <c r="J8" s="27"/>
      <c r="K8" s="540"/>
      <c r="L8" s="539"/>
      <c r="M8" s="35"/>
      <c r="N8" s="540"/>
      <c r="O8" s="539"/>
      <c r="P8" s="35"/>
      <c r="Q8" s="540"/>
      <c r="R8" s="539"/>
      <c r="S8" s="36"/>
      <c r="T8" s="538"/>
      <c r="U8" s="539"/>
      <c r="V8" s="27"/>
      <c r="W8" s="538"/>
      <c r="X8" s="539"/>
      <c r="Y8" s="27"/>
      <c r="Z8" s="538"/>
      <c r="AA8" s="539"/>
      <c r="AB8" s="27"/>
      <c r="AC8" s="538"/>
      <c r="AD8" s="539"/>
      <c r="AE8" s="27"/>
      <c r="AF8" s="538"/>
      <c r="AG8" s="539"/>
      <c r="AH8" s="27"/>
      <c r="AI8" s="538"/>
      <c r="AJ8" s="539"/>
      <c r="AK8" s="27"/>
      <c r="AL8" s="538"/>
      <c r="AM8" s="539"/>
      <c r="AN8" s="27"/>
      <c r="AO8" s="538"/>
      <c r="AP8" s="539"/>
      <c r="AQ8" s="27"/>
      <c r="AR8" s="538"/>
      <c r="AS8" s="539"/>
      <c r="AT8" s="27"/>
      <c r="AU8" s="538"/>
      <c r="AV8" s="539"/>
      <c r="AW8" s="27"/>
      <c r="AX8" s="538"/>
      <c r="AY8" s="539"/>
      <c r="BA8" s="26"/>
      <c r="BB8" s="25"/>
      <c r="BC8" s="536"/>
      <c r="BE8" s="30"/>
    </row>
    <row r="9" spans="2:63" ht="30" customHeight="1" x14ac:dyDescent="0.15">
      <c r="B9" s="18" t="s">
        <v>179</v>
      </c>
      <c r="C9" s="19"/>
      <c r="D9" s="27"/>
      <c r="E9" s="540"/>
      <c r="F9" s="539"/>
      <c r="G9" s="27"/>
      <c r="H9" s="540"/>
      <c r="I9" s="539"/>
      <c r="J9" s="27"/>
      <c r="K9" s="540"/>
      <c r="L9" s="539"/>
      <c r="M9" s="37"/>
      <c r="N9" s="540"/>
      <c r="O9" s="539"/>
      <c r="P9" s="37"/>
      <c r="Q9" s="540"/>
      <c r="R9" s="539"/>
      <c r="S9" s="36"/>
      <c r="T9" s="538"/>
      <c r="U9" s="539"/>
      <c r="V9" s="27"/>
      <c r="W9" s="538"/>
      <c r="X9" s="539"/>
      <c r="Y9" s="27"/>
      <c r="Z9" s="538"/>
      <c r="AA9" s="539"/>
      <c r="AB9" s="27"/>
      <c r="AC9" s="538"/>
      <c r="AD9" s="539"/>
      <c r="AE9" s="27"/>
      <c r="AF9" s="538"/>
      <c r="AG9" s="539"/>
      <c r="AH9" s="27"/>
      <c r="AI9" s="538"/>
      <c r="AJ9" s="539"/>
      <c r="AK9" s="27"/>
      <c r="AL9" s="538"/>
      <c r="AM9" s="539"/>
      <c r="AN9" s="27"/>
      <c r="AO9" s="538"/>
      <c r="AP9" s="539"/>
      <c r="AQ9" s="27"/>
      <c r="AR9" s="538"/>
      <c r="AS9" s="539"/>
      <c r="AT9" s="27"/>
      <c r="AU9" s="538"/>
      <c r="AV9" s="539"/>
      <c r="AW9" s="27"/>
      <c r="AX9" s="538"/>
      <c r="AY9" s="539"/>
      <c r="BA9" s="26"/>
      <c r="BB9" s="25"/>
      <c r="BC9" s="537"/>
      <c r="BE9" s="30"/>
      <c r="BH9" s="38" t="s">
        <v>159</v>
      </c>
      <c r="BI9" s="38" t="s">
        <v>160</v>
      </c>
      <c r="BJ9" s="38" t="s">
        <v>161</v>
      </c>
      <c r="BK9" s="19"/>
    </row>
    <row r="10" spans="2:63" x14ac:dyDescent="0.15">
      <c r="B10" s="26"/>
      <c r="C10" s="506" t="s">
        <v>181</v>
      </c>
      <c r="D10" s="507">
        <v>50000000</v>
      </c>
      <c r="E10" s="503">
        <f t="shared" ref="E10:E19" si="0">D10/D$70</f>
        <v>0.79681274900398402</v>
      </c>
      <c r="F10" s="41">
        <f t="shared" ref="F10:F19" si="1">D10/$D$65</f>
        <v>0.79681274900398402</v>
      </c>
      <c r="G10" s="79"/>
      <c r="H10" s="503">
        <f t="shared" ref="H10:H19" si="2">(G10+D10)/G$70</f>
        <v>0.79681274900398402</v>
      </c>
      <c r="I10" s="41">
        <f t="shared" ref="I10:I19" si="3">(G10+D10)/$G$71</f>
        <v>0.78247261345852892</v>
      </c>
      <c r="J10" s="79"/>
      <c r="K10" s="503">
        <f t="shared" ref="K10:K19" si="4">(J10+G10+D10)/J$70</f>
        <v>0.79681274900398402</v>
      </c>
      <c r="L10" s="41">
        <f>(J10+G10+D10)/$J$71</f>
        <v>0.78003120124804992</v>
      </c>
      <c r="M10" s="531"/>
      <c r="N10" s="503">
        <f t="shared" ref="N10:N19" si="5">(D10+M10+J10+G10)/M$70</f>
        <v>0.66445182724252494</v>
      </c>
      <c r="O10" s="41">
        <f>(D10+G10+J10+M10)/$M$71</f>
        <v>0.65274151436031336</v>
      </c>
      <c r="P10" s="79"/>
      <c r="Q10" s="503">
        <f t="shared" ref="Q10:Q19" si="6">(D10+G10+P10+M10+J10)/P$70</f>
        <v>0.66445182724252494</v>
      </c>
      <c r="R10" s="41">
        <f>(D10+G10+J10+M10+P10)/$P$71</f>
        <v>0.65274151436031336</v>
      </c>
      <c r="S10" s="79"/>
      <c r="T10" s="40">
        <f t="shared" ref="T10:T19" si="7">(D10+G10+J10+S10+P10+M10)/S$70</f>
        <v>0.66445182724252494</v>
      </c>
      <c r="U10" s="42">
        <f>(S10+P10+J10+M10+G10+D10)/$S$71</f>
        <v>0.65274151436031336</v>
      </c>
      <c r="V10" s="79"/>
      <c r="W10" s="40">
        <f t="shared" ref="W10:W19" si="8">(D10+G10+J10+M10+V10+S10+P10)/V$70</f>
        <v>0.66445182724252494</v>
      </c>
      <c r="X10" s="41">
        <f>(M10+V10+J10+G10+D10+P10+S10)/V$71</f>
        <v>0.65274151436031336</v>
      </c>
      <c r="Y10" s="79"/>
      <c r="Z10" s="40">
        <f t="shared" ref="Z10:Z19" si="9">(D10+G10+J10+M10+P10+Y10+V10+S10)/Y$70</f>
        <v>0.66445182724252494</v>
      </c>
      <c r="AA10" s="41">
        <f t="shared" ref="AA10:AA19" si="10">(D10+P10+Y10+M10+J10+G10+S10+V10)/Y$71</f>
        <v>0.65274151436031336</v>
      </c>
      <c r="AB10" s="39"/>
      <c r="AC10" s="40">
        <f t="shared" ref="AC10:AC19" si="11">(D10+G10+J10+M10+P10+S10+AB10+Y10+V10)/AB$70</f>
        <v>0.66445182724252494</v>
      </c>
      <c r="AD10" s="41">
        <f t="shared" ref="AD10:AD19" si="12">(D10+G10+J10+M10+P10+S10+V10+Y10+AB10)/AB$71</f>
        <v>0.65274151436031336</v>
      </c>
      <c r="AE10" s="39"/>
      <c r="AF10" s="40">
        <f t="shared" ref="AF10:AF19" si="13">(D10+G10+J10+M10+P10+S10+V10+AE10+AB10+Y10)/AE$70</f>
        <v>0.66445182724252494</v>
      </c>
      <c r="AG10" s="41">
        <f t="shared" ref="AG10:AG19" si="14">(D10+G10+J10+M10+P10+S10+V10+Y10+AB10+AE10)/AE$71</f>
        <v>0.65274151436031336</v>
      </c>
      <c r="AH10" s="39"/>
      <c r="AI10" s="40">
        <f t="shared" ref="AI10:AI19" si="15">(D10+G10+J10+M10+P10+S10+V10+Y10+AH10+AE10+AB10)/AH$70</f>
        <v>0.66445182724252494</v>
      </c>
      <c r="AJ10" s="41">
        <f t="shared" ref="AJ10:AJ19" si="16">(D10+G10+J10+M10+P10+S10+V10+Y10+AB10+A10+AE10+AH10)/AH$71</f>
        <v>0.65274151436031336</v>
      </c>
      <c r="AK10" s="39"/>
      <c r="AL10" s="40">
        <f t="shared" ref="AL10:AL19" si="17">(D10+G10+J10+M10+P10+S10+V10+Y10+AB10+AK10+AH10+AE10)/AK$70</f>
        <v>0.66445182724252494</v>
      </c>
      <c r="AM10" s="41">
        <f t="shared" ref="AM10:AM19" si="18">(D10+G10+J10+M10+P10+S10+V10+Y10+AB10+AE10+AH10+AK10)/AK$71</f>
        <v>0.65274151436031336</v>
      </c>
      <c r="AN10" s="39"/>
      <c r="AO10" s="40">
        <f t="shared" ref="AO10:AO19" si="19">(D10+G10+J10+M10+P10+S10+V10+Y10+AB10+AE10+AN10+AK10+AH10)/AN$70</f>
        <v>0.66445182724252494</v>
      </c>
      <c r="AP10" s="41">
        <f t="shared" ref="AP10:AP19" si="20">(D10+G10+J10+M10+P10+S10+V10+Y10+AB10+AE10+AH10+AK10+AN10)/AN$71</f>
        <v>0.65274151436031336</v>
      </c>
      <c r="AQ10" s="39"/>
      <c r="AR10" s="40">
        <f t="shared" ref="AR10:AR19" si="21">(D222+G10+J10+M10+P10+S10+V10+Y10+AB10+AE10+AH10+AQ10+AN10+AK10)/AQ$70</f>
        <v>0</v>
      </c>
      <c r="AS10" s="41">
        <f t="shared" ref="AS10:AS19" si="22">(D10+G10+J10+M10+P10+S10+V10+Y10+AB10+AE10+AH10+AK10+AN10+AQ10)/AQ$71</f>
        <v>0.65274151436031336</v>
      </c>
      <c r="AT10" s="39"/>
      <c r="AU10" s="40">
        <f t="shared" ref="AU10:AU19" si="23">(D10+G222+J10+M10+P10+S10+V10+Y10+AB10+AE10+AH10+AK10+AT10+AQ10+AN10)/AT$70</f>
        <v>0.66445182724252494</v>
      </c>
      <c r="AV10" s="41">
        <f t="shared" ref="AV10:AV19" si="24">(D10+G10+J10+M10+P10+S10+V10+Y10+AB10+AE10+AH10+AK10+AN10+AQ10+AT10)/AT$71</f>
        <v>0.65189048239895697</v>
      </c>
      <c r="AW10" s="39"/>
      <c r="AX10" s="40">
        <f t="shared" ref="AX10:AX19" si="25">(D10+G10+J222+M10+P10+S10+V10+Y10+AB10+AE10+AH10+AK10+AN10+AW10+AT10+AQ10)/AW$70</f>
        <v>0.66445182724252494</v>
      </c>
      <c r="AY10" s="41">
        <f t="shared" ref="AY10:AY19" si="26">(D10+G10+J10+M10+P10+S10+V10+Y10+AB10+AE10+AH10+AK10+AN10+AQ10+AT10+AW10)/AW$71</f>
        <v>0.65155069064373206</v>
      </c>
      <c r="BA10" s="43">
        <f>BB10*AE$6</f>
        <v>23255813.953488372</v>
      </c>
      <c r="BB10" s="44">
        <f t="shared" ref="BB10:BB19" si="27">M10+V10+S10+P10+J10+G10+D10+Y10+AB10+AE10+AH10+AK10+AN10+AQ10+AT10+AW10</f>
        <v>50000000</v>
      </c>
      <c r="BC10" s="45">
        <f t="shared" ref="BC10:BC19" si="28">BB10/$BB$66</f>
        <v>0.54347826086956519</v>
      </c>
      <c r="BE10" s="43">
        <f>(BB10*AE$6)-((G10*G$6)+(J10*J$6)+(M10*M$6)+(P10*P$6)+(S10*S$6)+(V10*V$6)+(Y10*Y$6)+(AB10*AB$6))</f>
        <v>23255813.953488372</v>
      </c>
      <c r="BG10" s="46" t="str">
        <f t="shared" ref="BG10:BG19" si="29">C10</f>
        <v>Founder 1</v>
      </c>
      <c r="BH10" s="455">
        <f>(D10*D$6)+(G10*G$6)+(J10*J$6)+(M10*M$6)+(P10*P$6)+(S10*S$6)+(V10*V$6)+(Y10*Y$6)+(AB10*AB$6)+(AE10*AE$6)+(AH10*AH$6)+(AK10*AK$6)+(AN10*AN$6)</f>
        <v>50000</v>
      </c>
      <c r="BI10" s="43">
        <f>BB10*AW$6</f>
        <v>166000000</v>
      </c>
      <c r="BJ10" s="43">
        <f>BI10-BH10</f>
        <v>165950000</v>
      </c>
      <c r="BK10" s="47">
        <f>IFERROR(BJ10/BH10,0)</f>
        <v>3319</v>
      </c>
    </row>
    <row r="11" spans="2:63" x14ac:dyDescent="0.15">
      <c r="B11" s="26"/>
      <c r="C11" s="508" t="s">
        <v>182</v>
      </c>
      <c r="D11" s="509">
        <v>5000000</v>
      </c>
      <c r="E11" s="503">
        <f t="shared" si="0"/>
        <v>7.9681274900398405E-2</v>
      </c>
      <c r="F11" s="93">
        <f t="shared" si="1"/>
        <v>7.9681274900398405E-2</v>
      </c>
      <c r="G11" s="79"/>
      <c r="H11" s="503">
        <f t="shared" si="2"/>
        <v>7.9681274900398405E-2</v>
      </c>
      <c r="I11" s="41">
        <f t="shared" si="3"/>
        <v>7.82472613458529E-2</v>
      </c>
      <c r="J11" s="85"/>
      <c r="K11" s="503">
        <f t="shared" si="4"/>
        <v>7.9681274900398405E-2</v>
      </c>
      <c r="L11" s="41">
        <f>(J11+G11+D11)/$J$71</f>
        <v>7.8003120124804995E-2</v>
      </c>
      <c r="M11" s="532"/>
      <c r="N11" s="503">
        <f t="shared" si="5"/>
        <v>6.6445182724252497E-2</v>
      </c>
      <c r="O11" s="41">
        <f t="shared" ref="O11:O19" si="30">(D11+G11+J11+M11)/$M$71</f>
        <v>6.5274151436031339E-2</v>
      </c>
      <c r="P11" s="521"/>
      <c r="Q11" s="503">
        <f t="shared" si="6"/>
        <v>6.6445182724252497E-2</v>
      </c>
      <c r="R11" s="41">
        <f t="shared" ref="R11:R19" si="31">(D11+G11+J11+M11+P11)/$P$71</f>
        <v>6.5274151436031339E-2</v>
      </c>
      <c r="S11" s="524"/>
      <c r="T11" s="40">
        <f t="shared" si="7"/>
        <v>6.6445182724252497E-2</v>
      </c>
      <c r="U11" s="42">
        <f t="shared" ref="U11:U19" si="32">(S11+P11+J11+M11+G11+D11)/$S$71</f>
        <v>6.5274151436031339E-2</v>
      </c>
      <c r="V11" s="85"/>
      <c r="W11" s="40">
        <f t="shared" si="8"/>
        <v>6.6445182724252497E-2</v>
      </c>
      <c r="X11" s="41">
        <f t="shared" ref="X11:X19" si="33">(M11+V11+J11+G11+D11+P11+S11)/$V$71</f>
        <v>6.5274151436031339E-2</v>
      </c>
      <c r="Y11" s="85"/>
      <c r="Z11" s="40">
        <f t="shared" si="9"/>
        <v>6.6445182724252497E-2</v>
      </c>
      <c r="AA11" s="41">
        <f t="shared" si="10"/>
        <v>6.5274151436031339E-2</v>
      </c>
      <c r="AB11" s="48"/>
      <c r="AC11" s="40">
        <f t="shared" si="11"/>
        <v>6.6445182724252497E-2</v>
      </c>
      <c r="AD11" s="41">
        <f t="shared" si="12"/>
        <v>6.5274151436031339E-2</v>
      </c>
      <c r="AE11" s="48"/>
      <c r="AF11" s="40">
        <f t="shared" si="13"/>
        <v>6.6445182724252497E-2</v>
      </c>
      <c r="AG11" s="41">
        <f t="shared" si="14"/>
        <v>6.5274151436031339E-2</v>
      </c>
      <c r="AH11" s="39"/>
      <c r="AI11" s="40">
        <f t="shared" si="15"/>
        <v>6.6445182724252497E-2</v>
      </c>
      <c r="AJ11" s="41">
        <f t="shared" si="16"/>
        <v>6.5274151436031339E-2</v>
      </c>
      <c r="AK11" s="39"/>
      <c r="AL11" s="40">
        <f t="shared" si="17"/>
        <v>6.6445182724252497E-2</v>
      </c>
      <c r="AM11" s="41">
        <f t="shared" si="18"/>
        <v>6.5274151436031339E-2</v>
      </c>
      <c r="AN11" s="39"/>
      <c r="AO11" s="40">
        <f t="shared" si="19"/>
        <v>6.6445182724252497E-2</v>
      </c>
      <c r="AP11" s="41">
        <f t="shared" si="20"/>
        <v>6.5274151436031339E-2</v>
      </c>
      <c r="AQ11" s="39"/>
      <c r="AR11" s="40">
        <f t="shared" si="21"/>
        <v>0</v>
      </c>
      <c r="AS11" s="41">
        <f t="shared" si="22"/>
        <v>6.5274151436031339E-2</v>
      </c>
      <c r="AT11" s="39"/>
      <c r="AU11" s="40">
        <f t="shared" si="23"/>
        <v>6.6445182724252497E-2</v>
      </c>
      <c r="AV11" s="41">
        <f t="shared" si="24"/>
        <v>6.51890482398957E-2</v>
      </c>
      <c r="AW11" s="39"/>
      <c r="AX11" s="40">
        <f t="shared" si="25"/>
        <v>6.6445182724252497E-2</v>
      </c>
      <c r="AY11" s="41">
        <f t="shared" si="26"/>
        <v>6.5155069064373211E-2</v>
      </c>
      <c r="BA11" s="49">
        <f t="shared" ref="BA11:BA19" si="34">BB11*AE$6</f>
        <v>2325581.3953488371</v>
      </c>
      <c r="BB11" s="50">
        <f t="shared" si="27"/>
        <v>5000000</v>
      </c>
      <c r="BC11" s="45">
        <f t="shared" si="28"/>
        <v>5.434782608695652E-2</v>
      </c>
      <c r="BE11" s="43">
        <f>(BB11*AE$6)-((G11*G$6)+(J11*J$6)+(M11*M$6)+(P11*P$6)+(S11*S$6)+(V11*V$6)+(Y11*Y$6)+(AB11*AB$6))</f>
        <v>2325581.3953488371</v>
      </c>
      <c r="BG11" s="46" t="str">
        <f t="shared" si="29"/>
        <v>Founder 2</v>
      </c>
      <c r="BH11" s="455">
        <f t="shared" ref="BH11:BH19" si="35">(D11*D$6)+(G11*G$6)+(J11*J$6)+(M11*M$6)+(P11*P$6)+(S11*S$6)+(V11*V$6)+(Y11*Y$6)+(AB11*AB$6)+(AE11*AE$6)+(AH11*AH$6)+(AK11*AK$6)+(AN11*AN$6)</f>
        <v>5000</v>
      </c>
      <c r="BI11" s="43">
        <f t="shared" ref="BI11:BI19" si="36">BB11*AW$6</f>
        <v>16600000</v>
      </c>
      <c r="BJ11" s="43">
        <f t="shared" ref="BJ11:BJ19" si="37">BI11-BH11</f>
        <v>16595000</v>
      </c>
      <c r="BK11" s="47">
        <f t="shared" ref="BK11:BK19" si="38">IFERROR(BJ11/BH11,0)</f>
        <v>3319</v>
      </c>
    </row>
    <row r="12" spans="2:63" x14ac:dyDescent="0.15">
      <c r="B12" s="26"/>
      <c r="C12" s="508" t="s">
        <v>187</v>
      </c>
      <c r="D12" s="509">
        <v>5000000</v>
      </c>
      <c r="E12" s="503">
        <f t="shared" si="0"/>
        <v>7.9681274900398405E-2</v>
      </c>
      <c r="F12" s="93">
        <f t="shared" si="1"/>
        <v>7.9681274900398405E-2</v>
      </c>
      <c r="G12" s="79"/>
      <c r="H12" s="503">
        <f t="shared" si="2"/>
        <v>7.9681274900398405E-2</v>
      </c>
      <c r="I12" s="41">
        <f t="shared" si="3"/>
        <v>7.82472613458529E-2</v>
      </c>
      <c r="J12" s="85"/>
      <c r="K12" s="503">
        <f t="shared" si="4"/>
        <v>7.9681274900398405E-2</v>
      </c>
      <c r="L12" s="41">
        <f t="shared" ref="L12:L17" si="39">(J12+G12+D12)/$J$71</f>
        <v>7.8003120124804995E-2</v>
      </c>
      <c r="M12" s="533"/>
      <c r="N12" s="503">
        <f t="shared" si="5"/>
        <v>6.6445182724252497E-2</v>
      </c>
      <c r="O12" s="41">
        <f t="shared" si="30"/>
        <v>6.5274151436031339E-2</v>
      </c>
      <c r="P12" s="520"/>
      <c r="Q12" s="503">
        <f t="shared" si="6"/>
        <v>6.6445182724252497E-2</v>
      </c>
      <c r="R12" s="41">
        <f t="shared" si="31"/>
        <v>6.5274151436031339E-2</v>
      </c>
      <c r="S12" s="525"/>
      <c r="T12" s="40">
        <f t="shared" si="7"/>
        <v>6.6445182724252497E-2</v>
      </c>
      <c r="U12" s="42">
        <f t="shared" si="32"/>
        <v>6.5274151436031339E-2</v>
      </c>
      <c r="V12" s="85"/>
      <c r="W12" s="40">
        <f t="shared" si="8"/>
        <v>6.6445182724252497E-2</v>
      </c>
      <c r="X12" s="41">
        <f t="shared" si="33"/>
        <v>6.5274151436031339E-2</v>
      </c>
      <c r="Y12" s="85"/>
      <c r="Z12" s="40">
        <f t="shared" si="9"/>
        <v>6.6445182724252497E-2</v>
      </c>
      <c r="AA12" s="41">
        <f t="shared" si="10"/>
        <v>6.5274151436031339E-2</v>
      </c>
      <c r="AB12" s="48"/>
      <c r="AC12" s="40">
        <f t="shared" si="11"/>
        <v>6.6445182724252497E-2</v>
      </c>
      <c r="AD12" s="41">
        <f t="shared" si="12"/>
        <v>6.5274151436031339E-2</v>
      </c>
      <c r="AE12" s="48"/>
      <c r="AF12" s="40">
        <f t="shared" si="13"/>
        <v>6.6445182724252497E-2</v>
      </c>
      <c r="AG12" s="41">
        <f t="shared" si="14"/>
        <v>6.5274151436031339E-2</v>
      </c>
      <c r="AH12" s="39"/>
      <c r="AI12" s="40">
        <f t="shared" si="15"/>
        <v>6.6445182724252497E-2</v>
      </c>
      <c r="AJ12" s="41">
        <f t="shared" si="16"/>
        <v>6.5274151436031339E-2</v>
      </c>
      <c r="AK12" s="39"/>
      <c r="AL12" s="40">
        <f t="shared" si="17"/>
        <v>6.6445182724252497E-2</v>
      </c>
      <c r="AM12" s="41">
        <f t="shared" si="18"/>
        <v>6.5274151436031339E-2</v>
      </c>
      <c r="AN12" s="39"/>
      <c r="AO12" s="40">
        <f t="shared" si="19"/>
        <v>6.6445182724252497E-2</v>
      </c>
      <c r="AP12" s="41">
        <f t="shared" si="20"/>
        <v>6.5274151436031339E-2</v>
      </c>
      <c r="AQ12" s="39"/>
      <c r="AR12" s="40">
        <f t="shared" si="21"/>
        <v>0</v>
      </c>
      <c r="AS12" s="41">
        <f t="shared" si="22"/>
        <v>6.5274151436031339E-2</v>
      </c>
      <c r="AT12" s="39"/>
      <c r="AU12" s="40">
        <f t="shared" si="23"/>
        <v>6.6445182724252497E-2</v>
      </c>
      <c r="AV12" s="41">
        <f t="shared" si="24"/>
        <v>6.51890482398957E-2</v>
      </c>
      <c r="AW12" s="39"/>
      <c r="AX12" s="40">
        <f t="shared" si="25"/>
        <v>6.6445182724252497E-2</v>
      </c>
      <c r="AY12" s="41">
        <f t="shared" si="26"/>
        <v>6.5155069064373211E-2</v>
      </c>
      <c r="BA12" s="49">
        <f t="shared" si="34"/>
        <v>2325581.3953488371</v>
      </c>
      <c r="BB12" s="50">
        <f>M12+V12+S12+P12+J12+G12+D12+Y12+AB12+AE12+AH12+AK12+AN12+AQ12+AT12+AW12</f>
        <v>5000000</v>
      </c>
      <c r="BC12" s="45">
        <f t="shared" si="28"/>
        <v>5.434782608695652E-2</v>
      </c>
      <c r="BE12" s="43">
        <f>(BB12*AE$6)-((G12*G$6)+(J12*J$6)+(M12*M$6)+(P12*P$6)+(S12*S$6)+(V12*V$6)+(Y12*Y$6)+(AB12*AB$6))</f>
        <v>2325581.3953488371</v>
      </c>
      <c r="BG12" s="46" t="str">
        <f t="shared" si="29"/>
        <v>Founder 3</v>
      </c>
      <c r="BH12" s="455">
        <f t="shared" si="35"/>
        <v>5000</v>
      </c>
      <c r="BI12" s="43">
        <f t="shared" si="36"/>
        <v>16600000</v>
      </c>
      <c r="BJ12" s="43">
        <f t="shared" si="37"/>
        <v>16595000</v>
      </c>
      <c r="BK12" s="47">
        <f t="shared" si="38"/>
        <v>3319</v>
      </c>
    </row>
    <row r="13" spans="2:63" x14ac:dyDescent="0.15">
      <c r="B13" s="26"/>
      <c r="C13" s="508" t="s">
        <v>188</v>
      </c>
      <c r="D13" s="509">
        <v>2500000</v>
      </c>
      <c r="E13" s="503">
        <f t="shared" si="0"/>
        <v>3.9840637450199202E-2</v>
      </c>
      <c r="F13" s="93">
        <f t="shared" si="1"/>
        <v>3.9840637450199202E-2</v>
      </c>
      <c r="G13" s="79"/>
      <c r="H13" s="503">
        <f t="shared" si="2"/>
        <v>3.9840637450199202E-2</v>
      </c>
      <c r="I13" s="41">
        <f t="shared" si="3"/>
        <v>3.912363067292645E-2</v>
      </c>
      <c r="J13" s="85"/>
      <c r="K13" s="503">
        <f t="shared" si="4"/>
        <v>3.9840637450199202E-2</v>
      </c>
      <c r="L13" s="41">
        <f t="shared" si="39"/>
        <v>3.9001560062402497E-2</v>
      </c>
      <c r="M13" s="533"/>
      <c r="N13" s="503">
        <f t="shared" si="5"/>
        <v>3.3222591362126248E-2</v>
      </c>
      <c r="O13" s="41">
        <f t="shared" si="30"/>
        <v>3.2637075718015669E-2</v>
      </c>
      <c r="P13" s="520"/>
      <c r="Q13" s="503">
        <f t="shared" si="6"/>
        <v>3.3222591362126248E-2</v>
      </c>
      <c r="R13" s="41">
        <f t="shared" si="31"/>
        <v>3.2637075718015669E-2</v>
      </c>
      <c r="S13" s="526"/>
      <c r="T13" s="40">
        <f t="shared" si="7"/>
        <v>3.3222591362126248E-2</v>
      </c>
      <c r="U13" s="42">
        <f t="shared" si="32"/>
        <v>3.2637075718015669E-2</v>
      </c>
      <c r="V13" s="85"/>
      <c r="W13" s="40">
        <f t="shared" si="8"/>
        <v>3.3222591362126248E-2</v>
      </c>
      <c r="X13" s="41">
        <f t="shared" si="33"/>
        <v>3.2637075718015669E-2</v>
      </c>
      <c r="Y13" s="85"/>
      <c r="Z13" s="40">
        <f t="shared" si="9"/>
        <v>3.3222591362126248E-2</v>
      </c>
      <c r="AA13" s="41">
        <f t="shared" si="10"/>
        <v>3.2637075718015669E-2</v>
      </c>
      <c r="AB13" s="48"/>
      <c r="AC13" s="40">
        <f t="shared" si="11"/>
        <v>3.3222591362126248E-2</v>
      </c>
      <c r="AD13" s="41">
        <f t="shared" si="12"/>
        <v>3.2637075718015669E-2</v>
      </c>
      <c r="AE13" s="48"/>
      <c r="AF13" s="40">
        <f t="shared" si="13"/>
        <v>3.3222591362126248E-2</v>
      </c>
      <c r="AG13" s="41">
        <f t="shared" si="14"/>
        <v>3.2637075718015669E-2</v>
      </c>
      <c r="AH13" s="39"/>
      <c r="AI13" s="40">
        <f t="shared" si="15"/>
        <v>3.3222591362126248E-2</v>
      </c>
      <c r="AJ13" s="41">
        <f t="shared" si="16"/>
        <v>3.2637075718015669E-2</v>
      </c>
      <c r="AK13" s="39"/>
      <c r="AL13" s="40">
        <f t="shared" si="17"/>
        <v>3.3222591362126248E-2</v>
      </c>
      <c r="AM13" s="41">
        <f t="shared" si="18"/>
        <v>3.2637075718015669E-2</v>
      </c>
      <c r="AN13" s="39"/>
      <c r="AO13" s="40">
        <f t="shared" si="19"/>
        <v>3.3222591362126248E-2</v>
      </c>
      <c r="AP13" s="41">
        <f t="shared" si="20"/>
        <v>3.2637075718015669E-2</v>
      </c>
      <c r="AQ13" s="39"/>
      <c r="AR13" s="40">
        <f t="shared" si="21"/>
        <v>0</v>
      </c>
      <c r="AS13" s="41">
        <f t="shared" si="22"/>
        <v>3.2637075718015669E-2</v>
      </c>
      <c r="AT13" s="39"/>
      <c r="AU13" s="40">
        <f t="shared" si="23"/>
        <v>3.3222591362126248E-2</v>
      </c>
      <c r="AV13" s="41">
        <f t="shared" si="24"/>
        <v>3.259452411994785E-2</v>
      </c>
      <c r="AW13" s="39"/>
      <c r="AX13" s="40">
        <f t="shared" si="25"/>
        <v>3.3222591362126248E-2</v>
      </c>
      <c r="AY13" s="41">
        <f t="shared" si="26"/>
        <v>3.2577534532186606E-2</v>
      </c>
      <c r="BA13" s="49">
        <f t="shared" si="34"/>
        <v>1162790.6976744186</v>
      </c>
      <c r="BB13" s="50">
        <f t="shared" si="27"/>
        <v>2500000</v>
      </c>
      <c r="BC13" s="45">
        <f t="shared" si="28"/>
        <v>2.717391304347826E-2</v>
      </c>
      <c r="BE13" s="43">
        <f>(BB13*AE$6)-((G13*G$6)+(J13*J$6)+(M13*M$6)+(P13*P$6)+(S13*S$6)+(V13*V$6)+(Y13*Y$6)+(AB13*AB$6))</f>
        <v>1162790.6976744186</v>
      </c>
      <c r="BG13" s="46" t="str">
        <f t="shared" si="29"/>
        <v>Founder 4</v>
      </c>
      <c r="BH13" s="455">
        <f t="shared" si="35"/>
        <v>2500</v>
      </c>
      <c r="BI13" s="43">
        <f t="shared" si="36"/>
        <v>8300000</v>
      </c>
      <c r="BJ13" s="43">
        <f t="shared" si="37"/>
        <v>8297500</v>
      </c>
      <c r="BK13" s="47">
        <f t="shared" si="38"/>
        <v>3319</v>
      </c>
    </row>
    <row r="14" spans="2:63" x14ac:dyDescent="0.15">
      <c r="B14" s="26"/>
      <c r="C14" s="508" t="s">
        <v>189</v>
      </c>
      <c r="D14" s="509">
        <v>250000</v>
      </c>
      <c r="E14" s="503">
        <f t="shared" si="0"/>
        <v>3.9840637450199202E-3</v>
      </c>
      <c r="F14" s="93">
        <f t="shared" si="1"/>
        <v>3.9840637450199202E-3</v>
      </c>
      <c r="G14" s="79"/>
      <c r="H14" s="503">
        <f t="shared" si="2"/>
        <v>3.9840637450199202E-3</v>
      </c>
      <c r="I14" s="41">
        <f t="shared" si="3"/>
        <v>3.9123630672926448E-3</v>
      </c>
      <c r="J14" s="85"/>
      <c r="K14" s="503">
        <f t="shared" si="4"/>
        <v>3.9840637450199202E-3</v>
      </c>
      <c r="L14" s="41">
        <f t="shared" si="39"/>
        <v>3.9001560062402497E-3</v>
      </c>
      <c r="M14" s="532"/>
      <c r="N14" s="503">
        <f t="shared" si="5"/>
        <v>3.3222591362126247E-3</v>
      </c>
      <c r="O14" s="41">
        <f t="shared" si="30"/>
        <v>3.2637075718015664E-3</v>
      </c>
      <c r="P14" s="520"/>
      <c r="Q14" s="503">
        <f t="shared" si="6"/>
        <v>3.3222591362126247E-3</v>
      </c>
      <c r="R14" s="41">
        <f t="shared" si="31"/>
        <v>3.2637075718015664E-3</v>
      </c>
      <c r="S14" s="525"/>
      <c r="T14" s="40">
        <f t="shared" si="7"/>
        <v>3.3222591362126247E-3</v>
      </c>
      <c r="U14" s="42">
        <f t="shared" si="32"/>
        <v>3.2637075718015664E-3</v>
      </c>
      <c r="V14" s="85"/>
      <c r="W14" s="40">
        <f t="shared" si="8"/>
        <v>3.3222591362126247E-3</v>
      </c>
      <c r="X14" s="41">
        <f t="shared" si="33"/>
        <v>3.2637075718015664E-3</v>
      </c>
      <c r="Y14" s="85"/>
      <c r="Z14" s="40">
        <f t="shared" si="9"/>
        <v>3.3222591362126247E-3</v>
      </c>
      <c r="AA14" s="41">
        <f t="shared" si="10"/>
        <v>3.2637075718015664E-3</v>
      </c>
      <c r="AB14" s="48"/>
      <c r="AC14" s="40">
        <f t="shared" si="11"/>
        <v>3.3222591362126247E-3</v>
      </c>
      <c r="AD14" s="41">
        <f t="shared" si="12"/>
        <v>3.2637075718015664E-3</v>
      </c>
      <c r="AE14" s="48"/>
      <c r="AF14" s="40">
        <f t="shared" si="13"/>
        <v>3.3222591362126247E-3</v>
      </c>
      <c r="AG14" s="41">
        <f t="shared" si="14"/>
        <v>3.2637075718015664E-3</v>
      </c>
      <c r="AH14" s="39"/>
      <c r="AI14" s="40">
        <f t="shared" si="15"/>
        <v>3.3222591362126247E-3</v>
      </c>
      <c r="AJ14" s="41">
        <f t="shared" si="16"/>
        <v>3.2637075718015664E-3</v>
      </c>
      <c r="AK14" s="39"/>
      <c r="AL14" s="40">
        <f t="shared" si="17"/>
        <v>3.3222591362126247E-3</v>
      </c>
      <c r="AM14" s="41">
        <f t="shared" si="18"/>
        <v>3.2637075718015664E-3</v>
      </c>
      <c r="AN14" s="39"/>
      <c r="AO14" s="40">
        <f t="shared" si="19"/>
        <v>3.3222591362126247E-3</v>
      </c>
      <c r="AP14" s="41">
        <f t="shared" si="20"/>
        <v>3.2637075718015664E-3</v>
      </c>
      <c r="AQ14" s="39"/>
      <c r="AR14" s="40">
        <f t="shared" si="21"/>
        <v>0</v>
      </c>
      <c r="AS14" s="41">
        <f t="shared" si="22"/>
        <v>3.2637075718015664E-3</v>
      </c>
      <c r="AT14" s="39"/>
      <c r="AU14" s="40">
        <f t="shared" si="23"/>
        <v>3.3222591362126247E-3</v>
      </c>
      <c r="AV14" s="41">
        <f t="shared" si="24"/>
        <v>3.259452411994785E-3</v>
      </c>
      <c r="AW14" s="39"/>
      <c r="AX14" s="40">
        <f t="shared" si="25"/>
        <v>3.3222591362126247E-3</v>
      </c>
      <c r="AY14" s="41">
        <f t="shared" si="26"/>
        <v>3.2577534532186605E-3</v>
      </c>
      <c r="BA14" s="49">
        <f>BB14*AW$6</f>
        <v>830000</v>
      </c>
      <c r="BB14" s="50">
        <f t="shared" si="27"/>
        <v>250000</v>
      </c>
      <c r="BC14" s="45">
        <f t="shared" si="28"/>
        <v>2.717391304347826E-3</v>
      </c>
      <c r="BE14" s="43"/>
      <c r="BG14" s="46" t="str">
        <f t="shared" si="29"/>
        <v>Founder 5</v>
      </c>
      <c r="BH14" s="455">
        <f t="shared" si="35"/>
        <v>250</v>
      </c>
      <c r="BI14" s="43">
        <f t="shared" si="36"/>
        <v>830000</v>
      </c>
      <c r="BJ14" s="43">
        <f t="shared" si="37"/>
        <v>829750</v>
      </c>
      <c r="BK14" s="47">
        <f t="shared" si="38"/>
        <v>3319</v>
      </c>
    </row>
    <row r="15" spans="2:63" x14ac:dyDescent="0.15">
      <c r="B15" s="26"/>
      <c r="C15" s="508"/>
      <c r="D15" s="509"/>
      <c r="E15" s="503">
        <f t="shared" si="0"/>
        <v>0</v>
      </c>
      <c r="F15" s="93">
        <f t="shared" si="1"/>
        <v>0</v>
      </c>
      <c r="G15" s="79"/>
      <c r="H15" s="503">
        <f t="shared" si="2"/>
        <v>0</v>
      </c>
      <c r="I15" s="41">
        <f t="shared" si="3"/>
        <v>0</v>
      </c>
      <c r="J15" s="85"/>
      <c r="K15" s="503">
        <f t="shared" si="4"/>
        <v>0</v>
      </c>
      <c r="L15" s="41">
        <f t="shared" si="39"/>
        <v>0</v>
      </c>
      <c r="M15" s="532"/>
      <c r="N15" s="503">
        <f t="shared" si="5"/>
        <v>0</v>
      </c>
      <c r="O15" s="41">
        <f t="shared" si="30"/>
        <v>0</v>
      </c>
      <c r="P15" s="520"/>
      <c r="Q15" s="503">
        <f t="shared" si="6"/>
        <v>0</v>
      </c>
      <c r="R15" s="41">
        <f t="shared" si="31"/>
        <v>0</v>
      </c>
      <c r="S15" s="525"/>
      <c r="T15" s="40">
        <f t="shared" si="7"/>
        <v>0</v>
      </c>
      <c r="U15" s="42">
        <f t="shared" si="32"/>
        <v>0</v>
      </c>
      <c r="V15" s="85"/>
      <c r="W15" s="40">
        <f t="shared" si="8"/>
        <v>0</v>
      </c>
      <c r="X15" s="41">
        <f t="shared" si="33"/>
        <v>0</v>
      </c>
      <c r="Y15" s="85"/>
      <c r="Z15" s="40">
        <f t="shared" si="9"/>
        <v>0</v>
      </c>
      <c r="AA15" s="41">
        <f t="shared" si="10"/>
        <v>0</v>
      </c>
      <c r="AB15" s="48"/>
      <c r="AC15" s="40">
        <f t="shared" si="11"/>
        <v>0</v>
      </c>
      <c r="AD15" s="41">
        <f t="shared" si="12"/>
        <v>0</v>
      </c>
      <c r="AE15" s="48"/>
      <c r="AF15" s="40">
        <f t="shared" si="13"/>
        <v>0</v>
      </c>
      <c r="AG15" s="41">
        <f t="shared" si="14"/>
        <v>0</v>
      </c>
      <c r="AH15" s="39"/>
      <c r="AI15" s="40">
        <f t="shared" si="15"/>
        <v>0</v>
      </c>
      <c r="AJ15" s="41">
        <f t="shared" si="16"/>
        <v>0</v>
      </c>
      <c r="AK15" s="39"/>
      <c r="AL15" s="40">
        <f t="shared" si="17"/>
        <v>0</v>
      </c>
      <c r="AM15" s="41">
        <f t="shared" si="18"/>
        <v>0</v>
      </c>
      <c r="AN15" s="39"/>
      <c r="AO15" s="40">
        <f t="shared" si="19"/>
        <v>0</v>
      </c>
      <c r="AP15" s="41">
        <f t="shared" si="20"/>
        <v>0</v>
      </c>
      <c r="AQ15" s="39"/>
      <c r="AR15" s="40">
        <f t="shared" si="21"/>
        <v>0</v>
      </c>
      <c r="AS15" s="41">
        <f t="shared" si="22"/>
        <v>0</v>
      </c>
      <c r="AT15" s="39"/>
      <c r="AU15" s="40">
        <f t="shared" si="23"/>
        <v>0</v>
      </c>
      <c r="AV15" s="41">
        <f t="shared" si="24"/>
        <v>0</v>
      </c>
      <c r="AW15" s="39"/>
      <c r="AX15" s="40">
        <f t="shared" si="25"/>
        <v>0</v>
      </c>
      <c r="AY15" s="41">
        <f t="shared" si="26"/>
        <v>0</v>
      </c>
      <c r="BA15" s="49">
        <f t="shared" si="34"/>
        <v>0</v>
      </c>
      <c r="BB15" s="50">
        <f t="shared" si="27"/>
        <v>0</v>
      </c>
      <c r="BC15" s="45">
        <f t="shared" si="28"/>
        <v>0</v>
      </c>
      <c r="BE15" s="43"/>
      <c r="BG15" s="46">
        <f t="shared" si="29"/>
        <v>0</v>
      </c>
      <c r="BH15" s="455">
        <f t="shared" si="35"/>
        <v>0</v>
      </c>
      <c r="BI15" s="43">
        <f t="shared" si="36"/>
        <v>0</v>
      </c>
      <c r="BJ15" s="43">
        <f t="shared" si="37"/>
        <v>0</v>
      </c>
      <c r="BK15" s="47">
        <f t="shared" si="38"/>
        <v>0</v>
      </c>
    </row>
    <row r="16" spans="2:63" x14ac:dyDescent="0.15">
      <c r="B16" s="26"/>
      <c r="C16" s="508" t="s">
        <v>185</v>
      </c>
      <c r="D16" s="509"/>
      <c r="E16" s="503">
        <f t="shared" si="0"/>
        <v>0</v>
      </c>
      <c r="F16" s="93">
        <f t="shared" si="1"/>
        <v>0</v>
      </c>
      <c r="G16" s="79"/>
      <c r="H16" s="503">
        <f t="shared" si="2"/>
        <v>0</v>
      </c>
      <c r="I16" s="41">
        <f t="shared" si="3"/>
        <v>0</v>
      </c>
      <c r="J16" s="85"/>
      <c r="K16" s="503">
        <f t="shared" si="4"/>
        <v>0</v>
      </c>
      <c r="L16" s="41">
        <f t="shared" si="39"/>
        <v>0</v>
      </c>
      <c r="M16" s="531">
        <v>12500000</v>
      </c>
      <c r="N16" s="503">
        <f t="shared" si="5"/>
        <v>0.16611295681063123</v>
      </c>
      <c r="O16" s="41">
        <f t="shared" si="30"/>
        <v>0.16318537859007834</v>
      </c>
      <c r="P16" s="520"/>
      <c r="Q16" s="503">
        <f t="shared" si="6"/>
        <v>0.16611295681063123</v>
      </c>
      <c r="R16" s="41">
        <f t="shared" si="31"/>
        <v>0.16318537859007834</v>
      </c>
      <c r="S16" s="520"/>
      <c r="T16" s="40">
        <f t="shared" si="7"/>
        <v>0.16611295681063123</v>
      </c>
      <c r="U16" s="42">
        <f t="shared" si="32"/>
        <v>0.16318537859007834</v>
      </c>
      <c r="V16" s="85"/>
      <c r="W16" s="40">
        <f t="shared" si="8"/>
        <v>0.16611295681063123</v>
      </c>
      <c r="X16" s="41">
        <f t="shared" si="33"/>
        <v>0.16318537859007834</v>
      </c>
      <c r="Y16" s="85"/>
      <c r="Z16" s="40">
        <f t="shared" si="9"/>
        <v>0.16611295681063123</v>
      </c>
      <c r="AA16" s="41">
        <f t="shared" si="10"/>
        <v>0.16318537859007834</v>
      </c>
      <c r="AB16" s="48"/>
      <c r="AC16" s="40">
        <f t="shared" si="11"/>
        <v>0.16611295681063123</v>
      </c>
      <c r="AD16" s="41">
        <f t="shared" si="12"/>
        <v>0.16318537859007834</v>
      </c>
      <c r="AE16" s="48"/>
      <c r="AF16" s="40">
        <f t="shared" si="13"/>
        <v>0.16611295681063123</v>
      </c>
      <c r="AG16" s="41">
        <f t="shared" si="14"/>
        <v>0.16318537859007834</v>
      </c>
      <c r="AH16" s="39"/>
      <c r="AI16" s="40">
        <f t="shared" si="15"/>
        <v>0.16611295681063123</v>
      </c>
      <c r="AJ16" s="41">
        <f t="shared" si="16"/>
        <v>0.16318537859007834</v>
      </c>
      <c r="AK16" s="39"/>
      <c r="AL16" s="40">
        <f t="shared" si="17"/>
        <v>0.16611295681063123</v>
      </c>
      <c r="AM16" s="41">
        <f t="shared" si="18"/>
        <v>0.16318537859007834</v>
      </c>
      <c r="AN16" s="39"/>
      <c r="AO16" s="40">
        <f t="shared" si="19"/>
        <v>0.16611295681063123</v>
      </c>
      <c r="AP16" s="41">
        <f t="shared" si="20"/>
        <v>0.16318537859007834</v>
      </c>
      <c r="AQ16" s="39"/>
      <c r="AR16" s="40">
        <f t="shared" si="21"/>
        <v>0.16611295681063123</v>
      </c>
      <c r="AS16" s="41">
        <f t="shared" si="22"/>
        <v>0.16318537859007834</v>
      </c>
      <c r="AT16" s="39"/>
      <c r="AU16" s="40">
        <f t="shared" si="23"/>
        <v>0.16611295681063123</v>
      </c>
      <c r="AV16" s="41">
        <f t="shared" si="24"/>
        <v>0.16297262059973924</v>
      </c>
      <c r="AW16" s="39"/>
      <c r="AX16" s="40">
        <f t="shared" si="25"/>
        <v>0.16611295681063123</v>
      </c>
      <c r="AY16" s="41">
        <f t="shared" si="26"/>
        <v>0.16288767266093301</v>
      </c>
      <c r="BA16" s="49">
        <f t="shared" si="34"/>
        <v>5813953.4883720931</v>
      </c>
      <c r="BB16" s="50">
        <f t="shared" si="27"/>
        <v>12500000</v>
      </c>
      <c r="BC16" s="45">
        <f t="shared" si="28"/>
        <v>0.1358695652173913</v>
      </c>
      <c r="BE16" s="43"/>
      <c r="BG16" s="46" t="str">
        <f t="shared" si="29"/>
        <v>Simulated VC</v>
      </c>
      <c r="BH16" s="455">
        <f t="shared" si="35"/>
        <v>49800796.812749006</v>
      </c>
      <c r="BI16" s="43">
        <f t="shared" si="36"/>
        <v>41500000</v>
      </c>
      <c r="BJ16" s="43">
        <f t="shared" si="37"/>
        <v>-8300796.8127490059</v>
      </c>
      <c r="BK16" s="47">
        <f t="shared" si="38"/>
        <v>-0.16668000000000002</v>
      </c>
    </row>
    <row r="17" spans="2:63" x14ac:dyDescent="0.15">
      <c r="B17" s="26"/>
      <c r="C17" s="508"/>
      <c r="D17" s="509"/>
      <c r="E17" s="503">
        <f t="shared" si="0"/>
        <v>0</v>
      </c>
      <c r="F17" s="93">
        <f t="shared" si="1"/>
        <v>0</v>
      </c>
      <c r="G17" s="79"/>
      <c r="H17" s="503">
        <f t="shared" si="2"/>
        <v>0</v>
      </c>
      <c r="I17" s="41">
        <f t="shared" si="3"/>
        <v>0</v>
      </c>
      <c r="J17" s="85"/>
      <c r="K17" s="503">
        <f t="shared" si="4"/>
        <v>0</v>
      </c>
      <c r="L17" s="41">
        <f t="shared" si="39"/>
        <v>0</v>
      </c>
      <c r="M17" s="532"/>
      <c r="N17" s="503">
        <f t="shared" si="5"/>
        <v>0</v>
      </c>
      <c r="O17" s="41">
        <f t="shared" si="30"/>
        <v>0</v>
      </c>
      <c r="P17" s="521"/>
      <c r="Q17" s="503">
        <f t="shared" si="6"/>
        <v>0</v>
      </c>
      <c r="R17" s="41">
        <f t="shared" si="31"/>
        <v>0</v>
      </c>
      <c r="S17" s="525"/>
      <c r="T17" s="40">
        <f t="shared" si="7"/>
        <v>0</v>
      </c>
      <c r="U17" s="42">
        <f t="shared" si="32"/>
        <v>0</v>
      </c>
      <c r="V17" s="85"/>
      <c r="W17" s="40">
        <f t="shared" si="8"/>
        <v>0</v>
      </c>
      <c r="X17" s="41">
        <f t="shared" si="33"/>
        <v>0</v>
      </c>
      <c r="Y17" s="85"/>
      <c r="Z17" s="40">
        <f t="shared" si="9"/>
        <v>0</v>
      </c>
      <c r="AA17" s="41">
        <f t="shared" si="10"/>
        <v>0</v>
      </c>
      <c r="AB17" s="48"/>
      <c r="AC17" s="40">
        <f t="shared" si="11"/>
        <v>0</v>
      </c>
      <c r="AD17" s="41">
        <f t="shared" si="12"/>
        <v>0</v>
      </c>
      <c r="AE17" s="48"/>
      <c r="AF17" s="40">
        <f t="shared" si="13"/>
        <v>0</v>
      </c>
      <c r="AG17" s="41">
        <f t="shared" si="14"/>
        <v>0</v>
      </c>
      <c r="AH17" s="39"/>
      <c r="AI17" s="40">
        <f t="shared" si="15"/>
        <v>0</v>
      </c>
      <c r="AJ17" s="41">
        <f t="shared" si="16"/>
        <v>0</v>
      </c>
      <c r="AK17" s="39"/>
      <c r="AL17" s="40">
        <f t="shared" si="17"/>
        <v>0</v>
      </c>
      <c r="AM17" s="41">
        <f t="shared" si="18"/>
        <v>0</v>
      </c>
      <c r="AN17" s="39"/>
      <c r="AO17" s="40">
        <f t="shared" si="19"/>
        <v>0</v>
      </c>
      <c r="AP17" s="41">
        <f t="shared" si="20"/>
        <v>0</v>
      </c>
      <c r="AQ17" s="39"/>
      <c r="AR17" s="40">
        <f t="shared" si="21"/>
        <v>0</v>
      </c>
      <c r="AS17" s="41">
        <f t="shared" si="22"/>
        <v>0</v>
      </c>
      <c r="AT17" s="39"/>
      <c r="AU17" s="40">
        <f t="shared" si="23"/>
        <v>0</v>
      </c>
      <c r="AV17" s="41">
        <f t="shared" si="24"/>
        <v>0</v>
      </c>
      <c r="AW17" s="39"/>
      <c r="AX17" s="40">
        <f t="shared" si="25"/>
        <v>0</v>
      </c>
      <c r="AY17" s="41">
        <f t="shared" si="26"/>
        <v>0</v>
      </c>
      <c r="BA17" s="49">
        <f t="shared" si="34"/>
        <v>0</v>
      </c>
      <c r="BB17" s="50">
        <f t="shared" si="27"/>
        <v>0</v>
      </c>
      <c r="BC17" s="45">
        <f t="shared" si="28"/>
        <v>0</v>
      </c>
      <c r="BE17" s="43"/>
      <c r="BG17" s="46">
        <f t="shared" si="29"/>
        <v>0</v>
      </c>
      <c r="BH17" s="455">
        <f t="shared" si="35"/>
        <v>0</v>
      </c>
      <c r="BI17" s="43">
        <f t="shared" si="36"/>
        <v>0</v>
      </c>
      <c r="BJ17" s="43">
        <f t="shared" si="37"/>
        <v>0</v>
      </c>
      <c r="BK17" s="47">
        <f t="shared" si="38"/>
        <v>0</v>
      </c>
    </row>
    <row r="18" spans="2:63" x14ac:dyDescent="0.15">
      <c r="B18" s="26"/>
      <c r="C18" s="508"/>
      <c r="D18" s="509"/>
      <c r="E18" s="503">
        <f t="shared" si="0"/>
        <v>0</v>
      </c>
      <c r="F18" s="93">
        <f t="shared" si="1"/>
        <v>0</v>
      </c>
      <c r="G18" s="79"/>
      <c r="H18" s="503">
        <f t="shared" si="2"/>
        <v>0</v>
      </c>
      <c r="I18" s="41">
        <f t="shared" si="3"/>
        <v>0</v>
      </c>
      <c r="J18" s="85"/>
      <c r="K18" s="503">
        <f t="shared" si="4"/>
        <v>0</v>
      </c>
      <c r="L18" s="41">
        <f>(J18+G18+D18)/$J$71</f>
        <v>0</v>
      </c>
      <c r="M18" s="532"/>
      <c r="N18" s="503">
        <f t="shared" si="5"/>
        <v>0</v>
      </c>
      <c r="O18" s="41">
        <f t="shared" si="30"/>
        <v>0</v>
      </c>
      <c r="P18" s="521"/>
      <c r="Q18" s="503">
        <f t="shared" si="6"/>
        <v>0</v>
      </c>
      <c r="R18" s="41">
        <f t="shared" si="31"/>
        <v>0</v>
      </c>
      <c r="S18" s="525"/>
      <c r="T18" s="40">
        <f t="shared" si="7"/>
        <v>0</v>
      </c>
      <c r="U18" s="42">
        <f t="shared" si="32"/>
        <v>0</v>
      </c>
      <c r="V18" s="85"/>
      <c r="W18" s="40">
        <f t="shared" si="8"/>
        <v>0</v>
      </c>
      <c r="X18" s="41">
        <f t="shared" si="33"/>
        <v>0</v>
      </c>
      <c r="Y18" s="85"/>
      <c r="Z18" s="40">
        <f t="shared" si="9"/>
        <v>0</v>
      </c>
      <c r="AA18" s="41">
        <f t="shared" si="10"/>
        <v>0</v>
      </c>
      <c r="AB18" s="48"/>
      <c r="AC18" s="40">
        <f t="shared" si="11"/>
        <v>0</v>
      </c>
      <c r="AD18" s="41">
        <f t="shared" si="12"/>
        <v>0</v>
      </c>
      <c r="AE18" s="48"/>
      <c r="AF18" s="40">
        <f t="shared" si="13"/>
        <v>0</v>
      </c>
      <c r="AG18" s="41">
        <f t="shared" si="14"/>
        <v>0</v>
      </c>
      <c r="AH18" s="39"/>
      <c r="AI18" s="40">
        <f t="shared" si="15"/>
        <v>0</v>
      </c>
      <c r="AJ18" s="41">
        <f t="shared" si="16"/>
        <v>0</v>
      </c>
      <c r="AK18" s="39"/>
      <c r="AL18" s="40">
        <f t="shared" si="17"/>
        <v>0</v>
      </c>
      <c r="AM18" s="41">
        <f t="shared" si="18"/>
        <v>0</v>
      </c>
      <c r="AN18" s="39"/>
      <c r="AO18" s="40">
        <f t="shared" si="19"/>
        <v>0</v>
      </c>
      <c r="AP18" s="41">
        <f t="shared" si="20"/>
        <v>0</v>
      </c>
      <c r="AQ18" s="39"/>
      <c r="AR18" s="40">
        <f t="shared" si="21"/>
        <v>0</v>
      </c>
      <c r="AS18" s="41">
        <f t="shared" si="22"/>
        <v>0</v>
      </c>
      <c r="AT18" s="39"/>
      <c r="AU18" s="40">
        <f t="shared" si="23"/>
        <v>0</v>
      </c>
      <c r="AV18" s="41">
        <f t="shared" si="24"/>
        <v>0</v>
      </c>
      <c r="AW18" s="39"/>
      <c r="AX18" s="40">
        <f t="shared" si="25"/>
        <v>0</v>
      </c>
      <c r="AY18" s="41">
        <f t="shared" si="26"/>
        <v>0</v>
      </c>
      <c r="BA18" s="49">
        <f t="shared" si="34"/>
        <v>0</v>
      </c>
      <c r="BB18" s="50">
        <f t="shared" si="27"/>
        <v>0</v>
      </c>
      <c r="BC18" s="45">
        <f t="shared" si="28"/>
        <v>0</v>
      </c>
      <c r="BE18" s="43"/>
      <c r="BG18" s="46">
        <f t="shared" si="29"/>
        <v>0</v>
      </c>
      <c r="BH18" s="455">
        <f t="shared" si="35"/>
        <v>0</v>
      </c>
      <c r="BI18" s="43">
        <f t="shared" si="36"/>
        <v>0</v>
      </c>
      <c r="BJ18" s="43">
        <f t="shared" si="37"/>
        <v>0</v>
      </c>
      <c r="BK18" s="47">
        <f t="shared" si="38"/>
        <v>0</v>
      </c>
    </row>
    <row r="19" spans="2:63" x14ac:dyDescent="0.15">
      <c r="B19" s="26"/>
      <c r="C19" s="508"/>
      <c r="D19" s="509"/>
      <c r="E19" s="503">
        <f t="shared" si="0"/>
        <v>0</v>
      </c>
      <c r="F19" s="93">
        <f t="shared" si="1"/>
        <v>0</v>
      </c>
      <c r="G19" s="79"/>
      <c r="H19" s="503">
        <f t="shared" si="2"/>
        <v>0</v>
      </c>
      <c r="I19" s="41">
        <f t="shared" si="3"/>
        <v>0</v>
      </c>
      <c r="J19" s="85"/>
      <c r="K19" s="503">
        <f t="shared" si="4"/>
        <v>0</v>
      </c>
      <c r="L19" s="41">
        <f>(J19+G19+D19)/$J$71</f>
        <v>0</v>
      </c>
      <c r="M19" s="532"/>
      <c r="N19" s="503">
        <f t="shared" si="5"/>
        <v>0</v>
      </c>
      <c r="O19" s="41">
        <f t="shared" si="30"/>
        <v>0</v>
      </c>
      <c r="P19" s="521"/>
      <c r="Q19" s="503">
        <f t="shared" si="6"/>
        <v>0</v>
      </c>
      <c r="R19" s="41">
        <f t="shared" si="31"/>
        <v>0</v>
      </c>
      <c r="S19" s="525"/>
      <c r="T19" s="40">
        <f t="shared" si="7"/>
        <v>0</v>
      </c>
      <c r="U19" s="42">
        <f t="shared" si="32"/>
        <v>0</v>
      </c>
      <c r="V19" s="85"/>
      <c r="W19" s="40">
        <f t="shared" si="8"/>
        <v>0</v>
      </c>
      <c r="X19" s="41">
        <f t="shared" si="33"/>
        <v>0</v>
      </c>
      <c r="Y19" s="85"/>
      <c r="Z19" s="40">
        <f t="shared" si="9"/>
        <v>0</v>
      </c>
      <c r="AA19" s="41">
        <f t="shared" si="10"/>
        <v>0</v>
      </c>
      <c r="AB19" s="48"/>
      <c r="AC19" s="40">
        <f t="shared" si="11"/>
        <v>0</v>
      </c>
      <c r="AD19" s="41">
        <f t="shared" si="12"/>
        <v>0</v>
      </c>
      <c r="AE19" s="48"/>
      <c r="AF19" s="40">
        <f t="shared" si="13"/>
        <v>0</v>
      </c>
      <c r="AG19" s="41">
        <f t="shared" si="14"/>
        <v>0</v>
      </c>
      <c r="AH19" s="39"/>
      <c r="AI19" s="40">
        <f t="shared" si="15"/>
        <v>0</v>
      </c>
      <c r="AJ19" s="41">
        <f t="shared" si="16"/>
        <v>0</v>
      </c>
      <c r="AK19" s="39"/>
      <c r="AL19" s="40">
        <f t="shared" si="17"/>
        <v>0</v>
      </c>
      <c r="AM19" s="41">
        <f t="shared" si="18"/>
        <v>0</v>
      </c>
      <c r="AN19" s="39"/>
      <c r="AO19" s="40">
        <f t="shared" si="19"/>
        <v>0</v>
      </c>
      <c r="AP19" s="41">
        <f t="shared" si="20"/>
        <v>0</v>
      </c>
      <c r="AQ19" s="39"/>
      <c r="AR19" s="40">
        <f t="shared" si="21"/>
        <v>0</v>
      </c>
      <c r="AS19" s="41">
        <f t="shared" si="22"/>
        <v>0</v>
      </c>
      <c r="AT19" s="39"/>
      <c r="AU19" s="40">
        <f t="shared" si="23"/>
        <v>0</v>
      </c>
      <c r="AV19" s="41">
        <f t="shared" si="24"/>
        <v>0</v>
      </c>
      <c r="AW19" s="39"/>
      <c r="AX19" s="40">
        <f t="shared" si="25"/>
        <v>0</v>
      </c>
      <c r="AY19" s="41">
        <f t="shared" si="26"/>
        <v>0</v>
      </c>
      <c r="BA19" s="49">
        <f t="shared" si="34"/>
        <v>0</v>
      </c>
      <c r="BB19" s="50">
        <f t="shared" si="27"/>
        <v>0</v>
      </c>
      <c r="BC19" s="45">
        <f t="shared" si="28"/>
        <v>0</v>
      </c>
      <c r="BE19" s="43"/>
      <c r="BG19" s="46">
        <f t="shared" si="29"/>
        <v>0</v>
      </c>
      <c r="BH19" s="455">
        <f t="shared" si="35"/>
        <v>0</v>
      </c>
      <c r="BI19" s="43">
        <f t="shared" si="36"/>
        <v>0</v>
      </c>
      <c r="BJ19" s="43">
        <f t="shared" si="37"/>
        <v>0</v>
      </c>
      <c r="BK19" s="47">
        <f t="shared" si="38"/>
        <v>0</v>
      </c>
    </row>
    <row r="20" spans="2:63" s="19" customFormat="1" x14ac:dyDescent="0.15">
      <c r="B20" s="26"/>
      <c r="C20" s="53"/>
      <c r="D20" s="54"/>
      <c r="E20" s="504">
        <f>SUM(E10:E19)</f>
        <v>1</v>
      </c>
      <c r="F20" s="58"/>
      <c r="G20" s="29"/>
      <c r="H20" s="505">
        <f>SUM(H10:H19)</f>
        <v>1</v>
      </c>
      <c r="I20" s="57"/>
      <c r="J20" s="512"/>
      <c r="K20" s="505">
        <f>SUM(K10:K19)</f>
        <v>1</v>
      </c>
      <c r="L20" s="57"/>
      <c r="M20" s="516"/>
      <c r="N20" s="505">
        <f>SUM(N10:N19)</f>
        <v>1</v>
      </c>
      <c r="O20" s="57"/>
      <c r="P20" s="516"/>
      <c r="Q20" s="505">
        <f>SUM(Q10:Q19)</f>
        <v>1</v>
      </c>
      <c r="R20" s="57"/>
      <c r="S20" s="527"/>
      <c r="T20" s="55">
        <f>SUM(T10:T19)</f>
        <v>1</v>
      </c>
      <c r="U20" s="58"/>
      <c r="V20" s="512"/>
      <c r="W20" s="55">
        <f>SUM(W10:W19)</f>
        <v>1</v>
      </c>
      <c r="X20" s="59"/>
      <c r="Y20" s="512"/>
      <c r="Z20" s="55">
        <f>SUM(Z10:Z19)</f>
        <v>1</v>
      </c>
      <c r="AA20" s="59"/>
      <c r="AB20" s="54"/>
      <c r="AC20" s="55">
        <f>SUM(AC10:AC19)</f>
        <v>1</v>
      </c>
      <c r="AD20" s="59"/>
      <c r="AE20" s="54"/>
      <c r="AF20" s="55">
        <f>SUM(AF10:AF19)</f>
        <v>1</v>
      </c>
      <c r="AG20" s="59"/>
      <c r="AH20" s="54"/>
      <c r="AI20" s="55">
        <f>SUM(AI10:AI19)</f>
        <v>1</v>
      </c>
      <c r="AJ20" s="59"/>
      <c r="AK20" s="54"/>
      <c r="AL20" s="55">
        <f>SUM(AL10:AL19)</f>
        <v>1</v>
      </c>
      <c r="AM20" s="59"/>
      <c r="AN20" s="54"/>
      <c r="AO20" s="55">
        <f>SUM(AO10:AO19)</f>
        <v>1</v>
      </c>
      <c r="AP20" s="59"/>
      <c r="AQ20" s="54"/>
      <c r="AR20" s="55">
        <f>SUM(AR10:AR19)</f>
        <v>0.16611295681063123</v>
      </c>
      <c r="AS20" s="59"/>
      <c r="AT20" s="54"/>
      <c r="AU20" s="55">
        <f>SUM(AU10:AU19)</f>
        <v>1</v>
      </c>
      <c r="AV20" s="59"/>
      <c r="AW20" s="54"/>
      <c r="AX20" s="55">
        <f>SUM(AX10:AX19)</f>
        <v>1</v>
      </c>
      <c r="AY20" s="59"/>
      <c r="BA20" s="60"/>
      <c r="BB20" s="61"/>
      <c r="BC20" s="62"/>
      <c r="BE20" s="63"/>
      <c r="BH20" s="63">
        <f>SUM(BH10:BH19)</f>
        <v>49863546.812749006</v>
      </c>
      <c r="BI20" s="63">
        <f>SUM(BI10:BI19)</f>
        <v>249830000</v>
      </c>
      <c r="BJ20" s="63">
        <f>SUM(BJ10:BJ19)</f>
        <v>199966453.187251</v>
      </c>
    </row>
    <row r="21" spans="2:63" s="19" customFormat="1" x14ac:dyDescent="0.15">
      <c r="B21" s="18" t="s">
        <v>79</v>
      </c>
      <c r="C21" s="64"/>
      <c r="D21" s="32"/>
      <c r="E21" s="453"/>
      <c r="F21" s="454"/>
      <c r="G21" s="67"/>
      <c r="H21" s="65"/>
      <c r="I21" s="68"/>
      <c r="J21" s="513"/>
      <c r="K21" s="65"/>
      <c r="L21" s="68"/>
      <c r="M21" s="517"/>
      <c r="N21" s="65"/>
      <c r="O21" s="68"/>
      <c r="P21" s="517"/>
      <c r="Q21" s="65"/>
      <c r="R21" s="68"/>
      <c r="S21" s="528"/>
      <c r="T21" s="65"/>
      <c r="U21" s="66"/>
      <c r="V21" s="513"/>
      <c r="W21" s="65"/>
      <c r="X21" s="68"/>
      <c r="Y21" s="513"/>
      <c r="Z21" s="65"/>
      <c r="AA21" s="68"/>
      <c r="AB21" s="67"/>
      <c r="AC21" s="65"/>
      <c r="AD21" s="68"/>
      <c r="AE21" s="67"/>
      <c r="AF21" s="65"/>
      <c r="AG21" s="68"/>
      <c r="AH21" s="67"/>
      <c r="AI21" s="65"/>
      <c r="AJ21" s="68"/>
      <c r="AK21" s="67"/>
      <c r="AL21" s="65"/>
      <c r="AM21" s="68"/>
      <c r="AN21" s="67"/>
      <c r="AO21" s="65"/>
      <c r="AP21" s="68"/>
      <c r="AQ21" s="67"/>
      <c r="AR21" s="65"/>
      <c r="AS21" s="68"/>
      <c r="AT21" s="67"/>
      <c r="AU21" s="65"/>
      <c r="AV21" s="68"/>
      <c r="AW21" s="67"/>
      <c r="AX21" s="65"/>
      <c r="AY21" s="68"/>
      <c r="BA21" s="69"/>
      <c r="BB21" s="70"/>
      <c r="BC21" s="62"/>
      <c r="BE21" s="63"/>
      <c r="BH21" s="38" t="s">
        <v>159</v>
      </c>
      <c r="BI21" s="38" t="s">
        <v>160</v>
      </c>
      <c r="BJ21" s="38" t="s">
        <v>161</v>
      </c>
    </row>
    <row r="22" spans="2:63" s="19" customFormat="1" x14ac:dyDescent="0.15">
      <c r="B22" s="26"/>
      <c r="C22" s="508" t="s">
        <v>190</v>
      </c>
      <c r="D22" s="85"/>
      <c r="E22" s="503">
        <f t="shared" ref="E22:E27" si="40">D22/D$70</f>
        <v>0</v>
      </c>
      <c r="F22" s="41">
        <f t="shared" ref="F22:F27" si="41">D22/$D$65</f>
        <v>0</v>
      </c>
      <c r="G22" s="507">
        <v>250000</v>
      </c>
      <c r="H22" s="503">
        <f t="shared" ref="H22:H27" si="42">(G22+D22)/G$70</f>
        <v>3.9840637450199202E-3</v>
      </c>
      <c r="I22" s="41">
        <f t="shared" ref="I22:I27" si="43">(G22+D22)/$G$71</f>
        <v>3.9123630672926448E-3</v>
      </c>
      <c r="J22" s="79"/>
      <c r="K22" s="40">
        <f t="shared" ref="K22:K27" si="44">(J22+G22+D22)/J$70</f>
        <v>3.9840637450199202E-3</v>
      </c>
      <c r="L22" s="41">
        <f t="shared" ref="L22:L27" si="45">(J22+G22+D22)/$J$71</f>
        <v>3.9001560062402497E-3</v>
      </c>
      <c r="M22" s="515"/>
      <c r="N22" s="40">
        <f t="shared" ref="N22:N27" si="46">(D22+M22+J22+G22)/M$70</f>
        <v>3.3222591362126247E-3</v>
      </c>
      <c r="O22" s="41">
        <f t="shared" ref="O22:O27" si="47">(D22+G22+J22+M22)/$M$71</f>
        <v>3.2637075718015664E-3</v>
      </c>
      <c r="P22" s="520"/>
      <c r="Q22" s="40">
        <f t="shared" ref="Q22:Q27" si="48">(D22+G22+P22+M22+J22)/P$70</f>
        <v>3.3222591362126247E-3</v>
      </c>
      <c r="R22" s="41">
        <f t="shared" ref="R22:R27" si="49">(D22+G22+J22+M22+P22)/$P$71</f>
        <v>3.2637075718015664E-3</v>
      </c>
      <c r="S22" s="520"/>
      <c r="T22" s="40">
        <f t="shared" ref="T22:T27" si="50">(D22+G22+J22+S22+P22+M22)/S$70</f>
        <v>3.3222591362126247E-3</v>
      </c>
      <c r="U22" s="42">
        <f t="shared" ref="U22:U27" si="51">(S22+P22+J22+M22+G22+D22)/$S$71</f>
        <v>3.2637075718015664E-3</v>
      </c>
      <c r="V22" s="79"/>
      <c r="W22" s="40">
        <f t="shared" ref="W22:W27" si="52">(D22+G22+J22+M22+V22+S22+P22)/V$70</f>
        <v>3.3222591362126247E-3</v>
      </c>
      <c r="X22" s="41">
        <f t="shared" ref="X22:X27" si="53">(M22+V22+J22+G22+D22+P22+S22)/V$71</f>
        <v>3.2637075718015664E-3</v>
      </c>
      <c r="Y22" s="79"/>
      <c r="Z22" s="40">
        <f t="shared" ref="Z22:Z27" si="54">(D22+G22+J22+M22+P22+Y22+V22+S22)/Y$70</f>
        <v>3.3222591362126247E-3</v>
      </c>
      <c r="AA22" s="41">
        <f t="shared" ref="AA22:AA27" si="55">(D22+P22+Y22+M22+J22+G22+S22+V22)/$Y$71</f>
        <v>3.2637075718015664E-3</v>
      </c>
      <c r="AB22" s="39"/>
      <c r="AC22" s="40">
        <f t="shared" ref="AC22:AC27" si="56">(D22+G22+J22+M22+P22+S22+AB22+Y22+V22)/AB$70</f>
        <v>3.3222591362126247E-3</v>
      </c>
      <c r="AD22" s="41">
        <f t="shared" ref="AD22:AD27" si="57">(D22+G22+J22+M22+P22+S22+V22+Y22+AB22)/AB$71</f>
        <v>3.2637075718015664E-3</v>
      </c>
      <c r="AE22" s="39"/>
      <c r="AF22" s="40">
        <f t="shared" ref="AF22:AF27" si="58">(D22+G22+J22+M22+P22+S22+V22+AE22+AB22+Y22)/AE$70</f>
        <v>3.3222591362126247E-3</v>
      </c>
      <c r="AG22" s="41">
        <f t="shared" ref="AG22:AG27" si="59">(D22+G22+J22+M22+P22+S22+V22+Y22+AB22+AE22)/AE$71</f>
        <v>3.2637075718015664E-3</v>
      </c>
      <c r="AH22" s="39"/>
      <c r="AI22" s="40">
        <f t="shared" ref="AI22:AI27" si="60">(D22+G22+J22+M22+P22+S22+V22+Y22+AH22+AE22+AB22)/AH$70</f>
        <v>3.3222591362126247E-3</v>
      </c>
      <c r="AJ22" s="41">
        <f t="shared" ref="AJ22:AJ27" si="61">(D22+G22+J22+M22+P22+S22+V22+Y22+AB22+A22+AE22+AH22)/AH$71</f>
        <v>3.2637075718015664E-3</v>
      </c>
      <c r="AK22" s="39"/>
      <c r="AL22" s="40">
        <f t="shared" ref="AL22:AL27" si="62">(D22+G22+J22+M22+P22+S22+V22+Y22+AB22+AK22+AH22+AE22)/AK$70</f>
        <v>3.3222591362126247E-3</v>
      </c>
      <c r="AM22" s="41">
        <f t="shared" ref="AM22:AM27" si="63">(D22+G22+J22+M22+P22+S22+V22+Y22+AB22+AE22+AH22+AK22)/AK$71</f>
        <v>3.2637075718015664E-3</v>
      </c>
      <c r="AN22" s="39"/>
      <c r="AO22" s="40">
        <f t="shared" ref="AO22:AO27" si="64">(D22+G22+J22+M22+P22+S22+V22+Y22+AB22+AE22+AN22+AK22+AH22)/AN$70</f>
        <v>3.3222591362126247E-3</v>
      </c>
      <c r="AP22" s="41">
        <f t="shared" ref="AP22:AP27" si="65">(D22+G22+J22+M22+P22+S22+V22+Y22+AB22+AE22+AH22+AK22+AN22)/AN$71</f>
        <v>3.2637075718015664E-3</v>
      </c>
      <c r="AQ22" s="39"/>
      <c r="AR22" s="40">
        <f t="shared" ref="AR22:AR27" si="66">(D234+G22+J22+M22+P22+S22+V22+Y22+AB22+AE22+AH22+AQ22+AN22+AK22)/AQ$70</f>
        <v>3.3222591362126247E-3</v>
      </c>
      <c r="AS22" s="41">
        <f t="shared" ref="AS22:AS27" si="67">(D22+G22+J22+M22+P22+S22+V22+Y22+AB22+AE22+AH22+AK22+AN22+AQ22)/AQ$71</f>
        <v>3.2637075718015664E-3</v>
      </c>
      <c r="AT22" s="39"/>
      <c r="AU22" s="40">
        <f t="shared" ref="AU22:AU27" si="68">(D22+G234+J22+M22+P22+S22+V22+Y22+AB22+AE22+AH22+AK22+AT22+AQ22+AN22)/AT$70</f>
        <v>0</v>
      </c>
      <c r="AV22" s="41">
        <f t="shared" ref="AV22:AV27" si="69">(D22+G22+J22+M22+P22+S22+V22+Y22+AB22+AE22+AH22+AK22+AN22+AQ22+AT22)/AT$71</f>
        <v>3.259452411994785E-3</v>
      </c>
      <c r="AW22" s="39"/>
      <c r="AX22" s="40">
        <f t="shared" ref="AX22:AX27" si="70">(D22+G22+J234+M22+P22+S22+V22+Y22+AB22+AE22+AH22+AK22+AN22+AW22+AT22+AQ22)/AW$70</f>
        <v>3.3222591362126247E-3</v>
      </c>
      <c r="AY22" s="41">
        <f t="shared" ref="AY22:AY27" si="71">(D22+G22+J22+M22+P22+S22+V22+Y22+AB22+AE22+AH22+AK22+AN22+AQ22+AT22+AW22)/AW$71</f>
        <v>3.2577534532186605E-3</v>
      </c>
      <c r="BA22" s="43">
        <f>BB22*AE$6</f>
        <v>116279.06976744186</v>
      </c>
      <c r="BB22" s="44">
        <f>M22+V22+S22+P22+J22+G22+D22+Y22+AB22+AE22+AH22+AK22+AN22+AQ22+AT22+AW22</f>
        <v>250000</v>
      </c>
      <c r="BC22" s="45">
        <f>BB22/$BB$66</f>
        <v>2.717391304347826E-3</v>
      </c>
      <c r="BE22" s="43">
        <f>(BB22*AE$6)-((G22*G$6)+(J22*J$6)+(M22*M$6)+(P22*P$6)+(S22*S$6)+(V22*V$6)+(Y22*Y$6)+(AB22*AB$6))</f>
        <v>114287.0378949319</v>
      </c>
      <c r="BG22" s="46" t="str">
        <f>C22</f>
        <v>Seed Round Loan</v>
      </c>
      <c r="BH22" s="43">
        <f>(G22*G$21)+(J22*J$21)+(M22*M$21)+(P22*P$21)+(S22*S$21)+(V22*V$21)+(Y22*Y$21)+(AB22*AB$21)+(AE22*AE$21)+(AH22*AH$21)+(AK22*AK$21)+(AN22*AN$21)</f>
        <v>0</v>
      </c>
      <c r="BI22" s="43">
        <f>BB22*AW$6</f>
        <v>830000</v>
      </c>
      <c r="BJ22" s="43">
        <f>BI22-BH22</f>
        <v>830000</v>
      </c>
      <c r="BK22" s="47">
        <f>IFERROR(BJ22/BH22,0)</f>
        <v>0</v>
      </c>
    </row>
    <row r="23" spans="2:63" s="19" customFormat="1" x14ac:dyDescent="0.15">
      <c r="B23" s="26"/>
      <c r="C23" s="508"/>
      <c r="D23" s="85"/>
      <c r="E23" s="503">
        <f t="shared" si="40"/>
        <v>0</v>
      </c>
      <c r="F23" s="41">
        <f t="shared" si="41"/>
        <v>0</v>
      </c>
      <c r="G23" s="507"/>
      <c r="H23" s="503">
        <f t="shared" si="42"/>
        <v>0</v>
      </c>
      <c r="I23" s="41">
        <f t="shared" si="43"/>
        <v>0</v>
      </c>
      <c r="J23" s="79"/>
      <c r="K23" s="40">
        <f t="shared" si="44"/>
        <v>0</v>
      </c>
      <c r="L23" s="41">
        <f t="shared" si="45"/>
        <v>0</v>
      </c>
      <c r="M23" s="515"/>
      <c r="N23" s="40">
        <f t="shared" si="46"/>
        <v>0</v>
      </c>
      <c r="O23" s="41">
        <f t="shared" si="47"/>
        <v>0</v>
      </c>
      <c r="P23" s="520"/>
      <c r="Q23" s="40">
        <f t="shared" si="48"/>
        <v>0</v>
      </c>
      <c r="R23" s="41">
        <f t="shared" si="49"/>
        <v>0</v>
      </c>
      <c r="S23" s="520"/>
      <c r="T23" s="40">
        <f t="shared" si="50"/>
        <v>0</v>
      </c>
      <c r="U23" s="42">
        <f t="shared" si="51"/>
        <v>0</v>
      </c>
      <c r="V23" s="79"/>
      <c r="W23" s="40">
        <f t="shared" si="52"/>
        <v>0</v>
      </c>
      <c r="X23" s="41">
        <f t="shared" si="53"/>
        <v>0</v>
      </c>
      <c r="Y23" s="79"/>
      <c r="Z23" s="40">
        <f t="shared" si="54"/>
        <v>0</v>
      </c>
      <c r="AA23" s="41">
        <f t="shared" si="55"/>
        <v>0</v>
      </c>
      <c r="AB23" s="39"/>
      <c r="AC23" s="40">
        <f t="shared" si="56"/>
        <v>0</v>
      </c>
      <c r="AD23" s="41">
        <f t="shared" si="57"/>
        <v>0</v>
      </c>
      <c r="AE23" s="39"/>
      <c r="AF23" s="40">
        <f t="shared" si="58"/>
        <v>0</v>
      </c>
      <c r="AG23" s="41">
        <f t="shared" si="59"/>
        <v>0</v>
      </c>
      <c r="AH23" s="39"/>
      <c r="AI23" s="40">
        <f t="shared" si="60"/>
        <v>0</v>
      </c>
      <c r="AJ23" s="41">
        <f t="shared" si="61"/>
        <v>0</v>
      </c>
      <c r="AK23" s="39"/>
      <c r="AL23" s="40">
        <f t="shared" si="62"/>
        <v>0</v>
      </c>
      <c r="AM23" s="41">
        <f t="shared" si="63"/>
        <v>0</v>
      </c>
      <c r="AN23" s="39"/>
      <c r="AO23" s="40">
        <f t="shared" si="64"/>
        <v>0</v>
      </c>
      <c r="AP23" s="41">
        <f t="shared" si="65"/>
        <v>0</v>
      </c>
      <c r="AQ23" s="39"/>
      <c r="AR23" s="40">
        <f t="shared" si="66"/>
        <v>0</v>
      </c>
      <c r="AS23" s="41">
        <f t="shared" si="67"/>
        <v>0</v>
      </c>
      <c r="AT23" s="39"/>
      <c r="AU23" s="40">
        <f t="shared" si="68"/>
        <v>0</v>
      </c>
      <c r="AV23" s="41">
        <f t="shared" si="69"/>
        <v>0</v>
      </c>
      <c r="AW23" s="39"/>
      <c r="AX23" s="40">
        <f t="shared" si="70"/>
        <v>0</v>
      </c>
      <c r="AY23" s="41">
        <f t="shared" si="71"/>
        <v>0</v>
      </c>
      <c r="BA23" s="49">
        <f>BB23*AE$6</f>
        <v>0</v>
      </c>
      <c r="BB23" s="50">
        <f>M23+V23+S23+P23+J23+G23+D23+Y23+AB23+AE23+AH23+AK23+AN23+AQ23+AT23+AW23</f>
        <v>0</v>
      </c>
      <c r="BC23" s="45">
        <f>BB23/$BB$66</f>
        <v>0</v>
      </c>
      <c r="BE23" s="43"/>
      <c r="BG23" s="46">
        <f>C23</f>
        <v>0</v>
      </c>
      <c r="BH23" s="43">
        <f>(G23*G$21)+(J23*J$21)+(M23*M$21)+(P23*P$21)+(S23*S$21)+(V23*V$21)+(Y23*Y$21)+(AB23*AB$21)+(AE23*AE$21)+(AH23*AH$21)+(AK23*AK$21)+(AN23*AN$21)</f>
        <v>0</v>
      </c>
      <c r="BI23" s="43">
        <f>BB23*AW$6</f>
        <v>0</v>
      </c>
      <c r="BJ23" s="43">
        <f>BI23-BH23</f>
        <v>0</v>
      </c>
      <c r="BK23" s="47">
        <f>IFERROR(BJ23/BH23,0)</f>
        <v>0</v>
      </c>
    </row>
    <row r="24" spans="2:63" s="19" customFormat="1" x14ac:dyDescent="0.15">
      <c r="B24" s="26"/>
      <c r="C24" s="508"/>
      <c r="D24" s="85"/>
      <c r="E24" s="503">
        <f t="shared" si="40"/>
        <v>0</v>
      </c>
      <c r="F24" s="41">
        <f t="shared" si="41"/>
        <v>0</v>
      </c>
      <c r="G24" s="507"/>
      <c r="H24" s="503">
        <f t="shared" si="42"/>
        <v>0</v>
      </c>
      <c r="I24" s="41">
        <f t="shared" si="43"/>
        <v>0</v>
      </c>
      <c r="J24" s="79"/>
      <c r="K24" s="40">
        <f t="shared" si="44"/>
        <v>0</v>
      </c>
      <c r="L24" s="41">
        <f t="shared" si="45"/>
        <v>0</v>
      </c>
      <c r="M24" s="515"/>
      <c r="N24" s="40">
        <f t="shared" si="46"/>
        <v>0</v>
      </c>
      <c r="O24" s="41">
        <f t="shared" si="47"/>
        <v>0</v>
      </c>
      <c r="P24" s="520"/>
      <c r="Q24" s="40">
        <f t="shared" si="48"/>
        <v>0</v>
      </c>
      <c r="R24" s="41">
        <f t="shared" si="49"/>
        <v>0</v>
      </c>
      <c r="S24" s="520"/>
      <c r="T24" s="40">
        <f t="shared" si="50"/>
        <v>0</v>
      </c>
      <c r="U24" s="42">
        <f t="shared" si="51"/>
        <v>0</v>
      </c>
      <c r="V24" s="79"/>
      <c r="W24" s="40">
        <f t="shared" si="52"/>
        <v>0</v>
      </c>
      <c r="X24" s="41">
        <f t="shared" si="53"/>
        <v>0</v>
      </c>
      <c r="Y24" s="79"/>
      <c r="Z24" s="40">
        <f t="shared" si="54"/>
        <v>0</v>
      </c>
      <c r="AA24" s="41">
        <f t="shared" si="55"/>
        <v>0</v>
      </c>
      <c r="AB24" s="39"/>
      <c r="AC24" s="40">
        <f t="shared" si="56"/>
        <v>0</v>
      </c>
      <c r="AD24" s="41">
        <f t="shared" si="57"/>
        <v>0</v>
      </c>
      <c r="AE24" s="39"/>
      <c r="AF24" s="40">
        <f t="shared" si="58"/>
        <v>0</v>
      </c>
      <c r="AG24" s="41">
        <f t="shared" si="59"/>
        <v>0</v>
      </c>
      <c r="AH24" s="39"/>
      <c r="AI24" s="40">
        <f t="shared" si="60"/>
        <v>0</v>
      </c>
      <c r="AJ24" s="41">
        <f t="shared" si="61"/>
        <v>0</v>
      </c>
      <c r="AK24" s="39"/>
      <c r="AL24" s="40">
        <f t="shared" si="62"/>
        <v>0</v>
      </c>
      <c r="AM24" s="41">
        <f t="shared" si="63"/>
        <v>0</v>
      </c>
      <c r="AN24" s="39"/>
      <c r="AO24" s="40">
        <f t="shared" si="64"/>
        <v>0</v>
      </c>
      <c r="AP24" s="41">
        <f t="shared" si="65"/>
        <v>0</v>
      </c>
      <c r="AQ24" s="39"/>
      <c r="AR24" s="40">
        <f t="shared" si="66"/>
        <v>0</v>
      </c>
      <c r="AS24" s="41">
        <f t="shared" si="67"/>
        <v>0</v>
      </c>
      <c r="AT24" s="39"/>
      <c r="AU24" s="40">
        <f t="shared" si="68"/>
        <v>0</v>
      </c>
      <c r="AV24" s="41">
        <f t="shared" si="69"/>
        <v>0</v>
      </c>
      <c r="AW24" s="39"/>
      <c r="AX24" s="40">
        <f t="shared" si="70"/>
        <v>0</v>
      </c>
      <c r="AY24" s="41">
        <f t="shared" si="71"/>
        <v>0</v>
      </c>
      <c r="BA24" s="49">
        <f>BB24*AE$6</f>
        <v>0</v>
      </c>
      <c r="BB24" s="50">
        <f>M24+V24+S24+P24+J24+G24+D24+Y24+AB24+AE24+AH24+AK24+AN24+AQ24+AT24+AW24</f>
        <v>0</v>
      </c>
      <c r="BC24" s="45">
        <f>BB24/$BB$66</f>
        <v>0</v>
      </c>
      <c r="BE24" s="43"/>
      <c r="BG24" s="46">
        <f>C24</f>
        <v>0</v>
      </c>
      <c r="BH24" s="43">
        <f>(G24*G$21)+(J24*J$21)+(M24*M$21)+(P24*P$21)+(S24*S$21)+(V24*V$21)+(Y24*Y$21)+(AB24*AB$21)+(AE24*AE$21)+(AH24*AH$21)+(AK24*AK$21)+(AN24*AN$21)</f>
        <v>0</v>
      </c>
      <c r="BI24" s="43">
        <f>BB24*AW$6</f>
        <v>0</v>
      </c>
      <c r="BJ24" s="43">
        <f>BI24-BH24</f>
        <v>0</v>
      </c>
      <c r="BK24" s="47">
        <f>IFERROR(BJ24/BH24,0)</f>
        <v>0</v>
      </c>
    </row>
    <row r="25" spans="2:63" s="19" customFormat="1" x14ac:dyDescent="0.15">
      <c r="B25" s="26"/>
      <c r="C25" s="508"/>
      <c r="D25" s="85"/>
      <c r="E25" s="503">
        <f t="shared" si="40"/>
        <v>0</v>
      </c>
      <c r="F25" s="41">
        <f t="shared" si="41"/>
        <v>0</v>
      </c>
      <c r="G25" s="507"/>
      <c r="H25" s="503">
        <f t="shared" si="42"/>
        <v>0</v>
      </c>
      <c r="I25" s="41">
        <f t="shared" si="43"/>
        <v>0</v>
      </c>
      <c r="J25" s="79"/>
      <c r="K25" s="40">
        <f t="shared" si="44"/>
        <v>0</v>
      </c>
      <c r="L25" s="41">
        <f t="shared" si="45"/>
        <v>0</v>
      </c>
      <c r="M25" s="515"/>
      <c r="N25" s="40">
        <f t="shared" si="46"/>
        <v>0</v>
      </c>
      <c r="O25" s="41">
        <f t="shared" si="47"/>
        <v>0</v>
      </c>
      <c r="P25" s="520"/>
      <c r="Q25" s="40">
        <f t="shared" si="48"/>
        <v>0</v>
      </c>
      <c r="R25" s="41">
        <f t="shared" si="49"/>
        <v>0</v>
      </c>
      <c r="S25" s="520"/>
      <c r="T25" s="40">
        <f t="shared" si="50"/>
        <v>0</v>
      </c>
      <c r="U25" s="42">
        <f t="shared" si="51"/>
        <v>0</v>
      </c>
      <c r="V25" s="79"/>
      <c r="W25" s="40">
        <f t="shared" si="52"/>
        <v>0</v>
      </c>
      <c r="X25" s="41">
        <f t="shared" si="53"/>
        <v>0</v>
      </c>
      <c r="Y25" s="79"/>
      <c r="Z25" s="40">
        <f t="shared" si="54"/>
        <v>0</v>
      </c>
      <c r="AA25" s="41">
        <f t="shared" si="55"/>
        <v>0</v>
      </c>
      <c r="AB25" s="39"/>
      <c r="AC25" s="40">
        <f t="shared" si="56"/>
        <v>0</v>
      </c>
      <c r="AD25" s="41">
        <f t="shared" si="57"/>
        <v>0</v>
      </c>
      <c r="AE25" s="39"/>
      <c r="AF25" s="40">
        <f t="shared" si="58"/>
        <v>0</v>
      </c>
      <c r="AG25" s="41">
        <f t="shared" si="59"/>
        <v>0</v>
      </c>
      <c r="AH25" s="39"/>
      <c r="AI25" s="40">
        <f t="shared" si="60"/>
        <v>0</v>
      </c>
      <c r="AJ25" s="41">
        <f t="shared" si="61"/>
        <v>0</v>
      </c>
      <c r="AK25" s="39"/>
      <c r="AL25" s="40">
        <f t="shared" si="62"/>
        <v>0</v>
      </c>
      <c r="AM25" s="41">
        <f t="shared" si="63"/>
        <v>0</v>
      </c>
      <c r="AN25" s="39"/>
      <c r="AO25" s="40">
        <f t="shared" si="64"/>
        <v>0</v>
      </c>
      <c r="AP25" s="41">
        <f t="shared" si="65"/>
        <v>0</v>
      </c>
      <c r="AQ25" s="39"/>
      <c r="AR25" s="40">
        <f t="shared" si="66"/>
        <v>0</v>
      </c>
      <c r="AS25" s="41">
        <f t="shared" si="67"/>
        <v>0</v>
      </c>
      <c r="AT25" s="39"/>
      <c r="AU25" s="40">
        <f t="shared" si="68"/>
        <v>0</v>
      </c>
      <c r="AV25" s="41">
        <f t="shared" si="69"/>
        <v>0</v>
      </c>
      <c r="AW25" s="39"/>
      <c r="AX25" s="40">
        <f t="shared" si="70"/>
        <v>0</v>
      </c>
      <c r="AY25" s="41">
        <f t="shared" si="71"/>
        <v>0</v>
      </c>
      <c r="BA25" s="49">
        <f>BB25*AE$6</f>
        <v>0</v>
      </c>
      <c r="BB25" s="50">
        <f>M25+V25+S25+P25+J25+G25+D25+Y25+AB25+AE25+AH25+AK25+AN25+AQ25+AT25+AW25</f>
        <v>0</v>
      </c>
      <c r="BC25" s="45">
        <f>BB25/$BB$66</f>
        <v>0</v>
      </c>
      <c r="BE25" s="43"/>
      <c r="BG25" s="46">
        <f>C25</f>
        <v>0</v>
      </c>
      <c r="BH25" s="43">
        <f>(G25*G$21)+(J25*J$21)+(M25*M$21)+(P25*P$21)+(S25*S$21)+(V25*V$21)+(Y25*Y$21)+(AB25*AB$21)+(AE25*AE$21)+(AH25*AH$21)+(AK25*AK$21)+(AN25*AN$21)</f>
        <v>0</v>
      </c>
      <c r="BI25" s="43">
        <f>BB25*AW$6</f>
        <v>0</v>
      </c>
      <c r="BJ25" s="43">
        <f>BI25-BH25</f>
        <v>0</v>
      </c>
      <c r="BK25" s="52"/>
    </row>
    <row r="26" spans="2:63" s="19" customFormat="1" x14ac:dyDescent="0.15">
      <c r="B26" s="26"/>
      <c r="C26" s="508"/>
      <c r="D26" s="85"/>
      <c r="E26" s="503">
        <f t="shared" si="40"/>
        <v>0</v>
      </c>
      <c r="F26" s="41">
        <f t="shared" si="41"/>
        <v>0</v>
      </c>
      <c r="G26" s="507"/>
      <c r="H26" s="503">
        <f t="shared" si="42"/>
        <v>0</v>
      </c>
      <c r="I26" s="41">
        <f t="shared" si="43"/>
        <v>0</v>
      </c>
      <c r="J26" s="79"/>
      <c r="K26" s="40">
        <f t="shared" si="44"/>
        <v>0</v>
      </c>
      <c r="L26" s="41">
        <f t="shared" si="45"/>
        <v>0</v>
      </c>
      <c r="M26" s="515"/>
      <c r="N26" s="40">
        <f t="shared" si="46"/>
        <v>0</v>
      </c>
      <c r="O26" s="41">
        <f t="shared" si="47"/>
        <v>0</v>
      </c>
      <c r="P26" s="520"/>
      <c r="Q26" s="40">
        <f t="shared" si="48"/>
        <v>0</v>
      </c>
      <c r="R26" s="41">
        <f t="shared" si="49"/>
        <v>0</v>
      </c>
      <c r="S26" s="520"/>
      <c r="T26" s="40">
        <f t="shared" si="50"/>
        <v>0</v>
      </c>
      <c r="U26" s="42">
        <f t="shared" si="51"/>
        <v>0</v>
      </c>
      <c r="V26" s="79"/>
      <c r="W26" s="40">
        <f t="shared" si="52"/>
        <v>0</v>
      </c>
      <c r="X26" s="41">
        <f t="shared" si="53"/>
        <v>0</v>
      </c>
      <c r="Y26" s="79"/>
      <c r="Z26" s="40">
        <f t="shared" si="54"/>
        <v>0</v>
      </c>
      <c r="AA26" s="41">
        <f t="shared" si="55"/>
        <v>0</v>
      </c>
      <c r="AB26" s="39"/>
      <c r="AC26" s="40">
        <f t="shared" si="56"/>
        <v>0</v>
      </c>
      <c r="AD26" s="41">
        <f t="shared" si="57"/>
        <v>0</v>
      </c>
      <c r="AE26" s="39"/>
      <c r="AF26" s="40">
        <f t="shared" si="58"/>
        <v>0</v>
      </c>
      <c r="AG26" s="41">
        <f t="shared" si="59"/>
        <v>0</v>
      </c>
      <c r="AH26" s="39"/>
      <c r="AI26" s="40">
        <f t="shared" si="60"/>
        <v>0</v>
      </c>
      <c r="AJ26" s="41">
        <f t="shared" si="61"/>
        <v>0</v>
      </c>
      <c r="AK26" s="39"/>
      <c r="AL26" s="40">
        <f t="shared" si="62"/>
        <v>0</v>
      </c>
      <c r="AM26" s="41">
        <f t="shared" si="63"/>
        <v>0</v>
      </c>
      <c r="AN26" s="39"/>
      <c r="AO26" s="40">
        <f t="shared" si="64"/>
        <v>0</v>
      </c>
      <c r="AP26" s="41">
        <f t="shared" si="65"/>
        <v>0</v>
      </c>
      <c r="AQ26" s="39"/>
      <c r="AR26" s="40">
        <f t="shared" si="66"/>
        <v>0</v>
      </c>
      <c r="AS26" s="41">
        <f t="shared" si="67"/>
        <v>0</v>
      </c>
      <c r="AT26" s="39"/>
      <c r="AU26" s="40">
        <f t="shared" si="68"/>
        <v>0</v>
      </c>
      <c r="AV26" s="41">
        <f t="shared" si="69"/>
        <v>0</v>
      </c>
      <c r="AW26" s="39"/>
      <c r="AX26" s="40">
        <f t="shared" si="70"/>
        <v>0</v>
      </c>
      <c r="AY26" s="41">
        <f t="shared" si="71"/>
        <v>0</v>
      </c>
      <c r="BA26" s="49">
        <f>BB26*AE$6</f>
        <v>0</v>
      </c>
      <c r="BB26" s="50">
        <f>M26+V26+S26+P26+J26+G26+D26+Y26+AB26+AE26+AH26+AK26+AN26+AQ26+AT26+AW26</f>
        <v>0</v>
      </c>
      <c r="BC26" s="45">
        <f>BB26/$BB$66</f>
        <v>0</v>
      </c>
      <c r="BE26" s="43"/>
      <c r="BG26" s="46">
        <f>C26</f>
        <v>0</v>
      </c>
      <c r="BH26" s="52"/>
      <c r="BI26" s="52"/>
      <c r="BJ26" s="52"/>
      <c r="BK26" s="52"/>
    </row>
    <row r="27" spans="2:63" s="19" customFormat="1" x14ac:dyDescent="0.15">
      <c r="B27" s="26"/>
      <c r="C27" s="508"/>
      <c r="D27" s="85"/>
      <c r="E27" s="503">
        <f t="shared" si="40"/>
        <v>0</v>
      </c>
      <c r="F27" s="41">
        <f t="shared" si="41"/>
        <v>0</v>
      </c>
      <c r="G27" s="507"/>
      <c r="H27" s="503">
        <f t="shared" si="42"/>
        <v>0</v>
      </c>
      <c r="I27" s="41">
        <f t="shared" si="43"/>
        <v>0</v>
      </c>
      <c r="J27" s="79"/>
      <c r="K27" s="40">
        <f t="shared" si="44"/>
        <v>0</v>
      </c>
      <c r="L27" s="41">
        <f t="shared" si="45"/>
        <v>0</v>
      </c>
      <c r="M27" s="515"/>
      <c r="N27" s="40">
        <f t="shared" si="46"/>
        <v>0</v>
      </c>
      <c r="O27" s="41">
        <f t="shared" si="47"/>
        <v>0</v>
      </c>
      <c r="P27" s="520"/>
      <c r="Q27" s="40">
        <f t="shared" si="48"/>
        <v>0</v>
      </c>
      <c r="R27" s="41">
        <f t="shared" si="49"/>
        <v>0</v>
      </c>
      <c r="S27" s="520"/>
      <c r="T27" s="40">
        <f t="shared" si="50"/>
        <v>0</v>
      </c>
      <c r="U27" s="42">
        <f t="shared" si="51"/>
        <v>0</v>
      </c>
      <c r="V27" s="79"/>
      <c r="W27" s="40">
        <f t="shared" si="52"/>
        <v>0</v>
      </c>
      <c r="X27" s="41">
        <f t="shared" si="53"/>
        <v>0</v>
      </c>
      <c r="Y27" s="79"/>
      <c r="Z27" s="40">
        <f t="shared" si="54"/>
        <v>0</v>
      </c>
      <c r="AA27" s="41">
        <f t="shared" si="55"/>
        <v>0</v>
      </c>
      <c r="AB27" s="39"/>
      <c r="AC27" s="40">
        <f t="shared" si="56"/>
        <v>0</v>
      </c>
      <c r="AD27" s="41">
        <f t="shared" si="57"/>
        <v>0</v>
      </c>
      <c r="AE27" s="39"/>
      <c r="AF27" s="40">
        <f t="shared" si="58"/>
        <v>0</v>
      </c>
      <c r="AG27" s="41">
        <f t="shared" si="59"/>
        <v>0</v>
      </c>
      <c r="AH27" s="39"/>
      <c r="AI27" s="40">
        <f t="shared" si="60"/>
        <v>0</v>
      </c>
      <c r="AJ27" s="41">
        <f t="shared" si="61"/>
        <v>0</v>
      </c>
      <c r="AK27" s="39"/>
      <c r="AL27" s="40">
        <f t="shared" si="62"/>
        <v>0</v>
      </c>
      <c r="AM27" s="41">
        <f t="shared" si="63"/>
        <v>0</v>
      </c>
      <c r="AN27" s="39"/>
      <c r="AO27" s="40">
        <f t="shared" si="64"/>
        <v>0</v>
      </c>
      <c r="AP27" s="41">
        <f t="shared" si="65"/>
        <v>0</v>
      </c>
      <c r="AQ27" s="39"/>
      <c r="AR27" s="40">
        <f t="shared" si="66"/>
        <v>0</v>
      </c>
      <c r="AS27" s="41">
        <f t="shared" si="67"/>
        <v>0</v>
      </c>
      <c r="AT27" s="39"/>
      <c r="AU27" s="40">
        <f t="shared" si="68"/>
        <v>0</v>
      </c>
      <c r="AV27" s="41">
        <f t="shared" si="69"/>
        <v>0</v>
      </c>
      <c r="AW27" s="39"/>
      <c r="AX27" s="40">
        <f t="shared" si="70"/>
        <v>0</v>
      </c>
      <c r="AY27" s="41">
        <f t="shared" si="71"/>
        <v>0</v>
      </c>
      <c r="BA27" s="69"/>
      <c r="BB27" s="70"/>
      <c r="BC27" s="62"/>
      <c r="BE27" s="63"/>
      <c r="BH27" s="63">
        <f>SUM(BH22:BH26)</f>
        <v>0</v>
      </c>
      <c r="BI27" s="63">
        <f>SUM(BI22:BI26)</f>
        <v>830000</v>
      </c>
      <c r="BJ27" s="63">
        <f>SUM(BJ22:BJ26)</f>
        <v>830000</v>
      </c>
    </row>
    <row r="28" spans="2:63" s="19" customFormat="1" ht="3.75" customHeight="1" x14ac:dyDescent="0.15">
      <c r="B28" s="26"/>
      <c r="C28" s="64"/>
      <c r="D28" s="29"/>
      <c r="E28" s="71"/>
      <c r="F28" s="56"/>
      <c r="G28" s="511"/>
      <c r="H28" s="71"/>
      <c r="I28" s="72"/>
      <c r="J28" s="511"/>
      <c r="K28" s="71"/>
      <c r="L28" s="72"/>
      <c r="M28" s="518"/>
      <c r="N28" s="71"/>
      <c r="O28" s="72"/>
      <c r="P28" s="518"/>
      <c r="Q28" s="71"/>
      <c r="R28" s="72"/>
      <c r="S28" s="529"/>
      <c r="T28" s="71"/>
      <c r="U28" s="58"/>
      <c r="V28" s="511"/>
      <c r="W28" s="71"/>
      <c r="X28" s="73"/>
      <c r="Y28" s="511"/>
      <c r="Z28" s="71"/>
      <c r="AA28" s="73"/>
      <c r="AB28" s="29"/>
      <c r="AC28" s="71"/>
      <c r="AD28" s="73"/>
      <c r="AE28" s="29"/>
      <c r="AF28" s="71"/>
      <c r="AG28" s="73"/>
      <c r="AH28" s="29"/>
      <c r="AI28" s="71"/>
      <c r="AJ28" s="73"/>
      <c r="AK28" s="29"/>
      <c r="AL28" s="71"/>
      <c r="AM28" s="73"/>
      <c r="AN28" s="29"/>
      <c r="AO28" s="71"/>
      <c r="AP28" s="73"/>
      <c r="AQ28" s="29"/>
      <c r="AR28" s="71"/>
      <c r="AS28" s="73"/>
      <c r="AT28" s="29"/>
      <c r="AU28" s="71"/>
      <c r="AV28" s="73"/>
      <c r="AW28" s="29"/>
      <c r="AX28" s="71"/>
      <c r="AY28" s="73"/>
      <c r="BA28" s="69"/>
      <c r="BB28" s="70"/>
      <c r="BC28" s="62"/>
      <c r="BE28" s="63"/>
    </row>
    <row r="29" spans="2:63" s="19" customFormat="1" x14ac:dyDescent="0.15">
      <c r="B29" s="18" t="s">
        <v>9</v>
      </c>
      <c r="C29" s="64"/>
      <c r="D29" s="29"/>
      <c r="E29" s="74"/>
      <c r="F29" s="73"/>
      <c r="G29" s="511"/>
      <c r="H29" s="74"/>
      <c r="I29" s="72"/>
      <c r="J29" s="511"/>
      <c r="K29" s="75"/>
      <c r="L29" s="72"/>
      <c r="M29" s="518"/>
      <c r="N29" s="76"/>
      <c r="O29" s="72"/>
      <c r="P29" s="518"/>
      <c r="Q29" s="76"/>
      <c r="R29" s="72"/>
      <c r="S29" s="529"/>
      <c r="T29" s="76"/>
      <c r="U29" s="58"/>
      <c r="V29" s="511"/>
      <c r="W29" s="74"/>
      <c r="X29" s="73"/>
      <c r="Y29" s="511"/>
      <c r="Z29" s="74"/>
      <c r="AA29" s="73"/>
      <c r="AB29" s="29"/>
      <c r="AC29" s="74"/>
      <c r="AD29" s="73"/>
      <c r="AE29" s="29"/>
      <c r="AF29" s="74"/>
      <c r="AG29" s="73"/>
      <c r="AH29" s="29"/>
      <c r="AI29" s="74"/>
      <c r="AJ29" s="73"/>
      <c r="AK29" s="29"/>
      <c r="AL29" s="74"/>
      <c r="AM29" s="73"/>
      <c r="AN29" s="29"/>
      <c r="AO29" s="74"/>
      <c r="AP29" s="73"/>
      <c r="AQ29" s="29"/>
      <c r="AR29" s="74"/>
      <c r="AS29" s="73"/>
      <c r="AT29" s="29"/>
      <c r="AU29" s="74"/>
      <c r="AV29" s="73"/>
      <c r="AW29" s="29"/>
      <c r="AX29" s="74"/>
      <c r="AY29" s="73"/>
      <c r="BA29" s="77"/>
      <c r="BB29" s="78"/>
      <c r="BC29" s="62"/>
      <c r="BE29" s="63"/>
      <c r="BH29" s="38" t="s">
        <v>159</v>
      </c>
      <c r="BI29" s="38" t="s">
        <v>160</v>
      </c>
      <c r="BJ29" s="38" t="s">
        <v>161</v>
      </c>
    </row>
    <row r="30" spans="2:63" x14ac:dyDescent="0.15">
      <c r="B30" s="26"/>
      <c r="C30" s="506" t="s">
        <v>191</v>
      </c>
      <c r="D30" s="79"/>
      <c r="E30" s="80"/>
      <c r="F30" s="81"/>
      <c r="G30" s="507">
        <v>150000</v>
      </c>
      <c r="H30" s="82">
        <f t="shared" ref="H30:H50" si="72">G30/$G$74</f>
        <v>0.01</v>
      </c>
      <c r="I30" s="41">
        <f t="shared" ref="I30:I50" si="73">(G30+D30)/$G$71</f>
        <v>2.3474178403755869E-3</v>
      </c>
      <c r="J30" s="507">
        <v>25000</v>
      </c>
      <c r="K30" s="82">
        <f t="shared" ref="K30:K50" si="74">(J30+G30)/$J$74</f>
        <v>1.1666666666666667E-2</v>
      </c>
      <c r="L30" s="41">
        <f t="shared" ref="L30:L50" si="75">(J30+G30+D30)/$J$71</f>
        <v>2.7301092043681748E-3</v>
      </c>
      <c r="M30" s="519"/>
      <c r="N30" s="82">
        <f t="shared" ref="N30:N50" si="76">(M30+J30+G30)/$M$74</f>
        <v>1.1666666666666667E-2</v>
      </c>
      <c r="O30" s="41">
        <f t="shared" ref="O30:O50" si="77">(D30+G30+J30+M30)/$M$71</f>
        <v>2.2845953002610967E-3</v>
      </c>
      <c r="P30" s="520"/>
      <c r="Q30" s="82">
        <f t="shared" ref="Q30:Q50" si="78">(M30+P30+J30+G30)/$P$74</f>
        <v>1.1666666666666667E-2</v>
      </c>
      <c r="R30" s="41">
        <f t="shared" ref="R30:R50" si="79">(M30+D30+G30+J30+P30)/$P$71</f>
        <v>2.2845953002610967E-3</v>
      </c>
      <c r="S30" s="530"/>
      <c r="T30" s="82">
        <f t="shared" ref="T30:T50" si="80">(M30+S30+P30+J30+G30)/$S$74</f>
        <v>1.1666666666666667E-2</v>
      </c>
      <c r="U30" s="42">
        <f t="shared" ref="U30:U50" si="81">(M30+P30+S30+J30+G30+D30)/$S$71</f>
        <v>2.2845953002610967E-3</v>
      </c>
      <c r="V30" s="520"/>
      <c r="W30" s="82">
        <f t="shared" ref="W30:W50" si="82">(M30+V30+S30+P30+J30+G30)/$V$74</f>
        <v>1.0937499999999999E-2</v>
      </c>
      <c r="X30" s="41">
        <f t="shared" ref="X30:X50" si="83">(M30+S30+V30+P30+J30+G30)/V$71</f>
        <v>2.2845953002610967E-3</v>
      </c>
      <c r="Y30" s="520"/>
      <c r="Z30" s="82">
        <f t="shared" ref="Z30:Z50" si="84">(G30+P30+Y30+V30+S30+M30+J30)/$V$74</f>
        <v>1.0937499999999999E-2</v>
      </c>
      <c r="AA30" s="41">
        <f t="shared" ref="AA30:AA50" si="85">(G30+P30+V30+Y30+S30+M30+J30)/Y$71</f>
        <v>2.2845953002610967E-3</v>
      </c>
      <c r="AB30" s="51"/>
      <c r="AC30" s="82">
        <f t="shared" ref="AC30:AC50" si="86">(G30+J30+S30+AB30+Y30+V30+P30+M30)/$V$74</f>
        <v>1.0937499999999999E-2</v>
      </c>
      <c r="AD30" s="83">
        <f t="shared" ref="AD30:AD50" si="87">(G30+J30+S30+Y30+AB30+V30+P30+M30)/AB$71</f>
        <v>2.2845953002610967E-3</v>
      </c>
      <c r="AE30" s="51"/>
      <c r="AF30" s="82">
        <f t="shared" ref="AF30:AF42" si="88">(G30+J30+M30+V30+AE30+AB30+Y30+S30+P30)/$V$74</f>
        <v>1.0937499999999999E-2</v>
      </c>
      <c r="AG30" s="41">
        <f t="shared" ref="AG30:AG50" si="89">(G30+J30+M30+V30+AB30+AE30+Y30+S30+P30)/AE$71</f>
        <v>2.2845953002610967E-3</v>
      </c>
      <c r="AH30" s="51"/>
      <c r="AI30" s="82">
        <f t="shared" ref="AI30:AI50" si="90">(G30+J30+M30+P30+Y30+AH30+AE30+AB30+V30+S30)/$V$74</f>
        <v>1.0937499999999999E-2</v>
      </c>
      <c r="AJ30" s="41">
        <f t="shared" ref="AJ30:AJ50" si="91">(G30+J30+M30+P30+Y30+AE30+AH30+AB30+V30+S30)/AH$71</f>
        <v>2.2845953002610967E-3</v>
      </c>
      <c r="AK30" s="51"/>
      <c r="AL30" s="82">
        <f t="shared" ref="AL30:AL50" si="92">(G30+J30+M30+P30+S30+AB30+AK30+AH30+AE30+Y30+V30)/$V$74</f>
        <v>1.0937499999999999E-2</v>
      </c>
      <c r="AM30" s="41">
        <f t="shared" ref="AM30:AM50" si="93">(G30+J30+M30+P30+S30+AB30+AH30+AK30+AE30+Y30+V30)/AK$71</f>
        <v>2.2845953002610967E-3</v>
      </c>
      <c r="AN30" s="51"/>
      <c r="AO30" s="82">
        <f t="shared" ref="AO30:AO50" si="94">(G30+J30+M30+P30+S30+V30+AE30+AN30+AK30+AH30+AB30+Y30)/$V$74</f>
        <v>1.0937499999999999E-2</v>
      </c>
      <c r="AP30" s="41">
        <f t="shared" ref="AP30:AP50" si="95">(G30+J30+M30+P30+S30+V30+AE30+AK30+AN30+AH30+AB30+Y30)/AN$71</f>
        <v>2.2845953002610967E-3</v>
      </c>
      <c r="AQ30" s="51"/>
      <c r="AR30" s="82">
        <f t="shared" ref="AR30:AR50" si="96">(G30+J30+M30+P30+S30+V30+Y30+AH30+AQ30+AN30+AK30+AE30+AB30)/$V$74</f>
        <v>1.0937499999999999E-2</v>
      </c>
      <c r="AS30" s="41">
        <f t="shared" ref="AS30:AS50" si="97">(G30+J30+M30+P30+S30+V30+Y30+AH30+AN30+AQ30+AK30+AE30+AB30)/AQ$71</f>
        <v>2.2845953002610967E-3</v>
      </c>
      <c r="AT30" s="51"/>
      <c r="AU30" s="82">
        <f t="shared" ref="AU30:AU50" si="98">(G30+J30+M30+P30+S30+V30+Y30+AB30+AK30+AT30+AQ30+AN30+AH30+AE30)/$V$74</f>
        <v>1.0937499999999999E-2</v>
      </c>
      <c r="AV30" s="41">
        <f t="shared" ref="AV30:AV50" si="99">(G30+J30+M30+P30+S30+V30+Y30+AB30+AK30+AQ30+AT30+AN30+AH30+AE30)/AT$71</f>
        <v>2.2816166883963492E-3</v>
      </c>
      <c r="AW30" s="51"/>
      <c r="AX30" s="82">
        <f t="shared" ref="AX30:AX50" si="100">(G30+J30+M30+P30+S30+V30+Y30+AB30+AE30+AN30+AW30+AT30+AQ30+AK30+AH30)/$V$74</f>
        <v>1.0937499999999999E-2</v>
      </c>
      <c r="AY30" s="41">
        <f t="shared" ref="AY30:AY50" si="101">(G30+J30+M30+P30+S30+V30+Y30+AB30+AE30+AN30+AT30+AW30+AQ30+AK30+AH30)/AW$71</f>
        <v>2.2804274172530622E-3</v>
      </c>
      <c r="BA30" s="49">
        <f>BB30*AE$6</f>
        <v>81395.348837209298</v>
      </c>
      <c r="BB30" s="50">
        <f>M30+V30+S30+P30+J30+G30+D30+Y30+AB30+AE30+AH30+AK30+AN30+AQ30+AT30+AW30</f>
        <v>175000</v>
      </c>
      <c r="BC30" s="45">
        <f t="shared" ref="BC30:BC63" si="102">BB30/$BB$66</f>
        <v>1.9021739130434783E-3</v>
      </c>
      <c r="BD30" s="84"/>
      <c r="BE30" s="43">
        <f t="shared" ref="BE30:BE62" si="103">(BB30*AE$6)-((G30*G$6)+(J30*J$6)+(M30*M$6)+(P30*P$6)+(S30*S$6)+(V30*V$6)+(Y30*Y$6)+(AB30*AB$6))</f>
        <v>74224.034096173447</v>
      </c>
      <c r="BG30" s="46" t="str">
        <f>C30</f>
        <v>Employee 1</v>
      </c>
      <c r="BH30" s="43">
        <f t="shared" ref="BH30:BH55" si="104">(G30*G$6)+(J30*J$6)+(M30*M$6)+(P30*P$6)+(S30*S$6)+(V30*V$6)+(Y30*Y$6)+(AB30*AB$6)+(AE30*AE$6)+(AH30*AH$6)+(AK30*AK$6)+(AN30*AN$6)</f>
        <v>7171.314741035857</v>
      </c>
      <c r="BI30" s="43">
        <f>BB30*AW$6</f>
        <v>581000</v>
      </c>
      <c r="BJ30" s="43">
        <f t="shared" ref="BJ30:BJ42" si="105">BI30-BH30</f>
        <v>573828.68525896419</v>
      </c>
      <c r="BK30" s="47">
        <f>IFERROR(BJ30/BH30,0)</f>
        <v>80.01722222222223</v>
      </c>
    </row>
    <row r="31" spans="2:63" x14ac:dyDescent="0.15">
      <c r="B31" s="26"/>
      <c r="C31" s="506" t="s">
        <v>192</v>
      </c>
      <c r="D31" s="85"/>
      <c r="E31" s="86"/>
      <c r="F31" s="87"/>
      <c r="G31" s="507">
        <v>150000</v>
      </c>
      <c r="H31" s="82">
        <f t="shared" si="72"/>
        <v>0.01</v>
      </c>
      <c r="I31" s="41">
        <f t="shared" si="73"/>
        <v>2.3474178403755869E-3</v>
      </c>
      <c r="J31" s="507">
        <v>25000</v>
      </c>
      <c r="K31" s="82">
        <f t="shared" si="74"/>
        <v>1.1666666666666667E-2</v>
      </c>
      <c r="L31" s="41">
        <f t="shared" si="75"/>
        <v>2.7301092043681748E-3</v>
      </c>
      <c r="M31" s="519"/>
      <c r="N31" s="82">
        <f t="shared" si="76"/>
        <v>1.1666666666666667E-2</v>
      </c>
      <c r="O31" s="41">
        <f t="shared" si="77"/>
        <v>2.2845953002610967E-3</v>
      </c>
      <c r="P31" s="522"/>
      <c r="Q31" s="82">
        <f t="shared" si="78"/>
        <v>1.1666666666666667E-2</v>
      </c>
      <c r="R31" s="41">
        <f t="shared" si="79"/>
        <v>2.2845953002610967E-3</v>
      </c>
      <c r="S31" s="523"/>
      <c r="T31" s="82">
        <f t="shared" si="80"/>
        <v>1.1666666666666667E-2</v>
      </c>
      <c r="U31" s="42">
        <f t="shared" si="81"/>
        <v>2.2845953002610967E-3</v>
      </c>
      <c r="V31" s="523"/>
      <c r="W31" s="82">
        <f t="shared" si="82"/>
        <v>1.0937499999999999E-2</v>
      </c>
      <c r="X31" s="41">
        <f t="shared" si="83"/>
        <v>2.2845953002610967E-3</v>
      </c>
      <c r="Y31" s="523"/>
      <c r="Z31" s="82">
        <f t="shared" si="84"/>
        <v>1.0937499999999999E-2</v>
      </c>
      <c r="AA31" s="41">
        <f t="shared" si="85"/>
        <v>2.2845953002610967E-3</v>
      </c>
      <c r="AB31" s="88"/>
      <c r="AC31" s="82">
        <f t="shared" si="86"/>
        <v>1.0937499999999999E-2</v>
      </c>
      <c r="AD31" s="41">
        <f t="shared" si="87"/>
        <v>2.2845953002610967E-3</v>
      </c>
      <c r="AE31" s="88"/>
      <c r="AF31" s="82">
        <f t="shared" si="88"/>
        <v>1.0937499999999999E-2</v>
      </c>
      <c r="AG31" s="41">
        <f t="shared" si="89"/>
        <v>2.2845953002610967E-3</v>
      </c>
      <c r="AH31" s="88"/>
      <c r="AI31" s="82">
        <f t="shared" si="90"/>
        <v>1.0937499999999999E-2</v>
      </c>
      <c r="AJ31" s="41">
        <f t="shared" si="91"/>
        <v>2.2845953002610967E-3</v>
      </c>
      <c r="AK31" s="88"/>
      <c r="AL31" s="82">
        <f t="shared" si="92"/>
        <v>1.0937499999999999E-2</v>
      </c>
      <c r="AM31" s="41">
        <f t="shared" si="93"/>
        <v>2.2845953002610967E-3</v>
      </c>
      <c r="AN31" s="88"/>
      <c r="AO31" s="82">
        <f t="shared" si="94"/>
        <v>1.0937499999999999E-2</v>
      </c>
      <c r="AP31" s="41">
        <f t="shared" si="95"/>
        <v>2.2845953002610967E-3</v>
      </c>
      <c r="AQ31" s="88"/>
      <c r="AR31" s="82">
        <f t="shared" si="96"/>
        <v>1.0937499999999999E-2</v>
      </c>
      <c r="AS31" s="41">
        <f t="shared" si="97"/>
        <v>2.2845953002610967E-3</v>
      </c>
      <c r="AT31" s="88"/>
      <c r="AU31" s="82">
        <f t="shared" si="98"/>
        <v>1.0937499999999999E-2</v>
      </c>
      <c r="AV31" s="41">
        <f t="shared" si="99"/>
        <v>2.2816166883963492E-3</v>
      </c>
      <c r="AW31" s="88"/>
      <c r="AX31" s="82">
        <f t="shared" si="100"/>
        <v>1.0937499999999999E-2</v>
      </c>
      <c r="AY31" s="41">
        <f t="shared" si="101"/>
        <v>2.2804274172530622E-3</v>
      </c>
      <c r="BA31" s="49">
        <f t="shared" ref="BA31:BA62" si="106">BB31*AE$6</f>
        <v>81395.348837209298</v>
      </c>
      <c r="BB31" s="50">
        <f t="shared" ref="BB31:BB57" si="107">M31+V31+S31+P31+J31+G31+D31+Y31+AB31+AE31+AH31+AK31+AN31+AQ31+AT31+AW31</f>
        <v>175000</v>
      </c>
      <c r="BC31" s="45">
        <f t="shared" si="102"/>
        <v>1.9021739130434783E-3</v>
      </c>
      <c r="BD31" s="84"/>
      <c r="BE31" s="43">
        <f t="shared" si="103"/>
        <v>74224.034096173447</v>
      </c>
      <c r="BG31" s="46" t="str">
        <f>C31</f>
        <v>Employee 2</v>
      </c>
      <c r="BH31" s="43">
        <f t="shared" si="104"/>
        <v>7171.314741035857</v>
      </c>
      <c r="BI31" s="43">
        <f t="shared" ref="BI31:BI55" si="108">BB31*AW$6</f>
        <v>581000</v>
      </c>
      <c r="BJ31" s="43">
        <f t="shared" si="105"/>
        <v>573828.68525896419</v>
      </c>
      <c r="BK31" s="47">
        <f>IFERROR(BJ31/BH31,0)</f>
        <v>80.01722222222223</v>
      </c>
    </row>
    <row r="32" spans="2:63" x14ac:dyDescent="0.15">
      <c r="B32" s="26"/>
      <c r="C32" s="510" t="s">
        <v>193</v>
      </c>
      <c r="D32" s="85"/>
      <c r="E32" s="86"/>
      <c r="F32" s="87"/>
      <c r="G32" s="507">
        <v>100000</v>
      </c>
      <c r="H32" s="82">
        <f t="shared" si="72"/>
        <v>6.6666666666666671E-3</v>
      </c>
      <c r="I32" s="41">
        <f t="shared" si="73"/>
        <v>1.5649452269170579E-3</v>
      </c>
      <c r="J32" s="507">
        <v>25000</v>
      </c>
      <c r="K32" s="82">
        <f t="shared" si="74"/>
        <v>8.3333333333333332E-3</v>
      </c>
      <c r="L32" s="41">
        <f t="shared" si="75"/>
        <v>1.9500780031201249E-3</v>
      </c>
      <c r="M32" s="519"/>
      <c r="N32" s="82">
        <f t="shared" si="76"/>
        <v>8.3333333333333332E-3</v>
      </c>
      <c r="O32" s="41">
        <f t="shared" si="77"/>
        <v>1.6318537859007832E-3</v>
      </c>
      <c r="P32" s="521"/>
      <c r="Q32" s="82">
        <f t="shared" si="78"/>
        <v>8.3333333333333332E-3</v>
      </c>
      <c r="R32" s="41">
        <f t="shared" si="79"/>
        <v>1.6318537859007832E-3</v>
      </c>
      <c r="S32" s="526"/>
      <c r="T32" s="82">
        <f t="shared" si="80"/>
        <v>8.3333333333333332E-3</v>
      </c>
      <c r="U32" s="42">
        <f t="shared" si="81"/>
        <v>1.6318537859007832E-3</v>
      </c>
      <c r="V32" s="523"/>
      <c r="W32" s="82">
        <f t="shared" si="82"/>
        <v>7.8125E-3</v>
      </c>
      <c r="X32" s="41">
        <f t="shared" si="83"/>
        <v>1.6318537859007832E-3</v>
      </c>
      <c r="Y32" s="523"/>
      <c r="Z32" s="82">
        <f t="shared" si="84"/>
        <v>7.8125E-3</v>
      </c>
      <c r="AA32" s="41">
        <f t="shared" si="85"/>
        <v>1.6318537859007832E-3</v>
      </c>
      <c r="AB32" s="88"/>
      <c r="AC32" s="82">
        <f t="shared" si="86"/>
        <v>7.8125E-3</v>
      </c>
      <c r="AD32" s="41">
        <f t="shared" si="87"/>
        <v>1.6318537859007832E-3</v>
      </c>
      <c r="AE32" s="88"/>
      <c r="AF32" s="82">
        <f t="shared" si="88"/>
        <v>7.8125E-3</v>
      </c>
      <c r="AG32" s="41">
        <f t="shared" si="89"/>
        <v>1.6318537859007832E-3</v>
      </c>
      <c r="AH32" s="88"/>
      <c r="AI32" s="82">
        <f t="shared" si="90"/>
        <v>7.8125E-3</v>
      </c>
      <c r="AJ32" s="41">
        <f t="shared" si="91"/>
        <v>1.6318537859007832E-3</v>
      </c>
      <c r="AK32" s="88"/>
      <c r="AL32" s="82">
        <f t="shared" si="92"/>
        <v>7.8125E-3</v>
      </c>
      <c r="AM32" s="41">
        <f t="shared" si="93"/>
        <v>1.6318537859007832E-3</v>
      </c>
      <c r="AN32" s="88"/>
      <c r="AO32" s="82">
        <f t="shared" si="94"/>
        <v>7.8125E-3</v>
      </c>
      <c r="AP32" s="41">
        <f t="shared" si="95"/>
        <v>1.6318537859007832E-3</v>
      </c>
      <c r="AQ32" s="88"/>
      <c r="AR32" s="82">
        <f t="shared" si="96"/>
        <v>7.8125E-3</v>
      </c>
      <c r="AS32" s="41">
        <f t="shared" si="97"/>
        <v>1.6318537859007832E-3</v>
      </c>
      <c r="AT32" s="88"/>
      <c r="AU32" s="82">
        <f t="shared" si="98"/>
        <v>7.8125E-3</v>
      </c>
      <c r="AV32" s="41">
        <f t="shared" si="99"/>
        <v>1.6297262059973925E-3</v>
      </c>
      <c r="AW32" s="88"/>
      <c r="AX32" s="82">
        <f t="shared" si="100"/>
        <v>7.8125E-3</v>
      </c>
      <c r="AY32" s="41">
        <f t="shared" si="101"/>
        <v>1.6288767266093302E-3</v>
      </c>
      <c r="BA32" s="49">
        <f t="shared" si="106"/>
        <v>58139.534883720931</v>
      </c>
      <c r="BB32" s="50">
        <f t="shared" si="107"/>
        <v>125000</v>
      </c>
      <c r="BC32" s="45">
        <f t="shared" si="102"/>
        <v>1.358695652173913E-3</v>
      </c>
      <c r="BD32" s="84"/>
      <c r="BE32" s="43">
        <f t="shared" si="103"/>
        <v>51366.626517187069</v>
      </c>
      <c r="BG32" s="46" t="str">
        <f t="shared" ref="BG32:BG63" si="109">C32</f>
        <v xml:space="preserve">Employee 3 </v>
      </c>
      <c r="BH32" s="43">
        <f t="shared" si="104"/>
        <v>6772.9083665338649</v>
      </c>
      <c r="BI32" s="43">
        <f t="shared" si="108"/>
        <v>415000</v>
      </c>
      <c r="BJ32" s="43">
        <f t="shared" si="105"/>
        <v>408227.09163346613</v>
      </c>
      <c r="BK32" s="47">
        <f>IFERROR(BJ32/BH32,0)</f>
        <v>60.273529411764706</v>
      </c>
    </row>
    <row r="33" spans="2:63" x14ac:dyDescent="0.15">
      <c r="B33" s="26"/>
      <c r="C33" s="506" t="s">
        <v>194</v>
      </c>
      <c r="D33" s="85"/>
      <c r="E33" s="86"/>
      <c r="F33" s="87"/>
      <c r="G33" s="507">
        <v>100000</v>
      </c>
      <c r="H33" s="82">
        <f t="shared" si="72"/>
        <v>6.6666666666666671E-3</v>
      </c>
      <c r="I33" s="41">
        <f t="shared" si="73"/>
        <v>1.5649452269170579E-3</v>
      </c>
      <c r="J33" s="507">
        <v>25000</v>
      </c>
      <c r="K33" s="82">
        <f t="shared" si="74"/>
        <v>8.3333333333333332E-3</v>
      </c>
      <c r="L33" s="41">
        <f t="shared" si="75"/>
        <v>1.9500780031201249E-3</v>
      </c>
      <c r="M33" s="519"/>
      <c r="N33" s="82">
        <f t="shared" si="76"/>
        <v>8.3333333333333332E-3</v>
      </c>
      <c r="O33" s="41">
        <f t="shared" si="77"/>
        <v>1.6318537859007832E-3</v>
      </c>
      <c r="P33" s="520"/>
      <c r="Q33" s="82">
        <f t="shared" si="78"/>
        <v>8.3333333333333332E-3</v>
      </c>
      <c r="R33" s="41">
        <f t="shared" si="79"/>
        <v>1.6318537859007832E-3</v>
      </c>
      <c r="S33" s="526"/>
      <c r="T33" s="82">
        <f t="shared" si="80"/>
        <v>8.3333333333333332E-3</v>
      </c>
      <c r="U33" s="42">
        <f t="shared" si="81"/>
        <v>1.6318537859007832E-3</v>
      </c>
      <c r="V33" s="523"/>
      <c r="W33" s="82">
        <f t="shared" si="82"/>
        <v>7.8125E-3</v>
      </c>
      <c r="X33" s="41">
        <f t="shared" si="83"/>
        <v>1.6318537859007832E-3</v>
      </c>
      <c r="Y33" s="523"/>
      <c r="Z33" s="82">
        <f t="shared" si="84"/>
        <v>7.8125E-3</v>
      </c>
      <c r="AA33" s="41">
        <f t="shared" si="85"/>
        <v>1.6318537859007832E-3</v>
      </c>
      <c r="AB33" s="88"/>
      <c r="AC33" s="82">
        <f t="shared" si="86"/>
        <v>7.8125E-3</v>
      </c>
      <c r="AD33" s="41">
        <f t="shared" si="87"/>
        <v>1.6318537859007832E-3</v>
      </c>
      <c r="AE33" s="88"/>
      <c r="AF33" s="82">
        <f t="shared" si="88"/>
        <v>7.8125E-3</v>
      </c>
      <c r="AG33" s="41">
        <f t="shared" si="89"/>
        <v>1.6318537859007832E-3</v>
      </c>
      <c r="AH33" s="88"/>
      <c r="AI33" s="82">
        <f t="shared" si="90"/>
        <v>7.8125E-3</v>
      </c>
      <c r="AJ33" s="41">
        <f t="shared" si="91"/>
        <v>1.6318537859007832E-3</v>
      </c>
      <c r="AK33" s="88"/>
      <c r="AL33" s="82">
        <f t="shared" si="92"/>
        <v>7.8125E-3</v>
      </c>
      <c r="AM33" s="41">
        <f t="shared" si="93"/>
        <v>1.6318537859007832E-3</v>
      </c>
      <c r="AN33" s="88"/>
      <c r="AO33" s="82">
        <f t="shared" si="94"/>
        <v>7.8125E-3</v>
      </c>
      <c r="AP33" s="41">
        <f t="shared" si="95"/>
        <v>1.6318537859007832E-3</v>
      </c>
      <c r="AQ33" s="88"/>
      <c r="AR33" s="82">
        <f t="shared" si="96"/>
        <v>7.8125E-3</v>
      </c>
      <c r="AS33" s="41">
        <f t="shared" si="97"/>
        <v>1.6318537859007832E-3</v>
      </c>
      <c r="AT33" s="88"/>
      <c r="AU33" s="82">
        <f t="shared" si="98"/>
        <v>7.8125E-3</v>
      </c>
      <c r="AV33" s="41">
        <f t="shared" si="99"/>
        <v>1.6297262059973925E-3</v>
      </c>
      <c r="AW33" s="88"/>
      <c r="AX33" s="82">
        <f t="shared" si="100"/>
        <v>7.8125E-3</v>
      </c>
      <c r="AY33" s="41">
        <f t="shared" si="101"/>
        <v>1.6288767266093302E-3</v>
      </c>
      <c r="BA33" s="49">
        <f t="shared" si="106"/>
        <v>58139.534883720931</v>
      </c>
      <c r="BB33" s="50">
        <f t="shared" si="107"/>
        <v>125000</v>
      </c>
      <c r="BC33" s="45">
        <f t="shared" si="102"/>
        <v>1.358695652173913E-3</v>
      </c>
      <c r="BD33" s="84"/>
      <c r="BE33" s="43">
        <f t="shared" si="103"/>
        <v>51366.626517187069</v>
      </c>
      <c r="BG33" s="46" t="str">
        <f t="shared" si="109"/>
        <v>Employee 4</v>
      </c>
      <c r="BH33" s="43">
        <f t="shared" si="104"/>
        <v>6772.9083665338649</v>
      </c>
      <c r="BI33" s="43">
        <f t="shared" si="108"/>
        <v>415000</v>
      </c>
      <c r="BJ33" s="43">
        <f t="shared" si="105"/>
        <v>408227.09163346613</v>
      </c>
      <c r="BK33" s="47">
        <f>IFERROR(BJ33/BH33,0)</f>
        <v>60.273529411764706</v>
      </c>
    </row>
    <row r="34" spans="2:63" x14ac:dyDescent="0.15">
      <c r="B34" s="26"/>
      <c r="C34" s="506" t="s">
        <v>195</v>
      </c>
      <c r="D34" s="85"/>
      <c r="E34" s="86"/>
      <c r="F34" s="87"/>
      <c r="G34" s="507">
        <v>100000</v>
      </c>
      <c r="H34" s="82">
        <f t="shared" si="72"/>
        <v>6.6666666666666671E-3</v>
      </c>
      <c r="I34" s="41">
        <f t="shared" si="73"/>
        <v>1.5649452269170579E-3</v>
      </c>
      <c r="J34" s="507">
        <v>25000</v>
      </c>
      <c r="K34" s="82">
        <f t="shared" si="74"/>
        <v>8.3333333333333332E-3</v>
      </c>
      <c r="L34" s="41">
        <f t="shared" si="75"/>
        <v>1.9500780031201249E-3</v>
      </c>
      <c r="M34" s="519"/>
      <c r="N34" s="82">
        <f t="shared" si="76"/>
        <v>8.3333333333333332E-3</v>
      </c>
      <c r="O34" s="41">
        <f t="shared" si="77"/>
        <v>1.6318537859007832E-3</v>
      </c>
      <c r="P34" s="522"/>
      <c r="Q34" s="82">
        <f t="shared" si="78"/>
        <v>8.3333333333333332E-3</v>
      </c>
      <c r="R34" s="41">
        <f t="shared" si="79"/>
        <v>1.6318537859007832E-3</v>
      </c>
      <c r="S34" s="526"/>
      <c r="T34" s="82">
        <f t="shared" si="80"/>
        <v>8.3333333333333332E-3</v>
      </c>
      <c r="U34" s="42">
        <f t="shared" si="81"/>
        <v>1.6318537859007832E-3</v>
      </c>
      <c r="V34" s="523"/>
      <c r="W34" s="82">
        <f t="shared" si="82"/>
        <v>7.8125E-3</v>
      </c>
      <c r="X34" s="41">
        <f t="shared" si="83"/>
        <v>1.6318537859007832E-3</v>
      </c>
      <c r="Y34" s="523"/>
      <c r="Z34" s="82">
        <f t="shared" si="84"/>
        <v>7.8125E-3</v>
      </c>
      <c r="AA34" s="41">
        <f t="shared" si="85"/>
        <v>1.6318537859007832E-3</v>
      </c>
      <c r="AB34" s="88"/>
      <c r="AC34" s="82">
        <f t="shared" si="86"/>
        <v>7.8125E-3</v>
      </c>
      <c r="AD34" s="41">
        <f t="shared" si="87"/>
        <v>1.6318537859007832E-3</v>
      </c>
      <c r="AE34" s="88"/>
      <c r="AF34" s="82">
        <f t="shared" si="88"/>
        <v>7.8125E-3</v>
      </c>
      <c r="AG34" s="41">
        <f t="shared" si="89"/>
        <v>1.6318537859007832E-3</v>
      </c>
      <c r="AH34" s="88"/>
      <c r="AI34" s="82">
        <f t="shared" si="90"/>
        <v>7.8125E-3</v>
      </c>
      <c r="AJ34" s="41">
        <f t="shared" si="91"/>
        <v>1.6318537859007832E-3</v>
      </c>
      <c r="AK34" s="88"/>
      <c r="AL34" s="82">
        <f t="shared" si="92"/>
        <v>7.8125E-3</v>
      </c>
      <c r="AM34" s="41">
        <f t="shared" si="93"/>
        <v>1.6318537859007832E-3</v>
      </c>
      <c r="AN34" s="88"/>
      <c r="AO34" s="82">
        <f t="shared" si="94"/>
        <v>7.8125E-3</v>
      </c>
      <c r="AP34" s="41">
        <f t="shared" si="95"/>
        <v>1.6318537859007832E-3</v>
      </c>
      <c r="AQ34" s="88"/>
      <c r="AR34" s="82">
        <f t="shared" si="96"/>
        <v>7.8125E-3</v>
      </c>
      <c r="AS34" s="41">
        <f t="shared" si="97"/>
        <v>1.6318537859007832E-3</v>
      </c>
      <c r="AT34" s="88"/>
      <c r="AU34" s="82">
        <f t="shared" si="98"/>
        <v>7.8125E-3</v>
      </c>
      <c r="AV34" s="41">
        <f t="shared" si="99"/>
        <v>1.6297262059973925E-3</v>
      </c>
      <c r="AW34" s="88"/>
      <c r="AX34" s="82">
        <f t="shared" si="100"/>
        <v>7.8125E-3</v>
      </c>
      <c r="AY34" s="41">
        <f t="shared" si="101"/>
        <v>1.6288767266093302E-3</v>
      </c>
      <c r="BA34" s="49">
        <f t="shared" si="106"/>
        <v>58139.534883720931</v>
      </c>
      <c r="BB34" s="50">
        <f t="shared" si="107"/>
        <v>125000</v>
      </c>
      <c r="BC34" s="45">
        <f t="shared" si="102"/>
        <v>1.358695652173913E-3</v>
      </c>
      <c r="BD34" s="84"/>
      <c r="BE34" s="43">
        <f t="shared" si="103"/>
        <v>51366.626517187069</v>
      </c>
      <c r="BG34" s="46" t="str">
        <f t="shared" si="109"/>
        <v>Employee 5</v>
      </c>
      <c r="BH34" s="43">
        <f t="shared" si="104"/>
        <v>6772.9083665338649</v>
      </c>
      <c r="BI34" s="43">
        <f t="shared" si="108"/>
        <v>415000</v>
      </c>
      <c r="BJ34" s="43">
        <f t="shared" si="105"/>
        <v>408227.09163346613</v>
      </c>
      <c r="BK34" s="47">
        <f>IFERROR(BJ34/BH34,0)</f>
        <v>60.273529411764706</v>
      </c>
    </row>
    <row r="35" spans="2:63" x14ac:dyDescent="0.15">
      <c r="B35" s="26"/>
      <c r="C35" s="510" t="s">
        <v>196</v>
      </c>
      <c r="D35" s="85"/>
      <c r="E35" s="86"/>
      <c r="F35" s="87"/>
      <c r="G35" s="507">
        <v>100000</v>
      </c>
      <c r="H35" s="82">
        <f t="shared" si="72"/>
        <v>6.6666666666666671E-3</v>
      </c>
      <c r="I35" s="41">
        <f t="shared" si="73"/>
        <v>1.5649452269170579E-3</v>
      </c>
      <c r="J35" s="507">
        <v>25000</v>
      </c>
      <c r="K35" s="82">
        <f t="shared" si="74"/>
        <v>8.3333333333333332E-3</v>
      </c>
      <c r="L35" s="41">
        <f t="shared" si="75"/>
        <v>1.9500780031201249E-3</v>
      </c>
      <c r="M35" s="519"/>
      <c r="N35" s="82">
        <f t="shared" si="76"/>
        <v>8.3333333333333332E-3</v>
      </c>
      <c r="O35" s="41">
        <f t="shared" si="77"/>
        <v>1.6318537859007832E-3</v>
      </c>
      <c r="P35" s="521"/>
      <c r="Q35" s="82">
        <f t="shared" si="78"/>
        <v>8.3333333333333332E-3</v>
      </c>
      <c r="R35" s="41">
        <f t="shared" si="79"/>
        <v>1.6318537859007832E-3</v>
      </c>
      <c r="S35" s="526"/>
      <c r="T35" s="82">
        <f t="shared" si="80"/>
        <v>8.3333333333333332E-3</v>
      </c>
      <c r="U35" s="42">
        <f t="shared" si="81"/>
        <v>1.6318537859007832E-3</v>
      </c>
      <c r="V35" s="523"/>
      <c r="W35" s="82">
        <f t="shared" si="82"/>
        <v>7.8125E-3</v>
      </c>
      <c r="X35" s="41">
        <f t="shared" si="83"/>
        <v>1.6318537859007832E-3</v>
      </c>
      <c r="Y35" s="523"/>
      <c r="Z35" s="82">
        <f t="shared" si="84"/>
        <v>7.8125E-3</v>
      </c>
      <c r="AA35" s="41">
        <f t="shared" si="85"/>
        <v>1.6318537859007832E-3</v>
      </c>
      <c r="AB35" s="88"/>
      <c r="AC35" s="82">
        <f t="shared" si="86"/>
        <v>7.8125E-3</v>
      </c>
      <c r="AD35" s="41">
        <f t="shared" si="87"/>
        <v>1.6318537859007832E-3</v>
      </c>
      <c r="AE35" s="88"/>
      <c r="AF35" s="82">
        <f t="shared" si="88"/>
        <v>7.8125E-3</v>
      </c>
      <c r="AG35" s="41">
        <f t="shared" si="89"/>
        <v>1.6318537859007832E-3</v>
      </c>
      <c r="AH35" s="88"/>
      <c r="AI35" s="82">
        <f t="shared" si="90"/>
        <v>7.8125E-3</v>
      </c>
      <c r="AJ35" s="41">
        <f t="shared" si="91"/>
        <v>1.6318537859007832E-3</v>
      </c>
      <c r="AK35" s="88"/>
      <c r="AL35" s="82">
        <f t="shared" si="92"/>
        <v>7.8125E-3</v>
      </c>
      <c r="AM35" s="41">
        <f t="shared" si="93"/>
        <v>1.6318537859007832E-3</v>
      </c>
      <c r="AN35" s="88"/>
      <c r="AO35" s="82">
        <f t="shared" si="94"/>
        <v>7.8125E-3</v>
      </c>
      <c r="AP35" s="41">
        <f t="shared" si="95"/>
        <v>1.6318537859007832E-3</v>
      </c>
      <c r="AQ35" s="88"/>
      <c r="AR35" s="82">
        <f t="shared" si="96"/>
        <v>7.8125E-3</v>
      </c>
      <c r="AS35" s="41">
        <f t="shared" si="97"/>
        <v>1.6318537859007832E-3</v>
      </c>
      <c r="AT35" s="88"/>
      <c r="AU35" s="82">
        <f t="shared" si="98"/>
        <v>7.8125E-3</v>
      </c>
      <c r="AV35" s="41">
        <f t="shared" si="99"/>
        <v>1.6297262059973925E-3</v>
      </c>
      <c r="AW35" s="88"/>
      <c r="AX35" s="82">
        <f t="shared" si="100"/>
        <v>7.8125E-3</v>
      </c>
      <c r="AY35" s="41">
        <f t="shared" si="101"/>
        <v>1.6288767266093302E-3</v>
      </c>
      <c r="BA35" s="49">
        <f t="shared" si="106"/>
        <v>58139.534883720931</v>
      </c>
      <c r="BB35" s="50">
        <f t="shared" si="107"/>
        <v>125000</v>
      </c>
      <c r="BC35" s="45">
        <f t="shared" si="102"/>
        <v>1.358695652173913E-3</v>
      </c>
      <c r="BD35" s="84"/>
      <c r="BE35" s="43">
        <f t="shared" si="103"/>
        <v>51366.626517187069</v>
      </c>
      <c r="BG35" s="46" t="str">
        <f t="shared" si="109"/>
        <v>Employee 6</v>
      </c>
      <c r="BH35" s="43">
        <f t="shared" si="104"/>
        <v>6772.9083665338649</v>
      </c>
      <c r="BI35" s="43">
        <f t="shared" si="108"/>
        <v>415000</v>
      </c>
      <c r="BJ35" s="43">
        <f t="shared" si="105"/>
        <v>408227.09163346613</v>
      </c>
      <c r="BK35" s="47">
        <f t="shared" ref="BK35:BK62" si="110">IFERROR(BJ35/BH35,0)</f>
        <v>60.273529411764706</v>
      </c>
    </row>
    <row r="36" spans="2:63" x14ac:dyDescent="0.15">
      <c r="B36" s="26"/>
      <c r="C36" s="506" t="s">
        <v>197</v>
      </c>
      <c r="D36" s="85"/>
      <c r="E36" s="86"/>
      <c r="F36" s="87"/>
      <c r="G36" s="507">
        <v>100000</v>
      </c>
      <c r="H36" s="82">
        <f t="shared" si="72"/>
        <v>6.6666666666666671E-3</v>
      </c>
      <c r="I36" s="41">
        <f t="shared" si="73"/>
        <v>1.5649452269170579E-3</v>
      </c>
      <c r="J36" s="507">
        <v>25000</v>
      </c>
      <c r="K36" s="82">
        <f t="shared" si="74"/>
        <v>8.3333333333333332E-3</v>
      </c>
      <c r="L36" s="41">
        <f t="shared" si="75"/>
        <v>1.9500780031201249E-3</v>
      </c>
      <c r="M36" s="519"/>
      <c r="N36" s="82">
        <f t="shared" si="76"/>
        <v>8.3333333333333332E-3</v>
      </c>
      <c r="O36" s="41">
        <f t="shared" si="77"/>
        <v>1.6318537859007832E-3</v>
      </c>
      <c r="P36" s="521"/>
      <c r="Q36" s="82">
        <f t="shared" si="78"/>
        <v>8.3333333333333332E-3</v>
      </c>
      <c r="R36" s="41">
        <f t="shared" si="79"/>
        <v>1.6318537859007832E-3</v>
      </c>
      <c r="S36" s="526"/>
      <c r="T36" s="82">
        <f t="shared" si="80"/>
        <v>8.3333333333333332E-3</v>
      </c>
      <c r="U36" s="42">
        <f t="shared" si="81"/>
        <v>1.6318537859007832E-3</v>
      </c>
      <c r="V36" s="523"/>
      <c r="W36" s="82">
        <f t="shared" si="82"/>
        <v>7.8125E-3</v>
      </c>
      <c r="X36" s="41">
        <f t="shared" si="83"/>
        <v>1.6318537859007832E-3</v>
      </c>
      <c r="Y36" s="523"/>
      <c r="Z36" s="82">
        <f t="shared" si="84"/>
        <v>7.8125E-3</v>
      </c>
      <c r="AA36" s="41">
        <f t="shared" si="85"/>
        <v>1.6318537859007832E-3</v>
      </c>
      <c r="AB36" s="88"/>
      <c r="AC36" s="82">
        <f t="shared" si="86"/>
        <v>7.8125E-3</v>
      </c>
      <c r="AD36" s="41">
        <f t="shared" si="87"/>
        <v>1.6318537859007832E-3</v>
      </c>
      <c r="AE36" s="88"/>
      <c r="AF36" s="82">
        <f t="shared" si="88"/>
        <v>7.8125E-3</v>
      </c>
      <c r="AG36" s="41">
        <f t="shared" si="89"/>
        <v>1.6318537859007832E-3</v>
      </c>
      <c r="AH36" s="88"/>
      <c r="AI36" s="82">
        <f t="shared" si="90"/>
        <v>7.8125E-3</v>
      </c>
      <c r="AJ36" s="41">
        <f t="shared" si="91"/>
        <v>1.6318537859007832E-3</v>
      </c>
      <c r="AK36" s="88"/>
      <c r="AL36" s="82">
        <f t="shared" si="92"/>
        <v>7.8125E-3</v>
      </c>
      <c r="AM36" s="41">
        <f t="shared" si="93"/>
        <v>1.6318537859007832E-3</v>
      </c>
      <c r="AN36" s="88"/>
      <c r="AO36" s="82">
        <f t="shared" si="94"/>
        <v>7.8125E-3</v>
      </c>
      <c r="AP36" s="41">
        <f t="shared" si="95"/>
        <v>1.6318537859007832E-3</v>
      </c>
      <c r="AQ36" s="88"/>
      <c r="AR36" s="82">
        <f t="shared" si="96"/>
        <v>7.8125E-3</v>
      </c>
      <c r="AS36" s="41">
        <f t="shared" si="97"/>
        <v>1.6318537859007832E-3</v>
      </c>
      <c r="AT36" s="88"/>
      <c r="AU36" s="82">
        <f t="shared" si="98"/>
        <v>7.8125E-3</v>
      </c>
      <c r="AV36" s="41">
        <f t="shared" si="99"/>
        <v>1.6297262059973925E-3</v>
      </c>
      <c r="AW36" s="88"/>
      <c r="AX36" s="82">
        <f t="shared" si="100"/>
        <v>7.8125E-3</v>
      </c>
      <c r="AY36" s="41">
        <f t="shared" si="101"/>
        <v>1.6288767266093302E-3</v>
      </c>
      <c r="BA36" s="49">
        <f t="shared" si="106"/>
        <v>58139.534883720931</v>
      </c>
      <c r="BB36" s="50">
        <f t="shared" si="107"/>
        <v>125000</v>
      </c>
      <c r="BC36" s="45">
        <f t="shared" si="102"/>
        <v>1.358695652173913E-3</v>
      </c>
      <c r="BD36" s="84"/>
      <c r="BE36" s="43">
        <f t="shared" si="103"/>
        <v>51366.626517187069</v>
      </c>
      <c r="BG36" s="46" t="str">
        <f t="shared" si="109"/>
        <v>Employee 7</v>
      </c>
      <c r="BH36" s="43">
        <f t="shared" si="104"/>
        <v>6772.9083665338649</v>
      </c>
      <c r="BI36" s="43">
        <f t="shared" si="108"/>
        <v>415000</v>
      </c>
      <c r="BJ36" s="43">
        <f t="shared" si="105"/>
        <v>408227.09163346613</v>
      </c>
      <c r="BK36" s="47">
        <f t="shared" si="110"/>
        <v>60.273529411764706</v>
      </c>
    </row>
    <row r="37" spans="2:63" x14ac:dyDescent="0.15">
      <c r="B37" s="26"/>
      <c r="C37" s="506" t="s">
        <v>198</v>
      </c>
      <c r="D37" s="85"/>
      <c r="E37" s="86"/>
      <c r="F37" s="87"/>
      <c r="G37" s="509">
        <v>100000</v>
      </c>
      <c r="H37" s="82">
        <f t="shared" si="72"/>
        <v>6.6666666666666671E-3</v>
      </c>
      <c r="I37" s="41">
        <f t="shared" si="73"/>
        <v>1.5649452269170579E-3</v>
      </c>
      <c r="J37" s="507">
        <v>25000</v>
      </c>
      <c r="K37" s="82">
        <f t="shared" si="74"/>
        <v>8.3333333333333332E-3</v>
      </c>
      <c r="L37" s="41">
        <f t="shared" si="75"/>
        <v>1.9500780031201249E-3</v>
      </c>
      <c r="M37" s="520"/>
      <c r="N37" s="82">
        <f t="shared" si="76"/>
        <v>8.3333333333333332E-3</v>
      </c>
      <c r="O37" s="41">
        <f t="shared" si="77"/>
        <v>1.6318537859007832E-3</v>
      </c>
      <c r="P37" s="520"/>
      <c r="Q37" s="82">
        <f t="shared" si="78"/>
        <v>8.3333333333333332E-3</v>
      </c>
      <c r="R37" s="41">
        <f t="shared" si="79"/>
        <v>1.6318537859007832E-3</v>
      </c>
      <c r="S37" s="526"/>
      <c r="T37" s="82">
        <f t="shared" si="80"/>
        <v>8.3333333333333332E-3</v>
      </c>
      <c r="U37" s="42">
        <f t="shared" si="81"/>
        <v>1.6318537859007832E-3</v>
      </c>
      <c r="V37" s="523"/>
      <c r="W37" s="82">
        <f t="shared" si="82"/>
        <v>7.8125E-3</v>
      </c>
      <c r="X37" s="41">
        <f t="shared" si="83"/>
        <v>1.6318537859007832E-3</v>
      </c>
      <c r="Y37" s="523"/>
      <c r="Z37" s="82">
        <f t="shared" si="84"/>
        <v>7.8125E-3</v>
      </c>
      <c r="AA37" s="41">
        <f t="shared" si="85"/>
        <v>1.6318537859007832E-3</v>
      </c>
      <c r="AB37" s="88"/>
      <c r="AC37" s="82">
        <f t="shared" si="86"/>
        <v>7.8125E-3</v>
      </c>
      <c r="AD37" s="41">
        <f t="shared" si="87"/>
        <v>1.6318537859007832E-3</v>
      </c>
      <c r="AE37" s="88"/>
      <c r="AF37" s="82">
        <f t="shared" si="88"/>
        <v>7.8125E-3</v>
      </c>
      <c r="AG37" s="41">
        <f t="shared" si="89"/>
        <v>1.6318537859007832E-3</v>
      </c>
      <c r="AH37" s="88"/>
      <c r="AI37" s="82">
        <f t="shared" si="90"/>
        <v>7.8125E-3</v>
      </c>
      <c r="AJ37" s="41">
        <f t="shared" si="91"/>
        <v>1.6318537859007832E-3</v>
      </c>
      <c r="AK37" s="88"/>
      <c r="AL37" s="82">
        <f t="shared" si="92"/>
        <v>7.8125E-3</v>
      </c>
      <c r="AM37" s="41">
        <f t="shared" si="93"/>
        <v>1.6318537859007832E-3</v>
      </c>
      <c r="AN37" s="88"/>
      <c r="AO37" s="82">
        <f t="shared" si="94"/>
        <v>7.8125E-3</v>
      </c>
      <c r="AP37" s="41">
        <f t="shared" si="95"/>
        <v>1.6318537859007832E-3</v>
      </c>
      <c r="AQ37" s="88"/>
      <c r="AR37" s="82">
        <f t="shared" si="96"/>
        <v>7.8125E-3</v>
      </c>
      <c r="AS37" s="41">
        <f t="shared" si="97"/>
        <v>1.6318537859007832E-3</v>
      </c>
      <c r="AT37" s="88"/>
      <c r="AU37" s="82">
        <f t="shared" si="98"/>
        <v>7.8125E-3</v>
      </c>
      <c r="AV37" s="41">
        <f t="shared" si="99"/>
        <v>1.6297262059973925E-3</v>
      </c>
      <c r="AW37" s="88"/>
      <c r="AX37" s="82">
        <f t="shared" si="100"/>
        <v>7.8125E-3</v>
      </c>
      <c r="AY37" s="41">
        <f t="shared" si="101"/>
        <v>1.6288767266093302E-3</v>
      </c>
      <c r="BA37" s="49">
        <f t="shared" si="106"/>
        <v>58139.534883720931</v>
      </c>
      <c r="BB37" s="50">
        <f t="shared" si="107"/>
        <v>125000</v>
      </c>
      <c r="BC37" s="45">
        <f t="shared" si="102"/>
        <v>1.358695652173913E-3</v>
      </c>
      <c r="BD37" s="84"/>
      <c r="BE37" s="43">
        <f t="shared" si="103"/>
        <v>51366.626517187069</v>
      </c>
      <c r="BG37" s="46" t="str">
        <f t="shared" si="109"/>
        <v>Employee 8</v>
      </c>
      <c r="BH37" s="43">
        <f t="shared" si="104"/>
        <v>6772.9083665338649</v>
      </c>
      <c r="BI37" s="43">
        <f t="shared" si="108"/>
        <v>415000</v>
      </c>
      <c r="BJ37" s="43">
        <f t="shared" si="105"/>
        <v>408227.09163346613</v>
      </c>
      <c r="BK37" s="47">
        <f t="shared" si="110"/>
        <v>60.273529411764706</v>
      </c>
    </row>
    <row r="38" spans="2:63" x14ac:dyDescent="0.15">
      <c r="B38" s="26"/>
      <c r="C38" s="508"/>
      <c r="D38" s="85"/>
      <c r="E38" s="86"/>
      <c r="F38" s="87"/>
      <c r="G38" s="85"/>
      <c r="H38" s="82">
        <f t="shared" si="72"/>
        <v>0</v>
      </c>
      <c r="I38" s="41">
        <f t="shared" si="73"/>
        <v>0</v>
      </c>
      <c r="J38" s="509"/>
      <c r="K38" s="82">
        <f t="shared" si="74"/>
        <v>0</v>
      </c>
      <c r="L38" s="41">
        <f t="shared" si="75"/>
        <v>0</v>
      </c>
      <c r="M38" s="521"/>
      <c r="N38" s="82">
        <f t="shared" si="76"/>
        <v>0</v>
      </c>
      <c r="O38" s="41">
        <f t="shared" si="77"/>
        <v>0</v>
      </c>
      <c r="P38" s="521"/>
      <c r="Q38" s="82">
        <f t="shared" si="78"/>
        <v>0</v>
      </c>
      <c r="R38" s="41">
        <f t="shared" si="79"/>
        <v>0</v>
      </c>
      <c r="S38" s="526"/>
      <c r="T38" s="82">
        <f t="shared" si="80"/>
        <v>0</v>
      </c>
      <c r="U38" s="42">
        <f t="shared" si="81"/>
        <v>0</v>
      </c>
      <c r="V38" s="523"/>
      <c r="W38" s="82">
        <f t="shared" si="82"/>
        <v>0</v>
      </c>
      <c r="X38" s="41">
        <f t="shared" si="83"/>
        <v>0</v>
      </c>
      <c r="Y38" s="523"/>
      <c r="Z38" s="82">
        <f t="shared" si="84"/>
        <v>0</v>
      </c>
      <c r="AA38" s="41">
        <f t="shared" si="85"/>
        <v>0</v>
      </c>
      <c r="AB38" s="88"/>
      <c r="AC38" s="82">
        <f t="shared" si="86"/>
        <v>0</v>
      </c>
      <c r="AD38" s="41">
        <f t="shared" si="87"/>
        <v>0</v>
      </c>
      <c r="AE38" s="88"/>
      <c r="AF38" s="82">
        <f t="shared" si="88"/>
        <v>0</v>
      </c>
      <c r="AG38" s="41">
        <f t="shared" si="89"/>
        <v>0</v>
      </c>
      <c r="AH38" s="88"/>
      <c r="AI38" s="82">
        <f t="shared" si="90"/>
        <v>0</v>
      </c>
      <c r="AJ38" s="41">
        <f t="shared" si="91"/>
        <v>0</v>
      </c>
      <c r="AK38" s="88"/>
      <c r="AL38" s="82">
        <f t="shared" si="92"/>
        <v>0</v>
      </c>
      <c r="AM38" s="41">
        <f t="shared" si="93"/>
        <v>0</v>
      </c>
      <c r="AN38" s="88"/>
      <c r="AO38" s="82">
        <f t="shared" si="94"/>
        <v>0</v>
      </c>
      <c r="AP38" s="41">
        <f t="shared" si="95"/>
        <v>0</v>
      </c>
      <c r="AQ38" s="88"/>
      <c r="AR38" s="82">
        <f t="shared" si="96"/>
        <v>0</v>
      </c>
      <c r="AS38" s="41">
        <f t="shared" si="97"/>
        <v>0</v>
      </c>
      <c r="AT38" s="88"/>
      <c r="AU38" s="82">
        <f t="shared" si="98"/>
        <v>0</v>
      </c>
      <c r="AV38" s="41">
        <f t="shared" si="99"/>
        <v>0</v>
      </c>
      <c r="AW38" s="88"/>
      <c r="AX38" s="82">
        <f t="shared" si="100"/>
        <v>0</v>
      </c>
      <c r="AY38" s="41">
        <f t="shared" si="101"/>
        <v>0</v>
      </c>
      <c r="BA38" s="49">
        <f t="shared" si="106"/>
        <v>0</v>
      </c>
      <c r="BB38" s="50">
        <f t="shared" si="107"/>
        <v>0</v>
      </c>
      <c r="BC38" s="45">
        <f t="shared" si="102"/>
        <v>0</v>
      </c>
      <c r="BD38" s="84"/>
      <c r="BE38" s="43">
        <f t="shared" si="103"/>
        <v>0</v>
      </c>
      <c r="BG38" s="46">
        <f t="shared" si="109"/>
        <v>0</v>
      </c>
      <c r="BH38" s="43">
        <f t="shared" si="104"/>
        <v>0</v>
      </c>
      <c r="BI38" s="43">
        <f t="shared" si="108"/>
        <v>0</v>
      </c>
      <c r="BJ38" s="43">
        <f t="shared" si="105"/>
        <v>0</v>
      </c>
      <c r="BK38" s="47">
        <f t="shared" si="110"/>
        <v>0</v>
      </c>
    </row>
    <row r="39" spans="2:63" x14ac:dyDescent="0.15">
      <c r="B39" s="26"/>
      <c r="C39" s="508"/>
      <c r="D39" s="85"/>
      <c r="E39" s="86"/>
      <c r="F39" s="87"/>
      <c r="G39" s="85"/>
      <c r="H39" s="82">
        <f t="shared" si="72"/>
        <v>0</v>
      </c>
      <c r="I39" s="41">
        <f t="shared" si="73"/>
        <v>0</v>
      </c>
      <c r="J39" s="514"/>
      <c r="K39" s="82">
        <f t="shared" si="74"/>
        <v>0</v>
      </c>
      <c r="L39" s="41">
        <f t="shared" si="75"/>
        <v>0</v>
      </c>
      <c r="M39" s="521"/>
      <c r="N39" s="82">
        <f t="shared" si="76"/>
        <v>0</v>
      </c>
      <c r="O39" s="41">
        <f t="shared" si="77"/>
        <v>0</v>
      </c>
      <c r="P39" s="521"/>
      <c r="Q39" s="82">
        <f t="shared" si="78"/>
        <v>0</v>
      </c>
      <c r="R39" s="41">
        <f t="shared" si="79"/>
        <v>0</v>
      </c>
      <c r="S39" s="526"/>
      <c r="T39" s="82">
        <f t="shared" si="80"/>
        <v>0</v>
      </c>
      <c r="U39" s="42">
        <f t="shared" si="81"/>
        <v>0</v>
      </c>
      <c r="V39" s="523"/>
      <c r="W39" s="82">
        <f t="shared" si="82"/>
        <v>0</v>
      </c>
      <c r="X39" s="41">
        <f t="shared" si="83"/>
        <v>0</v>
      </c>
      <c r="Y39" s="523"/>
      <c r="Z39" s="82">
        <f t="shared" si="84"/>
        <v>0</v>
      </c>
      <c r="AA39" s="41">
        <f t="shared" si="85"/>
        <v>0</v>
      </c>
      <c r="AB39" s="88"/>
      <c r="AC39" s="82">
        <f t="shared" si="86"/>
        <v>0</v>
      </c>
      <c r="AD39" s="41">
        <f t="shared" si="87"/>
        <v>0</v>
      </c>
      <c r="AE39" s="88"/>
      <c r="AF39" s="82">
        <f t="shared" si="88"/>
        <v>0</v>
      </c>
      <c r="AG39" s="41">
        <f t="shared" si="89"/>
        <v>0</v>
      </c>
      <c r="AH39" s="88"/>
      <c r="AI39" s="82">
        <f t="shared" si="90"/>
        <v>0</v>
      </c>
      <c r="AJ39" s="41">
        <f t="shared" si="91"/>
        <v>0</v>
      </c>
      <c r="AK39" s="88"/>
      <c r="AL39" s="82">
        <f t="shared" si="92"/>
        <v>0</v>
      </c>
      <c r="AM39" s="41">
        <f t="shared" si="93"/>
        <v>0</v>
      </c>
      <c r="AN39" s="88"/>
      <c r="AO39" s="82">
        <f t="shared" si="94"/>
        <v>0</v>
      </c>
      <c r="AP39" s="41">
        <f t="shared" si="95"/>
        <v>0</v>
      </c>
      <c r="AQ39" s="88"/>
      <c r="AR39" s="82">
        <f t="shared" si="96"/>
        <v>0</v>
      </c>
      <c r="AS39" s="41">
        <f t="shared" si="97"/>
        <v>0</v>
      </c>
      <c r="AT39" s="88"/>
      <c r="AU39" s="82">
        <f t="shared" si="98"/>
        <v>0</v>
      </c>
      <c r="AV39" s="41">
        <f t="shared" si="99"/>
        <v>0</v>
      </c>
      <c r="AW39" s="88"/>
      <c r="AX39" s="82">
        <f t="shared" si="100"/>
        <v>0</v>
      </c>
      <c r="AY39" s="41">
        <f t="shared" si="101"/>
        <v>0</v>
      </c>
      <c r="BA39" s="49">
        <f t="shared" si="106"/>
        <v>0</v>
      </c>
      <c r="BB39" s="50">
        <f t="shared" si="107"/>
        <v>0</v>
      </c>
      <c r="BC39" s="45">
        <f t="shared" si="102"/>
        <v>0</v>
      </c>
      <c r="BD39" s="84"/>
      <c r="BE39" s="43">
        <f t="shared" si="103"/>
        <v>0</v>
      </c>
      <c r="BG39" s="46">
        <f t="shared" si="109"/>
        <v>0</v>
      </c>
      <c r="BH39" s="43">
        <f t="shared" si="104"/>
        <v>0</v>
      </c>
      <c r="BI39" s="43">
        <f t="shared" si="108"/>
        <v>0</v>
      </c>
      <c r="BJ39" s="43">
        <f t="shared" si="105"/>
        <v>0</v>
      </c>
      <c r="BK39" s="47">
        <f t="shared" si="110"/>
        <v>0</v>
      </c>
    </row>
    <row r="40" spans="2:63" x14ac:dyDescent="0.15">
      <c r="B40" s="26"/>
      <c r="C40" s="508"/>
      <c r="D40" s="85"/>
      <c r="E40" s="86"/>
      <c r="F40" s="87"/>
      <c r="G40" s="85"/>
      <c r="H40" s="82">
        <f t="shared" si="72"/>
        <v>0</v>
      </c>
      <c r="I40" s="41">
        <f t="shared" si="73"/>
        <v>0</v>
      </c>
      <c r="J40" s="514"/>
      <c r="K40" s="82">
        <f t="shared" si="74"/>
        <v>0</v>
      </c>
      <c r="L40" s="41">
        <f t="shared" si="75"/>
        <v>0</v>
      </c>
      <c r="M40" s="521"/>
      <c r="N40" s="82">
        <f t="shared" si="76"/>
        <v>0</v>
      </c>
      <c r="O40" s="41">
        <f t="shared" si="77"/>
        <v>0</v>
      </c>
      <c r="P40" s="521"/>
      <c r="Q40" s="82">
        <f t="shared" si="78"/>
        <v>0</v>
      </c>
      <c r="R40" s="41">
        <f t="shared" si="79"/>
        <v>0</v>
      </c>
      <c r="S40" s="526"/>
      <c r="T40" s="82">
        <f t="shared" si="80"/>
        <v>0</v>
      </c>
      <c r="U40" s="42">
        <f t="shared" si="81"/>
        <v>0</v>
      </c>
      <c r="V40" s="523"/>
      <c r="W40" s="82">
        <f t="shared" si="82"/>
        <v>0</v>
      </c>
      <c r="X40" s="41">
        <f t="shared" si="83"/>
        <v>0</v>
      </c>
      <c r="Y40" s="523"/>
      <c r="Z40" s="82">
        <f t="shared" si="84"/>
        <v>0</v>
      </c>
      <c r="AA40" s="41">
        <f t="shared" si="85"/>
        <v>0</v>
      </c>
      <c r="AB40" s="88"/>
      <c r="AC40" s="82">
        <f t="shared" si="86"/>
        <v>0</v>
      </c>
      <c r="AD40" s="41">
        <f t="shared" si="87"/>
        <v>0</v>
      </c>
      <c r="AE40" s="88"/>
      <c r="AF40" s="82">
        <f t="shared" si="88"/>
        <v>0</v>
      </c>
      <c r="AG40" s="41">
        <f t="shared" si="89"/>
        <v>0</v>
      </c>
      <c r="AH40" s="88"/>
      <c r="AI40" s="82">
        <f t="shared" si="90"/>
        <v>0</v>
      </c>
      <c r="AJ40" s="41">
        <f t="shared" si="91"/>
        <v>0</v>
      </c>
      <c r="AK40" s="88"/>
      <c r="AL40" s="82">
        <f t="shared" si="92"/>
        <v>0</v>
      </c>
      <c r="AM40" s="41">
        <f t="shared" si="93"/>
        <v>0</v>
      </c>
      <c r="AN40" s="88"/>
      <c r="AO40" s="82">
        <f t="shared" si="94"/>
        <v>0</v>
      </c>
      <c r="AP40" s="41">
        <f t="shared" si="95"/>
        <v>0</v>
      </c>
      <c r="AQ40" s="88"/>
      <c r="AR40" s="82">
        <f t="shared" si="96"/>
        <v>0</v>
      </c>
      <c r="AS40" s="41">
        <f t="shared" si="97"/>
        <v>0</v>
      </c>
      <c r="AT40" s="88"/>
      <c r="AU40" s="82">
        <f t="shared" si="98"/>
        <v>0</v>
      </c>
      <c r="AV40" s="41">
        <f t="shared" si="99"/>
        <v>0</v>
      </c>
      <c r="AW40" s="88"/>
      <c r="AX40" s="82">
        <f t="shared" si="100"/>
        <v>0</v>
      </c>
      <c r="AY40" s="41">
        <f t="shared" si="101"/>
        <v>0</v>
      </c>
      <c r="BA40" s="49">
        <f t="shared" si="106"/>
        <v>0</v>
      </c>
      <c r="BB40" s="50">
        <f t="shared" si="107"/>
        <v>0</v>
      </c>
      <c r="BC40" s="45">
        <f t="shared" si="102"/>
        <v>0</v>
      </c>
      <c r="BD40" s="84"/>
      <c r="BE40" s="43">
        <f t="shared" si="103"/>
        <v>0</v>
      </c>
      <c r="BG40" s="46">
        <f t="shared" si="109"/>
        <v>0</v>
      </c>
      <c r="BH40" s="43">
        <f t="shared" si="104"/>
        <v>0</v>
      </c>
      <c r="BI40" s="43">
        <f t="shared" si="108"/>
        <v>0</v>
      </c>
      <c r="BJ40" s="43">
        <f t="shared" si="105"/>
        <v>0</v>
      </c>
      <c r="BK40" s="47">
        <f t="shared" si="110"/>
        <v>0</v>
      </c>
    </row>
    <row r="41" spans="2:63" x14ac:dyDescent="0.15">
      <c r="B41" s="26"/>
      <c r="C41" s="508"/>
      <c r="D41" s="85"/>
      <c r="E41" s="86"/>
      <c r="F41" s="87"/>
      <c r="G41" s="85"/>
      <c r="H41" s="82">
        <f t="shared" si="72"/>
        <v>0</v>
      </c>
      <c r="I41" s="41">
        <f t="shared" si="73"/>
        <v>0</v>
      </c>
      <c r="J41" s="509"/>
      <c r="K41" s="82">
        <f t="shared" si="74"/>
        <v>0</v>
      </c>
      <c r="L41" s="41">
        <f t="shared" si="75"/>
        <v>0</v>
      </c>
      <c r="M41" s="521"/>
      <c r="N41" s="82">
        <f t="shared" si="76"/>
        <v>0</v>
      </c>
      <c r="O41" s="41">
        <f t="shared" si="77"/>
        <v>0</v>
      </c>
      <c r="P41" s="521"/>
      <c r="Q41" s="82">
        <f t="shared" si="78"/>
        <v>0</v>
      </c>
      <c r="R41" s="41">
        <f t="shared" si="79"/>
        <v>0</v>
      </c>
      <c r="S41" s="526"/>
      <c r="T41" s="82">
        <f t="shared" si="80"/>
        <v>0</v>
      </c>
      <c r="U41" s="42">
        <f t="shared" si="81"/>
        <v>0</v>
      </c>
      <c r="V41" s="523"/>
      <c r="W41" s="82">
        <f t="shared" si="82"/>
        <v>0</v>
      </c>
      <c r="X41" s="41">
        <f t="shared" si="83"/>
        <v>0</v>
      </c>
      <c r="Y41" s="523"/>
      <c r="Z41" s="82">
        <f t="shared" si="84"/>
        <v>0</v>
      </c>
      <c r="AA41" s="41">
        <f t="shared" si="85"/>
        <v>0</v>
      </c>
      <c r="AB41" s="88"/>
      <c r="AC41" s="82">
        <f t="shared" si="86"/>
        <v>0</v>
      </c>
      <c r="AD41" s="83">
        <f t="shared" si="87"/>
        <v>0</v>
      </c>
      <c r="AE41" s="88"/>
      <c r="AF41" s="82">
        <f t="shared" si="88"/>
        <v>0</v>
      </c>
      <c r="AG41" s="41">
        <f t="shared" si="89"/>
        <v>0</v>
      </c>
      <c r="AH41" s="88"/>
      <c r="AI41" s="82">
        <f t="shared" si="90"/>
        <v>0</v>
      </c>
      <c r="AJ41" s="41">
        <f t="shared" si="91"/>
        <v>0</v>
      </c>
      <c r="AK41" s="88"/>
      <c r="AL41" s="82">
        <f t="shared" si="92"/>
        <v>0</v>
      </c>
      <c r="AM41" s="41">
        <f t="shared" si="93"/>
        <v>0</v>
      </c>
      <c r="AN41" s="88"/>
      <c r="AO41" s="82">
        <f t="shared" si="94"/>
        <v>0</v>
      </c>
      <c r="AP41" s="41">
        <f t="shared" si="95"/>
        <v>0</v>
      </c>
      <c r="AQ41" s="88"/>
      <c r="AR41" s="82">
        <f t="shared" si="96"/>
        <v>0</v>
      </c>
      <c r="AS41" s="41">
        <f t="shared" si="97"/>
        <v>0</v>
      </c>
      <c r="AT41" s="88"/>
      <c r="AU41" s="82">
        <f t="shared" si="98"/>
        <v>0</v>
      </c>
      <c r="AV41" s="41">
        <f t="shared" si="99"/>
        <v>0</v>
      </c>
      <c r="AW41" s="88"/>
      <c r="AX41" s="82">
        <f t="shared" si="100"/>
        <v>0</v>
      </c>
      <c r="AY41" s="41">
        <f t="shared" si="101"/>
        <v>0</v>
      </c>
      <c r="BA41" s="49">
        <f>BB41*AE$6</f>
        <v>0</v>
      </c>
      <c r="BB41" s="50">
        <f t="shared" si="107"/>
        <v>0</v>
      </c>
      <c r="BC41" s="45">
        <f t="shared" si="102"/>
        <v>0</v>
      </c>
      <c r="BD41" s="84"/>
      <c r="BE41" s="43">
        <f t="shared" si="103"/>
        <v>0</v>
      </c>
      <c r="BG41" s="46">
        <f t="shared" si="109"/>
        <v>0</v>
      </c>
      <c r="BH41" s="43">
        <f t="shared" si="104"/>
        <v>0</v>
      </c>
      <c r="BI41" s="43">
        <f t="shared" si="108"/>
        <v>0</v>
      </c>
      <c r="BJ41" s="43">
        <f t="shared" si="105"/>
        <v>0</v>
      </c>
      <c r="BK41" s="47">
        <f t="shared" si="110"/>
        <v>0</v>
      </c>
    </row>
    <row r="42" spans="2:63" x14ac:dyDescent="0.15">
      <c r="B42" s="26"/>
      <c r="C42" s="508"/>
      <c r="D42" s="85"/>
      <c r="E42" s="86"/>
      <c r="F42" s="87"/>
      <c r="G42" s="85"/>
      <c r="H42" s="82">
        <f t="shared" si="72"/>
        <v>0</v>
      </c>
      <c r="I42" s="41">
        <f t="shared" si="73"/>
        <v>0</v>
      </c>
      <c r="J42" s="514"/>
      <c r="K42" s="82">
        <f t="shared" si="74"/>
        <v>0</v>
      </c>
      <c r="L42" s="41">
        <f t="shared" si="75"/>
        <v>0</v>
      </c>
      <c r="M42" s="521"/>
      <c r="N42" s="82">
        <f t="shared" si="76"/>
        <v>0</v>
      </c>
      <c r="O42" s="41">
        <f t="shared" si="77"/>
        <v>0</v>
      </c>
      <c r="P42" s="521"/>
      <c r="Q42" s="82">
        <f t="shared" si="78"/>
        <v>0</v>
      </c>
      <c r="R42" s="41">
        <f t="shared" si="79"/>
        <v>0</v>
      </c>
      <c r="S42" s="526"/>
      <c r="T42" s="82">
        <f t="shared" si="80"/>
        <v>0</v>
      </c>
      <c r="U42" s="42">
        <f t="shared" si="81"/>
        <v>0</v>
      </c>
      <c r="V42" s="523"/>
      <c r="W42" s="82">
        <f t="shared" si="82"/>
        <v>0</v>
      </c>
      <c r="X42" s="41">
        <f t="shared" si="83"/>
        <v>0</v>
      </c>
      <c r="Y42" s="523"/>
      <c r="Z42" s="82">
        <f t="shared" si="84"/>
        <v>0</v>
      </c>
      <c r="AA42" s="41">
        <f t="shared" si="85"/>
        <v>0</v>
      </c>
      <c r="AB42" s="88"/>
      <c r="AC42" s="82">
        <f t="shared" si="86"/>
        <v>0</v>
      </c>
      <c r="AD42" s="41">
        <f t="shared" si="87"/>
        <v>0</v>
      </c>
      <c r="AE42" s="88"/>
      <c r="AF42" s="82">
        <f t="shared" si="88"/>
        <v>0</v>
      </c>
      <c r="AG42" s="41">
        <f t="shared" si="89"/>
        <v>0</v>
      </c>
      <c r="AH42" s="88"/>
      <c r="AI42" s="82">
        <f t="shared" si="90"/>
        <v>0</v>
      </c>
      <c r="AJ42" s="41">
        <f t="shared" si="91"/>
        <v>0</v>
      </c>
      <c r="AK42" s="88"/>
      <c r="AL42" s="82">
        <f t="shared" si="92"/>
        <v>0</v>
      </c>
      <c r="AM42" s="41">
        <f t="shared" si="93"/>
        <v>0</v>
      </c>
      <c r="AN42" s="88"/>
      <c r="AO42" s="82">
        <f t="shared" si="94"/>
        <v>0</v>
      </c>
      <c r="AP42" s="41">
        <f t="shared" si="95"/>
        <v>0</v>
      </c>
      <c r="AQ42" s="88"/>
      <c r="AR42" s="82">
        <f t="shared" si="96"/>
        <v>0</v>
      </c>
      <c r="AS42" s="41">
        <f t="shared" si="97"/>
        <v>0</v>
      </c>
      <c r="AT42" s="88"/>
      <c r="AU42" s="82">
        <f t="shared" si="98"/>
        <v>0</v>
      </c>
      <c r="AV42" s="41">
        <f t="shared" si="99"/>
        <v>0</v>
      </c>
      <c r="AW42" s="88"/>
      <c r="AX42" s="82">
        <f t="shared" si="100"/>
        <v>0</v>
      </c>
      <c r="AY42" s="41">
        <f t="shared" si="101"/>
        <v>0</v>
      </c>
      <c r="BA42" s="49">
        <f t="shared" si="106"/>
        <v>0</v>
      </c>
      <c r="BB42" s="50">
        <f t="shared" si="107"/>
        <v>0</v>
      </c>
      <c r="BC42" s="45">
        <f t="shared" si="102"/>
        <v>0</v>
      </c>
      <c r="BD42" s="84"/>
      <c r="BE42" s="43">
        <f t="shared" si="103"/>
        <v>0</v>
      </c>
      <c r="BG42" s="46">
        <f t="shared" si="109"/>
        <v>0</v>
      </c>
      <c r="BH42" s="43">
        <f t="shared" si="104"/>
        <v>0</v>
      </c>
      <c r="BI42" s="43">
        <f t="shared" si="108"/>
        <v>0</v>
      </c>
      <c r="BJ42" s="43">
        <f t="shared" si="105"/>
        <v>0</v>
      </c>
      <c r="BK42" s="47">
        <f t="shared" si="110"/>
        <v>0</v>
      </c>
    </row>
    <row r="43" spans="2:63" x14ac:dyDescent="0.15">
      <c r="B43" s="26"/>
      <c r="C43" s="508"/>
      <c r="D43" s="85"/>
      <c r="E43" s="86"/>
      <c r="F43" s="87"/>
      <c r="G43" s="85"/>
      <c r="H43" s="82">
        <f t="shared" si="72"/>
        <v>0</v>
      </c>
      <c r="I43" s="41">
        <f t="shared" si="73"/>
        <v>0</v>
      </c>
      <c r="J43" s="514"/>
      <c r="K43" s="82">
        <f t="shared" si="74"/>
        <v>0</v>
      </c>
      <c r="L43" s="41">
        <f t="shared" si="75"/>
        <v>0</v>
      </c>
      <c r="M43" s="521"/>
      <c r="N43" s="82">
        <f t="shared" si="76"/>
        <v>0</v>
      </c>
      <c r="O43" s="41">
        <f t="shared" si="77"/>
        <v>0</v>
      </c>
      <c r="P43" s="521"/>
      <c r="Q43" s="82">
        <f t="shared" si="78"/>
        <v>0</v>
      </c>
      <c r="R43" s="41">
        <f t="shared" si="79"/>
        <v>0</v>
      </c>
      <c r="S43" s="526"/>
      <c r="T43" s="82">
        <f t="shared" si="80"/>
        <v>0</v>
      </c>
      <c r="U43" s="42">
        <f t="shared" si="81"/>
        <v>0</v>
      </c>
      <c r="V43" s="523"/>
      <c r="W43" s="82">
        <f t="shared" si="82"/>
        <v>0</v>
      </c>
      <c r="X43" s="41">
        <f t="shared" si="83"/>
        <v>0</v>
      </c>
      <c r="Y43" s="523"/>
      <c r="Z43" s="82">
        <f t="shared" si="84"/>
        <v>0</v>
      </c>
      <c r="AA43" s="41">
        <f t="shared" si="85"/>
        <v>0</v>
      </c>
      <c r="AB43" s="88"/>
      <c r="AC43" s="82">
        <f t="shared" si="86"/>
        <v>0</v>
      </c>
      <c r="AD43" s="41">
        <f t="shared" si="87"/>
        <v>0</v>
      </c>
      <c r="AE43" s="88"/>
      <c r="AF43" s="82">
        <f t="shared" ref="AF43:AF50" si="111">(G43+J43+M43+V43+AE43+AB43+Y43+S43+P43)/$V$74</f>
        <v>0</v>
      </c>
      <c r="AG43" s="41">
        <f t="shared" si="89"/>
        <v>0</v>
      </c>
      <c r="AH43" s="88"/>
      <c r="AI43" s="82">
        <f t="shared" si="90"/>
        <v>0</v>
      </c>
      <c r="AJ43" s="41">
        <f t="shared" si="91"/>
        <v>0</v>
      </c>
      <c r="AK43" s="88"/>
      <c r="AL43" s="82">
        <f t="shared" si="92"/>
        <v>0</v>
      </c>
      <c r="AM43" s="41">
        <f t="shared" si="93"/>
        <v>0</v>
      </c>
      <c r="AN43" s="88"/>
      <c r="AO43" s="82">
        <f t="shared" si="94"/>
        <v>0</v>
      </c>
      <c r="AP43" s="41">
        <f t="shared" si="95"/>
        <v>0</v>
      </c>
      <c r="AQ43" s="88"/>
      <c r="AR43" s="82">
        <f t="shared" si="96"/>
        <v>0</v>
      </c>
      <c r="AS43" s="41">
        <f t="shared" si="97"/>
        <v>0</v>
      </c>
      <c r="AT43" s="88"/>
      <c r="AU43" s="82">
        <f t="shared" si="98"/>
        <v>0</v>
      </c>
      <c r="AV43" s="41">
        <f t="shared" si="99"/>
        <v>0</v>
      </c>
      <c r="AW43" s="88"/>
      <c r="AX43" s="82">
        <f t="shared" si="100"/>
        <v>0</v>
      </c>
      <c r="AY43" s="41">
        <f t="shared" si="101"/>
        <v>0</v>
      </c>
      <c r="BA43" s="49">
        <f>BB43*AE$6</f>
        <v>0</v>
      </c>
      <c r="BB43" s="50">
        <f t="shared" si="107"/>
        <v>0</v>
      </c>
      <c r="BC43" s="45">
        <f t="shared" si="102"/>
        <v>0</v>
      </c>
      <c r="BD43" s="84"/>
      <c r="BE43" s="43">
        <f>(BB43*AE$6)-((G43*G$6)+(J43*J$6)+(M43*M$6)+(P43*P$6)+(S43*S$6)+(V43*V$6)+(Y43*Y$6)+(AB43*AB$6))</f>
        <v>0</v>
      </c>
      <c r="BG43" s="46">
        <f t="shared" si="109"/>
        <v>0</v>
      </c>
      <c r="BH43" s="43">
        <f t="shared" si="104"/>
        <v>0</v>
      </c>
      <c r="BI43" s="43">
        <f t="shared" si="108"/>
        <v>0</v>
      </c>
      <c r="BJ43" s="43">
        <f t="shared" ref="BJ43:BJ55" si="112">BI43-BH43</f>
        <v>0</v>
      </c>
      <c r="BK43" s="47">
        <f t="shared" si="110"/>
        <v>0</v>
      </c>
    </row>
    <row r="44" spans="2:63" x14ac:dyDescent="0.15">
      <c r="B44" s="26"/>
      <c r="C44" s="508"/>
      <c r="D44" s="85"/>
      <c r="E44" s="86"/>
      <c r="F44" s="87"/>
      <c r="G44" s="85"/>
      <c r="H44" s="82">
        <f t="shared" si="72"/>
        <v>0</v>
      </c>
      <c r="I44" s="41">
        <f t="shared" si="73"/>
        <v>0</v>
      </c>
      <c r="J44" s="514"/>
      <c r="K44" s="82">
        <f t="shared" si="74"/>
        <v>0</v>
      </c>
      <c r="L44" s="41">
        <f t="shared" si="75"/>
        <v>0</v>
      </c>
      <c r="M44" s="521"/>
      <c r="N44" s="82">
        <f t="shared" si="76"/>
        <v>0</v>
      </c>
      <c r="O44" s="41">
        <f t="shared" si="77"/>
        <v>0</v>
      </c>
      <c r="P44" s="521"/>
      <c r="Q44" s="82">
        <f t="shared" si="78"/>
        <v>0</v>
      </c>
      <c r="R44" s="41">
        <f t="shared" si="79"/>
        <v>0</v>
      </c>
      <c r="S44" s="526"/>
      <c r="T44" s="82">
        <f t="shared" si="80"/>
        <v>0</v>
      </c>
      <c r="U44" s="42">
        <f t="shared" si="81"/>
        <v>0</v>
      </c>
      <c r="V44" s="523"/>
      <c r="W44" s="82">
        <f t="shared" si="82"/>
        <v>0</v>
      </c>
      <c r="X44" s="41">
        <f t="shared" si="83"/>
        <v>0</v>
      </c>
      <c r="Y44" s="523"/>
      <c r="Z44" s="82">
        <f t="shared" si="84"/>
        <v>0</v>
      </c>
      <c r="AA44" s="41">
        <f t="shared" si="85"/>
        <v>0</v>
      </c>
      <c r="AB44" s="88"/>
      <c r="AC44" s="82">
        <f t="shared" si="86"/>
        <v>0</v>
      </c>
      <c r="AD44" s="41">
        <f t="shared" si="87"/>
        <v>0</v>
      </c>
      <c r="AE44" s="88"/>
      <c r="AF44" s="82">
        <f t="shared" si="111"/>
        <v>0</v>
      </c>
      <c r="AG44" s="41">
        <f t="shared" si="89"/>
        <v>0</v>
      </c>
      <c r="AH44" s="88"/>
      <c r="AI44" s="82">
        <f t="shared" si="90"/>
        <v>0</v>
      </c>
      <c r="AJ44" s="41">
        <f t="shared" si="91"/>
        <v>0</v>
      </c>
      <c r="AK44" s="88"/>
      <c r="AL44" s="82">
        <f t="shared" si="92"/>
        <v>0</v>
      </c>
      <c r="AM44" s="41">
        <f t="shared" si="93"/>
        <v>0</v>
      </c>
      <c r="AN44" s="88"/>
      <c r="AO44" s="82">
        <f t="shared" si="94"/>
        <v>0</v>
      </c>
      <c r="AP44" s="41">
        <f t="shared" si="95"/>
        <v>0</v>
      </c>
      <c r="AQ44" s="88"/>
      <c r="AR44" s="82">
        <f t="shared" si="96"/>
        <v>0</v>
      </c>
      <c r="AS44" s="41">
        <f t="shared" si="97"/>
        <v>0</v>
      </c>
      <c r="AT44" s="88"/>
      <c r="AU44" s="82">
        <f t="shared" si="98"/>
        <v>0</v>
      </c>
      <c r="AV44" s="41">
        <f t="shared" si="99"/>
        <v>0</v>
      </c>
      <c r="AW44" s="88"/>
      <c r="AX44" s="82">
        <f t="shared" si="100"/>
        <v>0</v>
      </c>
      <c r="AY44" s="41">
        <f t="shared" si="101"/>
        <v>0</v>
      </c>
      <c r="BA44" s="49">
        <f>BB44*AE$6</f>
        <v>0</v>
      </c>
      <c r="BB44" s="50">
        <f t="shared" si="107"/>
        <v>0</v>
      </c>
      <c r="BC44" s="45">
        <f t="shared" si="102"/>
        <v>0</v>
      </c>
      <c r="BD44" s="84"/>
      <c r="BE44" s="43">
        <f>(BB44*AE$6)-((G44*G$6)+(J44*J$6)+(M44*M$6)+(P44*P$6)+(S44*S$6)+(V44*V$6)+(Y44*Y$6)+(AB44*AB$6))</f>
        <v>0</v>
      </c>
      <c r="BG44" s="46">
        <f t="shared" si="109"/>
        <v>0</v>
      </c>
      <c r="BH44" s="43">
        <f t="shared" si="104"/>
        <v>0</v>
      </c>
      <c r="BI44" s="43">
        <f t="shared" si="108"/>
        <v>0</v>
      </c>
      <c r="BJ44" s="43">
        <f t="shared" si="112"/>
        <v>0</v>
      </c>
      <c r="BK44" s="47">
        <f t="shared" si="110"/>
        <v>0</v>
      </c>
    </row>
    <row r="45" spans="2:63" x14ac:dyDescent="0.15">
      <c r="B45" s="26"/>
      <c r="C45" s="508"/>
      <c r="D45" s="85"/>
      <c r="E45" s="86"/>
      <c r="F45" s="87"/>
      <c r="G45" s="85"/>
      <c r="H45" s="82">
        <f t="shared" si="72"/>
        <v>0</v>
      </c>
      <c r="I45" s="41">
        <f t="shared" si="73"/>
        <v>0</v>
      </c>
      <c r="J45" s="85"/>
      <c r="K45" s="82">
        <f t="shared" si="74"/>
        <v>0</v>
      </c>
      <c r="L45" s="41">
        <f t="shared" si="75"/>
        <v>0</v>
      </c>
      <c r="M45" s="521"/>
      <c r="N45" s="82">
        <f t="shared" si="76"/>
        <v>0</v>
      </c>
      <c r="O45" s="41">
        <f t="shared" si="77"/>
        <v>0</v>
      </c>
      <c r="P45" s="521"/>
      <c r="Q45" s="82">
        <f t="shared" si="78"/>
        <v>0</v>
      </c>
      <c r="R45" s="41">
        <f t="shared" si="79"/>
        <v>0</v>
      </c>
      <c r="S45" s="526"/>
      <c r="T45" s="82">
        <f t="shared" si="80"/>
        <v>0</v>
      </c>
      <c r="U45" s="42">
        <f t="shared" si="81"/>
        <v>0</v>
      </c>
      <c r="V45" s="523"/>
      <c r="W45" s="82">
        <f t="shared" si="82"/>
        <v>0</v>
      </c>
      <c r="X45" s="41">
        <f t="shared" si="83"/>
        <v>0</v>
      </c>
      <c r="Y45" s="523"/>
      <c r="Z45" s="82">
        <f t="shared" si="84"/>
        <v>0</v>
      </c>
      <c r="AA45" s="41">
        <f t="shared" si="85"/>
        <v>0</v>
      </c>
      <c r="AB45" s="88"/>
      <c r="AC45" s="82">
        <f t="shared" si="86"/>
        <v>0</v>
      </c>
      <c r="AD45" s="41">
        <f t="shared" si="87"/>
        <v>0</v>
      </c>
      <c r="AE45" s="88"/>
      <c r="AF45" s="82">
        <f t="shared" si="111"/>
        <v>0</v>
      </c>
      <c r="AG45" s="41">
        <f t="shared" si="89"/>
        <v>0</v>
      </c>
      <c r="AH45" s="88"/>
      <c r="AI45" s="82">
        <f t="shared" si="90"/>
        <v>0</v>
      </c>
      <c r="AJ45" s="41">
        <f t="shared" si="91"/>
        <v>0</v>
      </c>
      <c r="AK45" s="88"/>
      <c r="AL45" s="82">
        <f t="shared" si="92"/>
        <v>0</v>
      </c>
      <c r="AM45" s="41">
        <f t="shared" si="93"/>
        <v>0</v>
      </c>
      <c r="AN45" s="88"/>
      <c r="AO45" s="82">
        <f t="shared" si="94"/>
        <v>0</v>
      </c>
      <c r="AP45" s="41">
        <f t="shared" si="95"/>
        <v>0</v>
      </c>
      <c r="AQ45" s="88"/>
      <c r="AR45" s="82">
        <f t="shared" si="96"/>
        <v>0</v>
      </c>
      <c r="AS45" s="41">
        <f t="shared" si="97"/>
        <v>0</v>
      </c>
      <c r="AT45" s="88"/>
      <c r="AU45" s="82">
        <f t="shared" si="98"/>
        <v>0</v>
      </c>
      <c r="AV45" s="41">
        <f t="shared" si="99"/>
        <v>0</v>
      </c>
      <c r="AW45" s="88"/>
      <c r="AX45" s="82">
        <f t="shared" si="100"/>
        <v>0</v>
      </c>
      <c r="AY45" s="41">
        <f t="shared" si="101"/>
        <v>0</v>
      </c>
      <c r="BA45" s="49">
        <f t="shared" si="106"/>
        <v>0</v>
      </c>
      <c r="BB45" s="50">
        <f t="shared" si="107"/>
        <v>0</v>
      </c>
      <c r="BC45" s="45">
        <f t="shared" si="102"/>
        <v>0</v>
      </c>
      <c r="BD45" s="84"/>
      <c r="BE45" s="43">
        <f t="shared" si="103"/>
        <v>0</v>
      </c>
      <c r="BG45" s="46">
        <f t="shared" si="109"/>
        <v>0</v>
      </c>
      <c r="BH45" s="43">
        <f t="shared" si="104"/>
        <v>0</v>
      </c>
      <c r="BI45" s="43">
        <f t="shared" si="108"/>
        <v>0</v>
      </c>
      <c r="BJ45" s="43">
        <f t="shared" si="112"/>
        <v>0</v>
      </c>
      <c r="BK45" s="47">
        <f t="shared" si="110"/>
        <v>0</v>
      </c>
    </row>
    <row r="46" spans="2:63" x14ac:dyDescent="0.15">
      <c r="B46" s="26"/>
      <c r="C46" s="508"/>
      <c r="D46" s="85"/>
      <c r="E46" s="86"/>
      <c r="F46" s="87"/>
      <c r="G46" s="85"/>
      <c r="H46" s="82">
        <f t="shared" si="72"/>
        <v>0</v>
      </c>
      <c r="I46" s="41">
        <f t="shared" si="73"/>
        <v>0</v>
      </c>
      <c r="J46" s="85"/>
      <c r="K46" s="82">
        <f t="shared" si="74"/>
        <v>0</v>
      </c>
      <c r="L46" s="41">
        <f t="shared" si="75"/>
        <v>0</v>
      </c>
      <c r="M46" s="521"/>
      <c r="N46" s="82">
        <f t="shared" si="76"/>
        <v>0</v>
      </c>
      <c r="O46" s="41">
        <f t="shared" si="77"/>
        <v>0</v>
      </c>
      <c r="P46" s="521"/>
      <c r="Q46" s="82">
        <f t="shared" si="78"/>
        <v>0</v>
      </c>
      <c r="R46" s="41">
        <f t="shared" si="79"/>
        <v>0</v>
      </c>
      <c r="S46" s="526"/>
      <c r="T46" s="82">
        <f t="shared" si="80"/>
        <v>0</v>
      </c>
      <c r="U46" s="42">
        <f t="shared" si="81"/>
        <v>0</v>
      </c>
      <c r="V46" s="523"/>
      <c r="W46" s="82">
        <f t="shared" si="82"/>
        <v>0</v>
      </c>
      <c r="X46" s="41">
        <f t="shared" si="83"/>
        <v>0</v>
      </c>
      <c r="Y46" s="523"/>
      <c r="Z46" s="82">
        <f t="shared" si="84"/>
        <v>0</v>
      </c>
      <c r="AA46" s="41">
        <f t="shared" si="85"/>
        <v>0</v>
      </c>
      <c r="AB46" s="88"/>
      <c r="AC46" s="82">
        <f t="shared" si="86"/>
        <v>0</v>
      </c>
      <c r="AD46" s="41">
        <f t="shared" si="87"/>
        <v>0</v>
      </c>
      <c r="AE46" s="88"/>
      <c r="AF46" s="82">
        <f t="shared" si="111"/>
        <v>0</v>
      </c>
      <c r="AG46" s="41">
        <f t="shared" si="89"/>
        <v>0</v>
      </c>
      <c r="AH46" s="88"/>
      <c r="AI46" s="82">
        <f t="shared" si="90"/>
        <v>0</v>
      </c>
      <c r="AJ46" s="41">
        <f t="shared" si="91"/>
        <v>0</v>
      </c>
      <c r="AK46" s="88"/>
      <c r="AL46" s="82">
        <f t="shared" si="92"/>
        <v>0</v>
      </c>
      <c r="AM46" s="41">
        <f t="shared" si="93"/>
        <v>0</v>
      </c>
      <c r="AN46" s="88"/>
      <c r="AO46" s="82">
        <f t="shared" si="94"/>
        <v>0</v>
      </c>
      <c r="AP46" s="41">
        <f t="shared" si="95"/>
        <v>0</v>
      </c>
      <c r="AQ46" s="88"/>
      <c r="AR46" s="82">
        <f t="shared" si="96"/>
        <v>0</v>
      </c>
      <c r="AS46" s="41">
        <f t="shared" si="97"/>
        <v>0</v>
      </c>
      <c r="AT46" s="88"/>
      <c r="AU46" s="82">
        <f t="shared" si="98"/>
        <v>0</v>
      </c>
      <c r="AV46" s="41">
        <f t="shared" si="99"/>
        <v>0</v>
      </c>
      <c r="AW46" s="88"/>
      <c r="AX46" s="82">
        <f t="shared" si="100"/>
        <v>0</v>
      </c>
      <c r="AY46" s="41">
        <f t="shared" si="101"/>
        <v>0</v>
      </c>
      <c r="BA46" s="49">
        <f t="shared" si="106"/>
        <v>0</v>
      </c>
      <c r="BB46" s="50">
        <f t="shared" si="107"/>
        <v>0</v>
      </c>
      <c r="BC46" s="45">
        <f t="shared" si="102"/>
        <v>0</v>
      </c>
      <c r="BD46" s="84"/>
      <c r="BE46" s="43">
        <f t="shared" si="103"/>
        <v>0</v>
      </c>
      <c r="BG46" s="46">
        <f t="shared" si="109"/>
        <v>0</v>
      </c>
      <c r="BH46" s="43">
        <f t="shared" si="104"/>
        <v>0</v>
      </c>
      <c r="BI46" s="43">
        <f t="shared" si="108"/>
        <v>0</v>
      </c>
      <c r="BJ46" s="43">
        <f t="shared" si="112"/>
        <v>0</v>
      </c>
      <c r="BK46" s="47">
        <f t="shared" si="110"/>
        <v>0</v>
      </c>
    </row>
    <row r="47" spans="2:63" x14ac:dyDescent="0.15">
      <c r="B47" s="26"/>
      <c r="C47" s="508"/>
      <c r="D47" s="85"/>
      <c r="E47" s="86"/>
      <c r="F47" s="87"/>
      <c r="G47" s="85"/>
      <c r="H47" s="82">
        <f t="shared" si="72"/>
        <v>0</v>
      </c>
      <c r="I47" s="41">
        <f t="shared" si="73"/>
        <v>0</v>
      </c>
      <c r="J47" s="85"/>
      <c r="K47" s="82">
        <f t="shared" si="74"/>
        <v>0</v>
      </c>
      <c r="L47" s="41">
        <f t="shared" si="75"/>
        <v>0</v>
      </c>
      <c r="M47" s="521"/>
      <c r="N47" s="82">
        <f t="shared" si="76"/>
        <v>0</v>
      </c>
      <c r="O47" s="41">
        <f t="shared" si="77"/>
        <v>0</v>
      </c>
      <c r="P47" s="521"/>
      <c r="Q47" s="82">
        <f t="shared" si="78"/>
        <v>0</v>
      </c>
      <c r="R47" s="41">
        <f t="shared" si="79"/>
        <v>0</v>
      </c>
      <c r="S47" s="526"/>
      <c r="T47" s="82">
        <f t="shared" si="80"/>
        <v>0</v>
      </c>
      <c r="U47" s="42">
        <f t="shared" si="81"/>
        <v>0</v>
      </c>
      <c r="V47" s="523"/>
      <c r="W47" s="82">
        <f t="shared" si="82"/>
        <v>0</v>
      </c>
      <c r="X47" s="41">
        <f t="shared" si="83"/>
        <v>0</v>
      </c>
      <c r="Y47" s="523"/>
      <c r="Z47" s="82">
        <f t="shared" si="84"/>
        <v>0</v>
      </c>
      <c r="AA47" s="41">
        <f t="shared" si="85"/>
        <v>0</v>
      </c>
      <c r="AB47" s="88"/>
      <c r="AC47" s="82">
        <f t="shared" si="86"/>
        <v>0</v>
      </c>
      <c r="AD47" s="41">
        <f t="shared" si="87"/>
        <v>0</v>
      </c>
      <c r="AE47" s="88"/>
      <c r="AF47" s="82">
        <f t="shared" si="111"/>
        <v>0</v>
      </c>
      <c r="AG47" s="41">
        <f t="shared" si="89"/>
        <v>0</v>
      </c>
      <c r="AH47" s="88"/>
      <c r="AI47" s="82">
        <f t="shared" si="90"/>
        <v>0</v>
      </c>
      <c r="AJ47" s="41">
        <f t="shared" si="91"/>
        <v>0</v>
      </c>
      <c r="AK47" s="88"/>
      <c r="AL47" s="82">
        <f t="shared" si="92"/>
        <v>0</v>
      </c>
      <c r="AM47" s="41">
        <f t="shared" si="93"/>
        <v>0</v>
      </c>
      <c r="AN47" s="88"/>
      <c r="AO47" s="82">
        <f t="shared" si="94"/>
        <v>0</v>
      </c>
      <c r="AP47" s="41">
        <f t="shared" si="95"/>
        <v>0</v>
      </c>
      <c r="AQ47" s="88"/>
      <c r="AR47" s="82">
        <f t="shared" si="96"/>
        <v>0</v>
      </c>
      <c r="AS47" s="41">
        <f t="shared" si="97"/>
        <v>0</v>
      </c>
      <c r="AT47" s="88"/>
      <c r="AU47" s="82">
        <f t="shared" si="98"/>
        <v>0</v>
      </c>
      <c r="AV47" s="41">
        <f t="shared" si="99"/>
        <v>0</v>
      </c>
      <c r="AW47" s="88"/>
      <c r="AX47" s="82">
        <f t="shared" si="100"/>
        <v>0</v>
      </c>
      <c r="AY47" s="41">
        <f t="shared" si="101"/>
        <v>0</v>
      </c>
      <c r="BA47" s="49"/>
      <c r="BB47" s="50">
        <f t="shared" si="107"/>
        <v>0</v>
      </c>
      <c r="BC47" s="45">
        <f t="shared" si="102"/>
        <v>0</v>
      </c>
      <c r="BD47" s="84"/>
      <c r="BE47" s="43">
        <f t="shared" si="103"/>
        <v>0</v>
      </c>
      <c r="BG47" s="46">
        <f t="shared" si="109"/>
        <v>0</v>
      </c>
      <c r="BH47" s="43">
        <f t="shared" si="104"/>
        <v>0</v>
      </c>
      <c r="BI47" s="43">
        <f t="shared" si="108"/>
        <v>0</v>
      </c>
      <c r="BJ47" s="43">
        <f t="shared" si="112"/>
        <v>0</v>
      </c>
      <c r="BK47" s="47">
        <f t="shared" si="110"/>
        <v>0</v>
      </c>
    </row>
    <row r="48" spans="2:63" x14ac:dyDescent="0.15">
      <c r="B48" s="26"/>
      <c r="C48" s="508"/>
      <c r="D48" s="85"/>
      <c r="E48" s="86"/>
      <c r="F48" s="87"/>
      <c r="G48" s="85"/>
      <c r="H48" s="82">
        <f t="shared" si="72"/>
        <v>0</v>
      </c>
      <c r="I48" s="41">
        <f t="shared" si="73"/>
        <v>0</v>
      </c>
      <c r="J48" s="85"/>
      <c r="K48" s="82">
        <f t="shared" si="74"/>
        <v>0</v>
      </c>
      <c r="L48" s="41">
        <f t="shared" si="75"/>
        <v>0</v>
      </c>
      <c r="M48" s="521"/>
      <c r="N48" s="82">
        <f t="shared" si="76"/>
        <v>0</v>
      </c>
      <c r="O48" s="41">
        <f t="shared" si="77"/>
        <v>0</v>
      </c>
      <c r="P48" s="521"/>
      <c r="Q48" s="82">
        <f t="shared" si="78"/>
        <v>0</v>
      </c>
      <c r="R48" s="41">
        <f t="shared" si="79"/>
        <v>0</v>
      </c>
      <c r="S48" s="526"/>
      <c r="T48" s="82">
        <f t="shared" si="80"/>
        <v>0</v>
      </c>
      <c r="U48" s="42">
        <f t="shared" si="81"/>
        <v>0</v>
      </c>
      <c r="V48" s="523"/>
      <c r="W48" s="82">
        <f t="shared" si="82"/>
        <v>0</v>
      </c>
      <c r="X48" s="41">
        <f t="shared" si="83"/>
        <v>0</v>
      </c>
      <c r="Y48" s="523"/>
      <c r="Z48" s="82">
        <f t="shared" si="84"/>
        <v>0</v>
      </c>
      <c r="AA48" s="41">
        <f t="shared" si="85"/>
        <v>0</v>
      </c>
      <c r="AB48" s="88"/>
      <c r="AC48" s="82">
        <f t="shared" si="86"/>
        <v>0</v>
      </c>
      <c r="AD48" s="41">
        <f t="shared" si="87"/>
        <v>0</v>
      </c>
      <c r="AE48" s="88"/>
      <c r="AF48" s="82">
        <f t="shared" si="111"/>
        <v>0</v>
      </c>
      <c r="AG48" s="41">
        <f t="shared" si="89"/>
        <v>0</v>
      </c>
      <c r="AH48" s="88"/>
      <c r="AI48" s="82">
        <f t="shared" si="90"/>
        <v>0</v>
      </c>
      <c r="AJ48" s="41">
        <f t="shared" si="91"/>
        <v>0</v>
      </c>
      <c r="AK48" s="88"/>
      <c r="AL48" s="82">
        <f t="shared" si="92"/>
        <v>0</v>
      </c>
      <c r="AM48" s="41">
        <f t="shared" si="93"/>
        <v>0</v>
      </c>
      <c r="AN48" s="88"/>
      <c r="AO48" s="82">
        <f t="shared" si="94"/>
        <v>0</v>
      </c>
      <c r="AP48" s="41">
        <f t="shared" si="95"/>
        <v>0</v>
      </c>
      <c r="AQ48" s="88"/>
      <c r="AR48" s="82">
        <f t="shared" si="96"/>
        <v>0</v>
      </c>
      <c r="AS48" s="41">
        <f t="shared" si="97"/>
        <v>0</v>
      </c>
      <c r="AT48" s="88"/>
      <c r="AU48" s="82">
        <f t="shared" si="98"/>
        <v>0</v>
      </c>
      <c r="AV48" s="41">
        <f t="shared" si="99"/>
        <v>0</v>
      </c>
      <c r="AW48" s="88"/>
      <c r="AX48" s="82">
        <f t="shared" si="100"/>
        <v>0</v>
      </c>
      <c r="AY48" s="41">
        <f t="shared" si="101"/>
        <v>0</v>
      </c>
      <c r="BA48" s="49"/>
      <c r="BB48" s="50">
        <f t="shared" si="107"/>
        <v>0</v>
      </c>
      <c r="BC48" s="45">
        <f t="shared" si="102"/>
        <v>0</v>
      </c>
      <c r="BD48" s="84"/>
      <c r="BE48" s="43">
        <f t="shared" si="103"/>
        <v>0</v>
      </c>
      <c r="BG48" s="46">
        <f t="shared" si="109"/>
        <v>0</v>
      </c>
      <c r="BH48" s="43">
        <f t="shared" si="104"/>
        <v>0</v>
      </c>
      <c r="BI48" s="43">
        <f t="shared" si="108"/>
        <v>0</v>
      </c>
      <c r="BJ48" s="43">
        <f t="shared" si="112"/>
        <v>0</v>
      </c>
      <c r="BK48" s="47">
        <f t="shared" si="110"/>
        <v>0</v>
      </c>
    </row>
    <row r="49" spans="2:63" x14ac:dyDescent="0.15">
      <c r="B49" s="26"/>
      <c r="C49" s="508"/>
      <c r="D49" s="85"/>
      <c r="E49" s="86"/>
      <c r="F49" s="87"/>
      <c r="G49" s="85"/>
      <c r="H49" s="82">
        <f t="shared" si="72"/>
        <v>0</v>
      </c>
      <c r="I49" s="41">
        <f t="shared" si="73"/>
        <v>0</v>
      </c>
      <c r="J49" s="85"/>
      <c r="K49" s="82">
        <f t="shared" si="74"/>
        <v>0</v>
      </c>
      <c r="L49" s="41">
        <f t="shared" si="75"/>
        <v>0</v>
      </c>
      <c r="M49" s="521"/>
      <c r="N49" s="82">
        <f t="shared" si="76"/>
        <v>0</v>
      </c>
      <c r="O49" s="41">
        <f t="shared" si="77"/>
        <v>0</v>
      </c>
      <c r="P49" s="521"/>
      <c r="Q49" s="82">
        <f t="shared" si="78"/>
        <v>0</v>
      </c>
      <c r="R49" s="41">
        <f t="shared" si="79"/>
        <v>0</v>
      </c>
      <c r="S49" s="526"/>
      <c r="T49" s="82">
        <f t="shared" si="80"/>
        <v>0</v>
      </c>
      <c r="U49" s="42">
        <f t="shared" si="81"/>
        <v>0</v>
      </c>
      <c r="V49" s="523"/>
      <c r="W49" s="82">
        <f t="shared" si="82"/>
        <v>0</v>
      </c>
      <c r="X49" s="41">
        <f t="shared" si="83"/>
        <v>0</v>
      </c>
      <c r="Y49" s="523"/>
      <c r="Z49" s="82">
        <f t="shared" si="84"/>
        <v>0</v>
      </c>
      <c r="AA49" s="41">
        <f t="shared" si="85"/>
        <v>0</v>
      </c>
      <c r="AB49" s="88"/>
      <c r="AC49" s="82">
        <f t="shared" si="86"/>
        <v>0</v>
      </c>
      <c r="AD49" s="41">
        <f t="shared" si="87"/>
        <v>0</v>
      </c>
      <c r="AE49" s="88"/>
      <c r="AF49" s="82">
        <f t="shared" si="111"/>
        <v>0</v>
      </c>
      <c r="AG49" s="41">
        <f t="shared" si="89"/>
        <v>0</v>
      </c>
      <c r="AH49" s="88"/>
      <c r="AI49" s="82">
        <f t="shared" si="90"/>
        <v>0</v>
      </c>
      <c r="AJ49" s="41">
        <f t="shared" si="91"/>
        <v>0</v>
      </c>
      <c r="AK49" s="88"/>
      <c r="AL49" s="82">
        <f t="shared" si="92"/>
        <v>0</v>
      </c>
      <c r="AM49" s="41">
        <f t="shared" si="93"/>
        <v>0</v>
      </c>
      <c r="AN49" s="88"/>
      <c r="AO49" s="82">
        <f t="shared" si="94"/>
        <v>0</v>
      </c>
      <c r="AP49" s="41">
        <f t="shared" si="95"/>
        <v>0</v>
      </c>
      <c r="AQ49" s="88"/>
      <c r="AR49" s="82">
        <f t="shared" si="96"/>
        <v>0</v>
      </c>
      <c r="AS49" s="41">
        <f t="shared" si="97"/>
        <v>0</v>
      </c>
      <c r="AT49" s="88"/>
      <c r="AU49" s="82">
        <f t="shared" si="98"/>
        <v>0</v>
      </c>
      <c r="AV49" s="41">
        <f t="shared" si="99"/>
        <v>0</v>
      </c>
      <c r="AW49" s="88"/>
      <c r="AX49" s="82">
        <f t="shared" si="100"/>
        <v>0</v>
      </c>
      <c r="AY49" s="41">
        <f t="shared" si="101"/>
        <v>0</v>
      </c>
      <c r="BA49" s="49"/>
      <c r="BB49" s="50">
        <f t="shared" si="107"/>
        <v>0</v>
      </c>
      <c r="BC49" s="45">
        <f t="shared" si="102"/>
        <v>0</v>
      </c>
      <c r="BD49" s="84"/>
      <c r="BE49" s="43">
        <f t="shared" si="103"/>
        <v>0</v>
      </c>
      <c r="BG49" s="46">
        <f t="shared" si="109"/>
        <v>0</v>
      </c>
      <c r="BH49" s="43">
        <f t="shared" si="104"/>
        <v>0</v>
      </c>
      <c r="BI49" s="43">
        <f t="shared" si="108"/>
        <v>0</v>
      </c>
      <c r="BJ49" s="43">
        <f t="shared" si="112"/>
        <v>0</v>
      </c>
      <c r="BK49" s="47">
        <f t="shared" si="110"/>
        <v>0</v>
      </c>
    </row>
    <row r="50" spans="2:63" x14ac:dyDescent="0.15">
      <c r="B50" s="26"/>
      <c r="C50" s="508"/>
      <c r="D50" s="85"/>
      <c r="E50" s="86"/>
      <c r="F50" s="87"/>
      <c r="G50" s="85"/>
      <c r="H50" s="82">
        <f t="shared" si="72"/>
        <v>0</v>
      </c>
      <c r="I50" s="41">
        <f t="shared" si="73"/>
        <v>0</v>
      </c>
      <c r="J50" s="85"/>
      <c r="K50" s="82">
        <f t="shared" si="74"/>
        <v>0</v>
      </c>
      <c r="L50" s="41">
        <f t="shared" si="75"/>
        <v>0</v>
      </c>
      <c r="M50" s="521"/>
      <c r="N50" s="82">
        <f t="shared" si="76"/>
        <v>0</v>
      </c>
      <c r="O50" s="41">
        <f t="shared" si="77"/>
        <v>0</v>
      </c>
      <c r="P50" s="521"/>
      <c r="Q50" s="82">
        <f t="shared" si="78"/>
        <v>0</v>
      </c>
      <c r="R50" s="41">
        <f t="shared" si="79"/>
        <v>0</v>
      </c>
      <c r="S50" s="526"/>
      <c r="T50" s="82">
        <f t="shared" si="80"/>
        <v>0</v>
      </c>
      <c r="U50" s="42">
        <f t="shared" si="81"/>
        <v>0</v>
      </c>
      <c r="V50" s="523"/>
      <c r="W50" s="82">
        <f t="shared" si="82"/>
        <v>0</v>
      </c>
      <c r="X50" s="41">
        <f t="shared" si="83"/>
        <v>0</v>
      </c>
      <c r="Y50" s="523"/>
      <c r="Z50" s="82">
        <f t="shared" si="84"/>
        <v>0</v>
      </c>
      <c r="AA50" s="41">
        <f t="shared" si="85"/>
        <v>0</v>
      </c>
      <c r="AB50" s="88"/>
      <c r="AC50" s="82">
        <f t="shared" si="86"/>
        <v>0</v>
      </c>
      <c r="AD50" s="41">
        <f t="shared" si="87"/>
        <v>0</v>
      </c>
      <c r="AE50" s="88"/>
      <c r="AF50" s="82">
        <f t="shared" si="111"/>
        <v>0</v>
      </c>
      <c r="AG50" s="41">
        <f t="shared" si="89"/>
        <v>0</v>
      </c>
      <c r="AH50" s="88"/>
      <c r="AI50" s="82">
        <f t="shared" si="90"/>
        <v>0</v>
      </c>
      <c r="AJ50" s="41">
        <f t="shared" si="91"/>
        <v>0</v>
      </c>
      <c r="AK50" s="88"/>
      <c r="AL50" s="82">
        <f t="shared" si="92"/>
        <v>0</v>
      </c>
      <c r="AM50" s="41">
        <f t="shared" si="93"/>
        <v>0</v>
      </c>
      <c r="AN50" s="88"/>
      <c r="AO50" s="82">
        <f t="shared" si="94"/>
        <v>0</v>
      </c>
      <c r="AP50" s="41">
        <f t="shared" si="95"/>
        <v>0</v>
      </c>
      <c r="AQ50" s="88"/>
      <c r="AR50" s="82">
        <f t="shared" si="96"/>
        <v>0</v>
      </c>
      <c r="AS50" s="41">
        <f t="shared" si="97"/>
        <v>0</v>
      </c>
      <c r="AT50" s="88"/>
      <c r="AU50" s="82">
        <f t="shared" si="98"/>
        <v>0</v>
      </c>
      <c r="AV50" s="41">
        <f t="shared" si="99"/>
        <v>0</v>
      </c>
      <c r="AW50" s="88"/>
      <c r="AX50" s="82">
        <f t="shared" si="100"/>
        <v>0</v>
      </c>
      <c r="AY50" s="41">
        <f t="shared" si="101"/>
        <v>0</v>
      </c>
      <c r="BA50" s="49"/>
      <c r="BB50" s="50">
        <f t="shared" si="107"/>
        <v>0</v>
      </c>
      <c r="BC50" s="45">
        <f t="shared" si="102"/>
        <v>0</v>
      </c>
      <c r="BD50" s="84"/>
      <c r="BE50" s="43">
        <f t="shared" si="103"/>
        <v>0</v>
      </c>
      <c r="BG50" s="46">
        <f t="shared" si="109"/>
        <v>0</v>
      </c>
      <c r="BH50" s="43">
        <f t="shared" si="104"/>
        <v>0</v>
      </c>
      <c r="BI50" s="43">
        <f t="shared" si="108"/>
        <v>0</v>
      </c>
      <c r="BJ50" s="43">
        <f t="shared" si="112"/>
        <v>0</v>
      </c>
      <c r="BK50" s="47">
        <f t="shared" si="110"/>
        <v>0</v>
      </c>
    </row>
    <row r="51" spans="2:63" x14ac:dyDescent="0.15">
      <c r="B51" s="26"/>
      <c r="C51" s="508"/>
      <c r="D51" s="85"/>
      <c r="E51" s="86"/>
      <c r="F51" s="87"/>
      <c r="G51" s="85"/>
      <c r="H51" s="82">
        <f t="shared" ref="H51:H61" si="113">G51/$G$74</f>
        <v>0</v>
      </c>
      <c r="I51" s="41">
        <f t="shared" ref="I51:I61" si="114">(G51+D51)/$G$71</f>
        <v>0</v>
      </c>
      <c r="J51" s="85"/>
      <c r="K51" s="82">
        <f t="shared" ref="K51:K61" si="115">(J51+G51)/$J$74</f>
        <v>0</v>
      </c>
      <c r="L51" s="41">
        <f t="shared" ref="L51:L61" si="116">(J51+G51+D51)/$J$71</f>
        <v>0</v>
      </c>
      <c r="M51" s="521"/>
      <c r="N51" s="82">
        <f t="shared" ref="N51:N61" si="117">(M51+J51+G51)/$M$74</f>
        <v>0</v>
      </c>
      <c r="O51" s="41">
        <f t="shared" ref="O51:O61" si="118">(D51+G51+J51+M51)/$M$71</f>
        <v>0</v>
      </c>
      <c r="P51" s="521"/>
      <c r="Q51" s="82">
        <f t="shared" ref="Q51:Q61" si="119">(M51+P51+J51+G51)/$P$74</f>
        <v>0</v>
      </c>
      <c r="R51" s="41">
        <f t="shared" ref="R51:R61" si="120">(M51+D51+G51+J51+P51)/$P$71</f>
        <v>0</v>
      </c>
      <c r="S51" s="526"/>
      <c r="T51" s="82">
        <f t="shared" ref="T51:T61" si="121">(M51+S51+P51+J51+G51)/$S$74</f>
        <v>0</v>
      </c>
      <c r="U51" s="42">
        <f t="shared" ref="U51:U61" si="122">(M51+P51+S51+J51+G51+D51)/$S$71</f>
        <v>0</v>
      </c>
      <c r="V51" s="523"/>
      <c r="W51" s="82">
        <f t="shared" ref="W51:W61" si="123">(M51+V51+S51+P51+J51+G51)/$V$74</f>
        <v>0</v>
      </c>
      <c r="X51" s="41">
        <f t="shared" ref="X51:X61" si="124">(M51+S51+V51+P51+J51+G51)/V$71</f>
        <v>0</v>
      </c>
      <c r="Y51" s="523"/>
      <c r="Z51" s="82">
        <f t="shared" ref="Z51:Z61" si="125">(G51+P51+Y51+V51+S51+M51+J51)/$V$74</f>
        <v>0</v>
      </c>
      <c r="AA51" s="41">
        <f t="shared" ref="AA51:AA61" si="126">(G51+P51+V51+Y51+S51+M51+J51)/Y$71</f>
        <v>0</v>
      </c>
      <c r="AB51" s="88"/>
      <c r="AC51" s="82">
        <f t="shared" ref="AC51:AC61" si="127">(G51+J51+S51+AB51+Y51+V51+P51+M51)/$V$74</f>
        <v>0</v>
      </c>
      <c r="AD51" s="41">
        <f t="shared" ref="AD51:AD61" si="128">(G51+J51+S51+Y51+AB51+V51+P51+M51)/AB$71</f>
        <v>0</v>
      </c>
      <c r="AE51" s="88"/>
      <c r="AF51" s="82">
        <f t="shared" ref="AF51:AF61" si="129">(G51+J51+M51+V51+AE51+AB51+Y51+S51+P51)/$V$74</f>
        <v>0</v>
      </c>
      <c r="AG51" s="41">
        <f t="shared" ref="AG51:AG61" si="130">(G51+J51+M51+V51+AB51+AE51+Y51+S51+P51)/AE$71</f>
        <v>0</v>
      </c>
      <c r="AH51" s="88"/>
      <c r="AI51" s="82">
        <f t="shared" ref="AI51:AI61" si="131">(G51+J51+M51+P51+Y51+AH51+AE51+AB51+V51+S51)/$V$74</f>
        <v>0</v>
      </c>
      <c r="AJ51" s="41">
        <f t="shared" ref="AJ51:AJ61" si="132">(G51+J51+M51+P51+Y51+AE51+AH51+AB51+V51+S51)/AH$71</f>
        <v>0</v>
      </c>
      <c r="AK51" s="88"/>
      <c r="AL51" s="82">
        <f t="shared" ref="AL51:AL61" si="133">(G51+J51+M51+P51+S51+AB51+AK51+AH51+AE51+Y51+V51)/$V$74</f>
        <v>0</v>
      </c>
      <c r="AM51" s="41">
        <f t="shared" ref="AM51:AM61" si="134">(G51+J51+M51+P51+S51+AB51+AH51+AK51+AE51+Y51+V51)/AK$71</f>
        <v>0</v>
      </c>
      <c r="AN51" s="88"/>
      <c r="AO51" s="82">
        <f t="shared" ref="AO51:AO61" si="135">(G51+J51+M51+P51+S51+V51+AE51+AN51+AK51+AH51+AB51+Y51)/$V$74</f>
        <v>0</v>
      </c>
      <c r="AP51" s="41">
        <f t="shared" ref="AP51:AP61" si="136">(G51+J51+M51+P51+S51+V51+AE51+AK51+AN51+AH51+AB51+Y51)/AN$71</f>
        <v>0</v>
      </c>
      <c r="AQ51" s="88"/>
      <c r="AR51" s="82">
        <f t="shared" ref="AR51:AR61" si="137">(G51+J51+M51+P51+S51+V51+Y51+AH51+AQ51+AN51+AK51+AE51+AB51)/$V$74</f>
        <v>0</v>
      </c>
      <c r="AS51" s="41">
        <f t="shared" ref="AS51:AS61" si="138">(G51+J51+M51+P51+S51+V51+Y51+AH51+AN51+AQ51+AK51+AE51+AB51)/AQ$71</f>
        <v>0</v>
      </c>
      <c r="AT51" s="88"/>
      <c r="AU51" s="82">
        <f t="shared" ref="AU51:AU61" si="139">(G51+J51+M51+P51+S51+V51+Y51+AB51+AK51+AT51+AQ51+AN51+AH51+AE51)/$V$74</f>
        <v>0</v>
      </c>
      <c r="AV51" s="41">
        <f t="shared" ref="AV51:AV61" si="140">(G51+J51+M51+P51+S51+V51+Y51+AB51+AK51+AQ51+AT51+AN51+AH51+AE51)/AT$71</f>
        <v>0</v>
      </c>
      <c r="AW51" s="88"/>
      <c r="AX51" s="82">
        <f t="shared" ref="AX51:AX61" si="141">(G51+J51+M51+P51+S51+V51+Y51+AB51+AE51+AN51+AW51+AT51+AQ51+AK51+AH51)/$V$74</f>
        <v>0</v>
      </c>
      <c r="AY51" s="41">
        <f t="shared" ref="AY51:AY61" si="142">(G51+J51+M51+P51+S51+V51+Y51+AB51+AE51+AN51+AT51+AW51+AQ51+AK51+AH51)/AW$71</f>
        <v>0</v>
      </c>
      <c r="BA51" s="49"/>
      <c r="BB51" s="50">
        <f t="shared" si="107"/>
        <v>0</v>
      </c>
      <c r="BC51" s="45">
        <f t="shared" si="102"/>
        <v>0</v>
      </c>
      <c r="BD51" s="84"/>
      <c r="BE51" s="43">
        <f t="shared" si="103"/>
        <v>0</v>
      </c>
      <c r="BG51" s="46">
        <f t="shared" si="109"/>
        <v>0</v>
      </c>
      <c r="BH51" s="43">
        <f t="shared" si="104"/>
        <v>0</v>
      </c>
      <c r="BI51" s="43">
        <f t="shared" si="108"/>
        <v>0</v>
      </c>
      <c r="BJ51" s="43">
        <f t="shared" si="112"/>
        <v>0</v>
      </c>
      <c r="BK51" s="47">
        <f t="shared" si="110"/>
        <v>0</v>
      </c>
    </row>
    <row r="52" spans="2:63" x14ac:dyDescent="0.15">
      <c r="B52" s="26"/>
      <c r="C52" s="508"/>
      <c r="D52" s="85"/>
      <c r="E52" s="86"/>
      <c r="F52" s="87"/>
      <c r="G52" s="85"/>
      <c r="H52" s="82">
        <f t="shared" si="113"/>
        <v>0</v>
      </c>
      <c r="I52" s="41">
        <f t="shared" si="114"/>
        <v>0</v>
      </c>
      <c r="J52" s="85"/>
      <c r="K52" s="82">
        <f t="shared" si="115"/>
        <v>0</v>
      </c>
      <c r="L52" s="41">
        <f t="shared" si="116"/>
        <v>0</v>
      </c>
      <c r="M52" s="521"/>
      <c r="N52" s="82">
        <f t="shared" si="117"/>
        <v>0</v>
      </c>
      <c r="O52" s="41">
        <f t="shared" si="118"/>
        <v>0</v>
      </c>
      <c r="P52" s="521"/>
      <c r="Q52" s="82">
        <f t="shared" si="119"/>
        <v>0</v>
      </c>
      <c r="R52" s="41">
        <f t="shared" si="120"/>
        <v>0</v>
      </c>
      <c r="S52" s="526"/>
      <c r="T52" s="82">
        <f t="shared" si="121"/>
        <v>0</v>
      </c>
      <c r="U52" s="42">
        <f t="shared" si="122"/>
        <v>0</v>
      </c>
      <c r="V52" s="523"/>
      <c r="W52" s="82">
        <f t="shared" si="123"/>
        <v>0</v>
      </c>
      <c r="X52" s="41">
        <f t="shared" si="124"/>
        <v>0</v>
      </c>
      <c r="Y52" s="523"/>
      <c r="Z52" s="82">
        <f t="shared" si="125"/>
        <v>0</v>
      </c>
      <c r="AA52" s="41">
        <f t="shared" si="126"/>
        <v>0</v>
      </c>
      <c r="AB52" s="88"/>
      <c r="AC52" s="82">
        <f t="shared" si="127"/>
        <v>0</v>
      </c>
      <c r="AD52" s="41">
        <f t="shared" si="128"/>
        <v>0</v>
      </c>
      <c r="AE52" s="88"/>
      <c r="AF52" s="82">
        <f t="shared" si="129"/>
        <v>0</v>
      </c>
      <c r="AG52" s="41">
        <f t="shared" si="130"/>
        <v>0</v>
      </c>
      <c r="AH52" s="88"/>
      <c r="AI52" s="82">
        <f t="shared" si="131"/>
        <v>0</v>
      </c>
      <c r="AJ52" s="41">
        <f t="shared" si="132"/>
        <v>0</v>
      </c>
      <c r="AK52" s="88"/>
      <c r="AL52" s="82">
        <f t="shared" si="133"/>
        <v>0</v>
      </c>
      <c r="AM52" s="41">
        <f t="shared" si="134"/>
        <v>0</v>
      </c>
      <c r="AN52" s="88"/>
      <c r="AO52" s="82">
        <f t="shared" si="135"/>
        <v>0</v>
      </c>
      <c r="AP52" s="41">
        <f t="shared" si="136"/>
        <v>0</v>
      </c>
      <c r="AQ52" s="88"/>
      <c r="AR52" s="82">
        <f t="shared" si="137"/>
        <v>0</v>
      </c>
      <c r="AS52" s="41">
        <f t="shared" si="138"/>
        <v>0</v>
      </c>
      <c r="AT52" s="88"/>
      <c r="AU52" s="82">
        <f t="shared" si="139"/>
        <v>0</v>
      </c>
      <c r="AV52" s="41">
        <f t="shared" si="140"/>
        <v>0</v>
      </c>
      <c r="AW52" s="88"/>
      <c r="AX52" s="82">
        <f t="shared" si="141"/>
        <v>0</v>
      </c>
      <c r="AY52" s="41">
        <f t="shared" si="142"/>
        <v>0</v>
      </c>
      <c r="BA52" s="49"/>
      <c r="BB52" s="50">
        <f t="shared" si="107"/>
        <v>0</v>
      </c>
      <c r="BC52" s="45">
        <f t="shared" si="102"/>
        <v>0</v>
      </c>
      <c r="BD52" s="84"/>
      <c r="BE52" s="43">
        <f t="shared" si="103"/>
        <v>0</v>
      </c>
      <c r="BG52" s="46">
        <f t="shared" si="109"/>
        <v>0</v>
      </c>
      <c r="BH52" s="43">
        <f t="shared" si="104"/>
        <v>0</v>
      </c>
      <c r="BI52" s="43">
        <f t="shared" si="108"/>
        <v>0</v>
      </c>
      <c r="BJ52" s="43">
        <f t="shared" si="112"/>
        <v>0</v>
      </c>
      <c r="BK52" s="47">
        <f t="shared" si="110"/>
        <v>0</v>
      </c>
    </row>
    <row r="53" spans="2:63" x14ac:dyDescent="0.15">
      <c r="B53" s="26"/>
      <c r="C53" s="508"/>
      <c r="D53" s="85"/>
      <c r="E53" s="86"/>
      <c r="F53" s="87"/>
      <c r="G53" s="85"/>
      <c r="H53" s="82">
        <f t="shared" si="113"/>
        <v>0</v>
      </c>
      <c r="I53" s="41">
        <f t="shared" si="114"/>
        <v>0</v>
      </c>
      <c r="J53" s="85"/>
      <c r="K53" s="82">
        <f t="shared" si="115"/>
        <v>0</v>
      </c>
      <c r="L53" s="41">
        <f t="shared" si="116"/>
        <v>0</v>
      </c>
      <c r="M53" s="521"/>
      <c r="N53" s="82">
        <f t="shared" si="117"/>
        <v>0</v>
      </c>
      <c r="O53" s="41">
        <f t="shared" si="118"/>
        <v>0</v>
      </c>
      <c r="P53" s="521"/>
      <c r="Q53" s="82">
        <f t="shared" si="119"/>
        <v>0</v>
      </c>
      <c r="R53" s="41">
        <f t="shared" si="120"/>
        <v>0</v>
      </c>
      <c r="S53" s="526"/>
      <c r="T53" s="82">
        <f t="shared" si="121"/>
        <v>0</v>
      </c>
      <c r="U53" s="42">
        <f t="shared" si="122"/>
        <v>0</v>
      </c>
      <c r="V53" s="523"/>
      <c r="W53" s="82">
        <f t="shared" si="123"/>
        <v>0</v>
      </c>
      <c r="X53" s="41">
        <f t="shared" si="124"/>
        <v>0</v>
      </c>
      <c r="Y53" s="523"/>
      <c r="Z53" s="82">
        <f t="shared" si="125"/>
        <v>0</v>
      </c>
      <c r="AA53" s="41">
        <f t="shared" si="126"/>
        <v>0</v>
      </c>
      <c r="AB53" s="88"/>
      <c r="AC53" s="82">
        <f t="shared" si="127"/>
        <v>0</v>
      </c>
      <c r="AD53" s="41">
        <f t="shared" si="128"/>
        <v>0</v>
      </c>
      <c r="AE53" s="88"/>
      <c r="AF53" s="82">
        <f t="shared" si="129"/>
        <v>0</v>
      </c>
      <c r="AG53" s="41">
        <f t="shared" si="130"/>
        <v>0</v>
      </c>
      <c r="AH53" s="88"/>
      <c r="AI53" s="82">
        <f t="shared" si="131"/>
        <v>0</v>
      </c>
      <c r="AJ53" s="41">
        <f t="shared" si="132"/>
        <v>0</v>
      </c>
      <c r="AK53" s="88"/>
      <c r="AL53" s="82">
        <f t="shared" si="133"/>
        <v>0</v>
      </c>
      <c r="AM53" s="41">
        <f t="shared" si="134"/>
        <v>0</v>
      </c>
      <c r="AN53" s="88"/>
      <c r="AO53" s="82">
        <f t="shared" si="135"/>
        <v>0</v>
      </c>
      <c r="AP53" s="41">
        <f t="shared" si="136"/>
        <v>0</v>
      </c>
      <c r="AQ53" s="88"/>
      <c r="AR53" s="82">
        <f t="shared" si="137"/>
        <v>0</v>
      </c>
      <c r="AS53" s="41">
        <f t="shared" si="138"/>
        <v>0</v>
      </c>
      <c r="AT53" s="88"/>
      <c r="AU53" s="82">
        <f t="shared" si="139"/>
        <v>0</v>
      </c>
      <c r="AV53" s="41">
        <f t="shared" si="140"/>
        <v>0</v>
      </c>
      <c r="AW53" s="88"/>
      <c r="AX53" s="82">
        <f t="shared" si="141"/>
        <v>0</v>
      </c>
      <c r="AY53" s="41">
        <f t="shared" si="142"/>
        <v>0</v>
      </c>
      <c r="BA53" s="49"/>
      <c r="BB53" s="50">
        <f t="shared" si="107"/>
        <v>0</v>
      </c>
      <c r="BC53" s="45">
        <f t="shared" si="102"/>
        <v>0</v>
      </c>
      <c r="BD53" s="84"/>
      <c r="BE53" s="43">
        <f t="shared" si="103"/>
        <v>0</v>
      </c>
      <c r="BG53" s="46">
        <f t="shared" si="109"/>
        <v>0</v>
      </c>
      <c r="BH53" s="43">
        <f t="shared" si="104"/>
        <v>0</v>
      </c>
      <c r="BI53" s="43">
        <f t="shared" si="108"/>
        <v>0</v>
      </c>
      <c r="BJ53" s="43">
        <f t="shared" si="112"/>
        <v>0</v>
      </c>
      <c r="BK53" s="47">
        <f t="shared" si="110"/>
        <v>0</v>
      </c>
    </row>
    <row r="54" spans="2:63" x14ac:dyDescent="0.15">
      <c r="B54" s="26"/>
      <c r="C54" s="508"/>
      <c r="D54" s="85"/>
      <c r="E54" s="86"/>
      <c r="F54" s="87"/>
      <c r="G54" s="85"/>
      <c r="H54" s="82">
        <f t="shared" si="113"/>
        <v>0</v>
      </c>
      <c r="I54" s="41">
        <f t="shared" si="114"/>
        <v>0</v>
      </c>
      <c r="J54" s="85"/>
      <c r="K54" s="82">
        <f t="shared" si="115"/>
        <v>0</v>
      </c>
      <c r="L54" s="41">
        <f t="shared" si="116"/>
        <v>0</v>
      </c>
      <c r="M54" s="521"/>
      <c r="N54" s="82">
        <f t="shared" si="117"/>
        <v>0</v>
      </c>
      <c r="O54" s="41">
        <f t="shared" si="118"/>
        <v>0</v>
      </c>
      <c r="P54" s="521"/>
      <c r="Q54" s="82">
        <f t="shared" si="119"/>
        <v>0</v>
      </c>
      <c r="R54" s="41">
        <f t="shared" si="120"/>
        <v>0</v>
      </c>
      <c r="S54" s="526"/>
      <c r="T54" s="82">
        <f t="shared" si="121"/>
        <v>0</v>
      </c>
      <c r="U54" s="42">
        <f t="shared" si="122"/>
        <v>0</v>
      </c>
      <c r="V54" s="523"/>
      <c r="W54" s="82">
        <f t="shared" si="123"/>
        <v>0</v>
      </c>
      <c r="X54" s="41">
        <f t="shared" si="124"/>
        <v>0</v>
      </c>
      <c r="Y54" s="523"/>
      <c r="Z54" s="82">
        <f t="shared" si="125"/>
        <v>0</v>
      </c>
      <c r="AA54" s="41">
        <f t="shared" si="126"/>
        <v>0</v>
      </c>
      <c r="AB54" s="88"/>
      <c r="AC54" s="82">
        <f t="shared" si="127"/>
        <v>0</v>
      </c>
      <c r="AD54" s="41">
        <f t="shared" si="128"/>
        <v>0</v>
      </c>
      <c r="AE54" s="88"/>
      <c r="AF54" s="82">
        <f t="shared" si="129"/>
        <v>0</v>
      </c>
      <c r="AG54" s="41">
        <f t="shared" si="130"/>
        <v>0</v>
      </c>
      <c r="AH54" s="88"/>
      <c r="AI54" s="82">
        <f t="shared" si="131"/>
        <v>0</v>
      </c>
      <c r="AJ54" s="41">
        <f t="shared" si="132"/>
        <v>0</v>
      </c>
      <c r="AK54" s="88"/>
      <c r="AL54" s="82">
        <f t="shared" si="133"/>
        <v>0</v>
      </c>
      <c r="AM54" s="41">
        <f t="shared" si="134"/>
        <v>0</v>
      </c>
      <c r="AN54" s="88"/>
      <c r="AO54" s="82">
        <f t="shared" si="135"/>
        <v>0</v>
      </c>
      <c r="AP54" s="41">
        <f t="shared" si="136"/>
        <v>0</v>
      </c>
      <c r="AQ54" s="88"/>
      <c r="AR54" s="82">
        <f t="shared" si="137"/>
        <v>0</v>
      </c>
      <c r="AS54" s="41">
        <f t="shared" si="138"/>
        <v>0</v>
      </c>
      <c r="AT54" s="88"/>
      <c r="AU54" s="82">
        <f t="shared" si="139"/>
        <v>0</v>
      </c>
      <c r="AV54" s="41">
        <f t="shared" si="140"/>
        <v>0</v>
      </c>
      <c r="AW54" s="88"/>
      <c r="AX54" s="82">
        <f t="shared" si="141"/>
        <v>0</v>
      </c>
      <c r="AY54" s="41">
        <f t="shared" si="142"/>
        <v>0</v>
      </c>
      <c r="BA54" s="49"/>
      <c r="BB54" s="50">
        <f t="shared" si="107"/>
        <v>0</v>
      </c>
      <c r="BC54" s="45">
        <f t="shared" si="102"/>
        <v>0</v>
      </c>
      <c r="BD54" s="84"/>
      <c r="BE54" s="43">
        <f t="shared" si="103"/>
        <v>0</v>
      </c>
      <c r="BG54" s="46">
        <f t="shared" si="109"/>
        <v>0</v>
      </c>
      <c r="BH54" s="43">
        <f t="shared" si="104"/>
        <v>0</v>
      </c>
      <c r="BI54" s="43">
        <f t="shared" si="108"/>
        <v>0</v>
      </c>
      <c r="BJ54" s="43">
        <f t="shared" si="112"/>
        <v>0</v>
      </c>
      <c r="BK54" s="47">
        <f t="shared" si="110"/>
        <v>0</v>
      </c>
    </row>
    <row r="55" spans="2:63" x14ac:dyDescent="0.15">
      <c r="B55" s="26"/>
      <c r="C55" s="508"/>
      <c r="D55" s="85"/>
      <c r="E55" s="86"/>
      <c r="F55" s="87"/>
      <c r="G55" s="85"/>
      <c r="H55" s="82">
        <f t="shared" si="113"/>
        <v>0</v>
      </c>
      <c r="I55" s="41">
        <f t="shared" si="114"/>
        <v>0</v>
      </c>
      <c r="J55" s="85"/>
      <c r="K55" s="82">
        <f t="shared" si="115"/>
        <v>0</v>
      </c>
      <c r="L55" s="41">
        <f t="shared" si="116"/>
        <v>0</v>
      </c>
      <c r="M55" s="521"/>
      <c r="N55" s="82">
        <f t="shared" si="117"/>
        <v>0</v>
      </c>
      <c r="O55" s="41">
        <f t="shared" si="118"/>
        <v>0</v>
      </c>
      <c r="P55" s="521"/>
      <c r="Q55" s="82">
        <f t="shared" si="119"/>
        <v>0</v>
      </c>
      <c r="R55" s="41">
        <f t="shared" si="120"/>
        <v>0</v>
      </c>
      <c r="S55" s="526"/>
      <c r="T55" s="82">
        <f t="shared" si="121"/>
        <v>0</v>
      </c>
      <c r="U55" s="42">
        <f t="shared" si="122"/>
        <v>0</v>
      </c>
      <c r="V55" s="523"/>
      <c r="W55" s="82">
        <f t="shared" si="123"/>
        <v>0</v>
      </c>
      <c r="X55" s="41">
        <f t="shared" si="124"/>
        <v>0</v>
      </c>
      <c r="Y55" s="523"/>
      <c r="Z55" s="82">
        <f t="shared" si="125"/>
        <v>0</v>
      </c>
      <c r="AA55" s="41">
        <f t="shared" si="126"/>
        <v>0</v>
      </c>
      <c r="AB55" s="88"/>
      <c r="AC55" s="82">
        <f t="shared" si="127"/>
        <v>0</v>
      </c>
      <c r="AD55" s="41">
        <f t="shared" si="128"/>
        <v>0</v>
      </c>
      <c r="AE55" s="88"/>
      <c r="AF55" s="82">
        <f t="shared" si="129"/>
        <v>0</v>
      </c>
      <c r="AG55" s="41">
        <f t="shared" si="130"/>
        <v>0</v>
      </c>
      <c r="AH55" s="88"/>
      <c r="AI55" s="82">
        <f t="shared" si="131"/>
        <v>0</v>
      </c>
      <c r="AJ55" s="41">
        <f t="shared" si="132"/>
        <v>0</v>
      </c>
      <c r="AK55" s="88"/>
      <c r="AL55" s="82">
        <f t="shared" si="133"/>
        <v>0</v>
      </c>
      <c r="AM55" s="41">
        <f t="shared" si="134"/>
        <v>0</v>
      </c>
      <c r="AN55" s="88"/>
      <c r="AO55" s="82">
        <f t="shared" si="135"/>
        <v>0</v>
      </c>
      <c r="AP55" s="41">
        <f t="shared" si="136"/>
        <v>0</v>
      </c>
      <c r="AQ55" s="88"/>
      <c r="AR55" s="82">
        <f t="shared" si="137"/>
        <v>0</v>
      </c>
      <c r="AS55" s="41">
        <f t="shared" si="138"/>
        <v>0</v>
      </c>
      <c r="AT55" s="88"/>
      <c r="AU55" s="82">
        <f t="shared" si="139"/>
        <v>0</v>
      </c>
      <c r="AV55" s="41">
        <f t="shared" si="140"/>
        <v>0</v>
      </c>
      <c r="AW55" s="88"/>
      <c r="AX55" s="82">
        <f t="shared" si="141"/>
        <v>0</v>
      </c>
      <c r="AY55" s="41">
        <f t="shared" si="142"/>
        <v>0</v>
      </c>
      <c r="BA55" s="49"/>
      <c r="BB55" s="50">
        <f t="shared" si="107"/>
        <v>0</v>
      </c>
      <c r="BC55" s="45">
        <f t="shared" si="102"/>
        <v>0</v>
      </c>
      <c r="BD55" s="84"/>
      <c r="BE55" s="43">
        <f t="shared" si="103"/>
        <v>0</v>
      </c>
      <c r="BG55" s="46">
        <f t="shared" si="109"/>
        <v>0</v>
      </c>
      <c r="BH55" s="43">
        <f t="shared" si="104"/>
        <v>0</v>
      </c>
      <c r="BI55" s="43">
        <f t="shared" si="108"/>
        <v>0</v>
      </c>
      <c r="BJ55" s="43">
        <f t="shared" si="112"/>
        <v>0</v>
      </c>
      <c r="BK55" s="47">
        <f t="shared" si="110"/>
        <v>0</v>
      </c>
    </row>
    <row r="56" spans="2:63" x14ac:dyDescent="0.15">
      <c r="B56" s="26"/>
      <c r="C56" s="508"/>
      <c r="D56" s="85"/>
      <c r="E56" s="86"/>
      <c r="F56" s="87"/>
      <c r="G56" s="85"/>
      <c r="H56" s="82">
        <f t="shared" si="113"/>
        <v>0</v>
      </c>
      <c r="I56" s="41">
        <f t="shared" si="114"/>
        <v>0</v>
      </c>
      <c r="J56" s="85"/>
      <c r="K56" s="82">
        <f t="shared" si="115"/>
        <v>0</v>
      </c>
      <c r="L56" s="41">
        <f t="shared" si="116"/>
        <v>0</v>
      </c>
      <c r="M56" s="521"/>
      <c r="N56" s="82">
        <f t="shared" si="117"/>
        <v>0</v>
      </c>
      <c r="O56" s="41">
        <f t="shared" si="118"/>
        <v>0</v>
      </c>
      <c r="P56" s="521"/>
      <c r="Q56" s="82">
        <f t="shared" si="119"/>
        <v>0</v>
      </c>
      <c r="R56" s="41">
        <f t="shared" si="120"/>
        <v>0</v>
      </c>
      <c r="S56" s="526"/>
      <c r="T56" s="82">
        <f t="shared" si="121"/>
        <v>0</v>
      </c>
      <c r="U56" s="42">
        <f t="shared" si="122"/>
        <v>0</v>
      </c>
      <c r="V56" s="523"/>
      <c r="W56" s="82">
        <f t="shared" si="123"/>
        <v>0</v>
      </c>
      <c r="X56" s="41">
        <f t="shared" si="124"/>
        <v>0</v>
      </c>
      <c r="Y56" s="523"/>
      <c r="Z56" s="82">
        <f t="shared" si="125"/>
        <v>0</v>
      </c>
      <c r="AA56" s="41">
        <f t="shared" si="126"/>
        <v>0</v>
      </c>
      <c r="AB56" s="88"/>
      <c r="AC56" s="82">
        <f t="shared" si="127"/>
        <v>0</v>
      </c>
      <c r="AD56" s="41">
        <f t="shared" si="128"/>
        <v>0</v>
      </c>
      <c r="AE56" s="88"/>
      <c r="AF56" s="82">
        <f t="shared" si="129"/>
        <v>0</v>
      </c>
      <c r="AG56" s="41">
        <f t="shared" si="130"/>
        <v>0</v>
      </c>
      <c r="AH56" s="88"/>
      <c r="AI56" s="82">
        <f t="shared" si="131"/>
        <v>0</v>
      </c>
      <c r="AJ56" s="41">
        <f t="shared" si="132"/>
        <v>0</v>
      </c>
      <c r="AK56" s="88"/>
      <c r="AL56" s="82">
        <f t="shared" si="133"/>
        <v>0</v>
      </c>
      <c r="AM56" s="41">
        <f t="shared" si="134"/>
        <v>0</v>
      </c>
      <c r="AN56" s="88"/>
      <c r="AO56" s="82">
        <f t="shared" si="135"/>
        <v>0</v>
      </c>
      <c r="AP56" s="41">
        <f t="shared" si="136"/>
        <v>0</v>
      </c>
      <c r="AQ56" s="88"/>
      <c r="AR56" s="82">
        <f t="shared" si="137"/>
        <v>0</v>
      </c>
      <c r="AS56" s="41">
        <f t="shared" si="138"/>
        <v>0</v>
      </c>
      <c r="AT56" s="88">
        <v>100000</v>
      </c>
      <c r="AU56" s="82">
        <f t="shared" si="139"/>
        <v>6.2500000000000003E-3</v>
      </c>
      <c r="AV56" s="41">
        <f t="shared" si="140"/>
        <v>1.3037809647979139E-3</v>
      </c>
      <c r="AW56" s="88"/>
      <c r="AX56" s="82">
        <f t="shared" si="141"/>
        <v>6.2500000000000003E-3</v>
      </c>
      <c r="AY56" s="41">
        <f t="shared" si="142"/>
        <v>1.3031013812874641E-3</v>
      </c>
      <c r="BA56" s="49"/>
      <c r="BB56" s="50">
        <f t="shared" si="107"/>
        <v>100000</v>
      </c>
      <c r="BC56" s="45">
        <f t="shared" si="102"/>
        <v>1.0869565217391304E-3</v>
      </c>
      <c r="BD56" s="84"/>
      <c r="BE56" s="43">
        <f t="shared" si="103"/>
        <v>46511.627906976741</v>
      </c>
      <c r="BG56" s="46">
        <f t="shared" si="109"/>
        <v>0</v>
      </c>
      <c r="BH56" s="43">
        <f>(G56*G$6)+(J56*J$6)+(M56*M$6)+(P56*P$6)+(S56*S$6)+(V56*V$6)+(Y56*Y$6)+(AB56*AB$6)+(AE56*AE$6)+(AH56*AH$6)+(AK56*AK$6)+(AN56*AN$6)+(AQ56*AQ$6)+(AT$56*AT$6)+(AW$56*AW$6)</f>
        <v>80000</v>
      </c>
      <c r="BI56" s="43">
        <f t="shared" ref="BI56:BI62" si="143">BB56*AW$6</f>
        <v>332000</v>
      </c>
      <c r="BJ56" s="43">
        <f t="shared" ref="BJ56:BJ62" si="144">BI56-BH56</f>
        <v>252000</v>
      </c>
      <c r="BK56" s="47">
        <f t="shared" si="110"/>
        <v>3.15</v>
      </c>
    </row>
    <row r="57" spans="2:63" x14ac:dyDescent="0.15">
      <c r="B57" s="26"/>
      <c r="C57" s="508"/>
      <c r="D57" s="85"/>
      <c r="E57" s="86"/>
      <c r="F57" s="87"/>
      <c r="G57" s="85"/>
      <c r="H57" s="82">
        <f t="shared" si="113"/>
        <v>0</v>
      </c>
      <c r="I57" s="41">
        <f t="shared" si="114"/>
        <v>0</v>
      </c>
      <c r="J57" s="85"/>
      <c r="K57" s="82">
        <f t="shared" si="115"/>
        <v>0</v>
      </c>
      <c r="L57" s="41">
        <f t="shared" si="116"/>
        <v>0</v>
      </c>
      <c r="M57" s="521"/>
      <c r="N57" s="82">
        <f t="shared" si="117"/>
        <v>0</v>
      </c>
      <c r="O57" s="41">
        <f t="shared" si="118"/>
        <v>0</v>
      </c>
      <c r="P57" s="521"/>
      <c r="Q57" s="82">
        <f t="shared" si="119"/>
        <v>0</v>
      </c>
      <c r="R57" s="41">
        <f t="shared" si="120"/>
        <v>0</v>
      </c>
      <c r="S57" s="526"/>
      <c r="T57" s="82">
        <f t="shared" si="121"/>
        <v>0</v>
      </c>
      <c r="U57" s="42">
        <f t="shared" si="122"/>
        <v>0</v>
      </c>
      <c r="V57" s="523"/>
      <c r="W57" s="82">
        <f t="shared" si="123"/>
        <v>0</v>
      </c>
      <c r="X57" s="41">
        <f t="shared" si="124"/>
        <v>0</v>
      </c>
      <c r="Y57" s="523"/>
      <c r="Z57" s="82">
        <f t="shared" si="125"/>
        <v>0</v>
      </c>
      <c r="AA57" s="41">
        <f t="shared" si="126"/>
        <v>0</v>
      </c>
      <c r="AB57" s="88"/>
      <c r="AC57" s="82">
        <f t="shared" si="127"/>
        <v>0</v>
      </c>
      <c r="AD57" s="41">
        <f t="shared" si="128"/>
        <v>0</v>
      </c>
      <c r="AE57" s="88"/>
      <c r="AF57" s="82">
        <f t="shared" si="129"/>
        <v>0</v>
      </c>
      <c r="AG57" s="41">
        <f t="shared" si="130"/>
        <v>0</v>
      </c>
      <c r="AH57" s="88"/>
      <c r="AI57" s="82">
        <f t="shared" si="131"/>
        <v>0</v>
      </c>
      <c r="AJ57" s="41">
        <f t="shared" si="132"/>
        <v>0</v>
      </c>
      <c r="AK57" s="88"/>
      <c r="AL57" s="82">
        <f t="shared" si="133"/>
        <v>0</v>
      </c>
      <c r="AM57" s="41">
        <f t="shared" si="134"/>
        <v>0</v>
      </c>
      <c r="AN57" s="88"/>
      <c r="AO57" s="82">
        <f t="shared" si="135"/>
        <v>0</v>
      </c>
      <c r="AP57" s="41">
        <f t="shared" si="136"/>
        <v>0</v>
      </c>
      <c r="AQ57" s="88"/>
      <c r="AR57" s="82">
        <f t="shared" si="137"/>
        <v>0</v>
      </c>
      <c r="AS57" s="41">
        <f t="shared" si="138"/>
        <v>0</v>
      </c>
      <c r="AT57" s="88"/>
      <c r="AU57" s="82">
        <f t="shared" si="139"/>
        <v>0</v>
      </c>
      <c r="AV57" s="41">
        <f t="shared" si="140"/>
        <v>0</v>
      </c>
      <c r="AW57" s="88">
        <v>10000</v>
      </c>
      <c r="AX57" s="82">
        <f t="shared" si="141"/>
        <v>6.2500000000000001E-4</v>
      </c>
      <c r="AY57" s="41">
        <f t="shared" si="142"/>
        <v>1.3031013812874641E-4</v>
      </c>
      <c r="BA57" s="49"/>
      <c r="BB57" s="50">
        <f t="shared" si="107"/>
        <v>10000</v>
      </c>
      <c r="BC57" s="45">
        <f t="shared" si="102"/>
        <v>1.0869565217391305E-4</v>
      </c>
      <c r="BD57" s="84"/>
      <c r="BE57" s="43">
        <f t="shared" si="103"/>
        <v>4651.1627906976746</v>
      </c>
      <c r="BG57" s="46">
        <f t="shared" si="109"/>
        <v>0</v>
      </c>
      <c r="BH57" s="43">
        <f t="shared" ref="BH57:BH62" si="145">(G57*G$6)+(J57*J$6)+(M57*M$6)+(P57*P$6)+(S57*S$6)+(V57*V$6)+(Y57*Y$6)+(AB57*AB$6)+(AE57*AE$6)+(AH57*AH$6)+(AK57*AK$6)+(AN57*AN$6)</f>
        <v>0</v>
      </c>
      <c r="BI57" s="43">
        <f t="shared" si="143"/>
        <v>33200</v>
      </c>
      <c r="BJ57" s="43">
        <f t="shared" si="144"/>
        <v>33200</v>
      </c>
      <c r="BK57" s="47">
        <f t="shared" si="110"/>
        <v>0</v>
      </c>
    </row>
    <row r="58" spans="2:63" x14ac:dyDescent="0.15">
      <c r="B58" s="26"/>
      <c r="C58" s="508"/>
      <c r="D58" s="85"/>
      <c r="E58" s="86"/>
      <c r="F58" s="87"/>
      <c r="G58" s="85"/>
      <c r="H58" s="82">
        <f t="shared" ref="H58:H60" si="146">G58/$G$74</f>
        <v>0</v>
      </c>
      <c r="I58" s="41">
        <f t="shared" ref="I58:I60" si="147">(G58+D58)/$G$71</f>
        <v>0</v>
      </c>
      <c r="J58" s="85"/>
      <c r="K58" s="82">
        <f t="shared" ref="K58:K60" si="148">(J58+G58)/$J$74</f>
        <v>0</v>
      </c>
      <c r="L58" s="41">
        <f t="shared" ref="L58:L60" si="149">(J58+G58+D58)/$J$71</f>
        <v>0</v>
      </c>
      <c r="M58" s="521"/>
      <c r="N58" s="82">
        <f t="shared" ref="N58:N60" si="150">(M58+J58+G58)/$M$74</f>
        <v>0</v>
      </c>
      <c r="O58" s="41">
        <f t="shared" ref="O58:O60" si="151">(D58+G58+J58+M58)/$M$71</f>
        <v>0</v>
      </c>
      <c r="P58" s="521"/>
      <c r="Q58" s="82">
        <f t="shared" ref="Q58:Q60" si="152">(M58+P58+J58+G58)/$P$74</f>
        <v>0</v>
      </c>
      <c r="R58" s="41">
        <f t="shared" ref="R58:R60" si="153">(M58+D58+G58+J58+P58)/$P$71</f>
        <v>0</v>
      </c>
      <c r="S58" s="526"/>
      <c r="T58" s="82">
        <f t="shared" ref="T58:T60" si="154">(M58+S58+P58+J58+G58)/$S$74</f>
        <v>0</v>
      </c>
      <c r="U58" s="42">
        <f t="shared" ref="U58:U60" si="155">(M58+P58+S58+J58+G58+D58)/$S$71</f>
        <v>0</v>
      </c>
      <c r="V58" s="523"/>
      <c r="W58" s="82">
        <f t="shared" ref="W58:W60" si="156">(M58+V58+S58+P58+J58+G58)/$V$74</f>
        <v>0</v>
      </c>
      <c r="X58" s="41">
        <f t="shared" ref="X58:X60" si="157">(M58+S58+V58+P58+J58+G58)/V$71</f>
        <v>0</v>
      </c>
      <c r="Y58" s="523"/>
      <c r="Z58" s="82">
        <f t="shared" ref="Z58:Z60" si="158">(G58+P58+Y58+V58+S58+M58+J58)/$V$74</f>
        <v>0</v>
      </c>
      <c r="AA58" s="41">
        <f t="shared" ref="AA58:AA60" si="159">(G58+P58+V58+Y58+S58+M58+J58)/Y$71</f>
        <v>0</v>
      </c>
      <c r="AB58" s="88"/>
      <c r="AC58" s="82">
        <f t="shared" ref="AC58:AC60" si="160">(G58+J58+S58+AB58+Y58+V58+P58+M58)/$V$74</f>
        <v>0</v>
      </c>
      <c r="AD58" s="41">
        <f t="shared" ref="AD58:AD60" si="161">(G58+J58+S58+Y58+AB58+V58+P58+M58)/AB$71</f>
        <v>0</v>
      </c>
      <c r="AE58" s="88"/>
      <c r="AF58" s="82">
        <f t="shared" ref="AF58:AF60" si="162">(G58+J58+M58+V58+AE58+AB58+Y58+S58+P58)/$V$74</f>
        <v>0</v>
      </c>
      <c r="AG58" s="41">
        <f t="shared" ref="AG58:AG60" si="163">(G58+J58+M58+V58+AB58+AE58+Y58+S58+P58)/AE$71</f>
        <v>0</v>
      </c>
      <c r="AH58" s="88"/>
      <c r="AI58" s="82">
        <f t="shared" ref="AI58:AI60" si="164">(G58+J58+M58+P58+Y58+AH58+AE58+AB58+V58+S58)/$V$74</f>
        <v>0</v>
      </c>
      <c r="AJ58" s="41">
        <f t="shared" ref="AJ58:AJ60" si="165">(G58+J58+M58+P58+Y58+AE58+AH58+AB58+V58+S58)/AH$71</f>
        <v>0</v>
      </c>
      <c r="AK58" s="88"/>
      <c r="AL58" s="82">
        <f t="shared" ref="AL58:AL60" si="166">(G58+J58+M58+P58+S58+AB58+AK58+AH58+AE58+Y58+V58)/$V$74</f>
        <v>0</v>
      </c>
      <c r="AM58" s="41">
        <f t="shared" ref="AM58:AM60" si="167">(G58+J58+M58+P58+S58+AB58+AH58+AK58+AE58+Y58+V58)/AK$71</f>
        <v>0</v>
      </c>
      <c r="AN58" s="88"/>
      <c r="AO58" s="82">
        <f t="shared" ref="AO58:AO60" si="168">(G58+J58+M58+P58+S58+V58+AE58+AN58+AK58+AH58+AB58+Y58)/$V$74</f>
        <v>0</v>
      </c>
      <c r="AP58" s="41">
        <f t="shared" ref="AP58:AP60" si="169">(G58+J58+M58+P58+S58+V58+AE58+AK58+AN58+AH58+AB58+Y58)/AN$71</f>
        <v>0</v>
      </c>
      <c r="AQ58" s="88"/>
      <c r="AR58" s="82">
        <f t="shared" ref="AR58:AR60" si="170">(G58+J58+M58+P58+S58+V58+Y58+AH58+AQ58+AN58+AK58+AE58+AB58)/$V$74</f>
        <v>0</v>
      </c>
      <c r="AS58" s="41">
        <f t="shared" ref="AS58:AS60" si="171">(G58+J58+M58+P58+S58+V58+Y58+AH58+AN58+AQ58+AK58+AE58+AB58)/AQ$71</f>
        <v>0</v>
      </c>
      <c r="AT58" s="88"/>
      <c r="AU58" s="82">
        <f t="shared" ref="AU58:AU60" si="172">(G58+J58+M58+P58+S58+V58+Y58+AB58+AK58+AT58+AQ58+AN58+AH58+AE58)/$V$74</f>
        <v>0</v>
      </c>
      <c r="AV58" s="41">
        <f t="shared" ref="AV58:AV60" si="173">(G58+J58+M58+P58+S58+V58+Y58+AB58+AK58+AQ58+AT58+AN58+AH58+AE58)/AT$71</f>
        <v>0</v>
      </c>
      <c r="AW58" s="88">
        <v>10000</v>
      </c>
      <c r="AX58" s="82">
        <f t="shared" ref="AX58:AX60" si="174">(G58+J58+M58+P58+S58+V58+Y58+AB58+AE58+AN58+AW58+AT58+AQ58+AK58+AH58)/$V$74</f>
        <v>6.2500000000000001E-4</v>
      </c>
      <c r="AY58" s="41">
        <f t="shared" ref="AY58:AY60" si="175">(G58+J58+M58+P58+S58+V58+Y58+AB58+AE58+AN58+AT58+AW58+AQ58+AK58+AH58)/AW$71</f>
        <v>1.3031013812874641E-4</v>
      </c>
      <c r="BA58" s="49"/>
      <c r="BB58" s="50">
        <f t="shared" ref="BB58:BB60" si="176">M58+V58+S58+P58+J58+G58+D58+Y58+AB58+AE58+AH58+AK58+AN58+AQ58+AT58+AW58</f>
        <v>10000</v>
      </c>
      <c r="BC58" s="45">
        <f t="shared" si="102"/>
        <v>1.0869565217391305E-4</v>
      </c>
      <c r="BD58" s="84"/>
      <c r="BE58" s="43">
        <f t="shared" ref="BE58:BE60" si="177">(BB58*AE$6)-((G58*G$6)+(J58*J$6)+(M58*M$6)+(P58*P$6)+(S58*S$6)+(V58*V$6)+(Y58*Y$6)+(AB58*AB$6))</f>
        <v>4651.1627906976746</v>
      </c>
      <c r="BG58" s="46">
        <f t="shared" ref="BG58:BG60" si="178">C58</f>
        <v>0</v>
      </c>
      <c r="BH58" s="43">
        <f t="shared" ref="BH58:BH60" si="179">(G58*G$6)+(J58*J$6)+(M58*M$6)+(P58*P$6)+(S58*S$6)+(V58*V$6)+(Y58*Y$6)+(AB58*AB$6)+(AE58*AE$6)+(AH58*AH$6)+(AK58*AK$6)+(AN58*AN$6)</f>
        <v>0</v>
      </c>
      <c r="BI58" s="43">
        <f t="shared" ref="BI58:BI60" si="180">BB58*AW$6</f>
        <v>33200</v>
      </c>
      <c r="BJ58" s="43">
        <f t="shared" ref="BJ58:BJ60" si="181">BI58-BH58</f>
        <v>33200</v>
      </c>
      <c r="BK58" s="47">
        <f t="shared" ref="BK58:BK60" si="182">IFERROR(BJ58/BH58,0)</f>
        <v>0</v>
      </c>
    </row>
    <row r="59" spans="2:63" x14ac:dyDescent="0.15">
      <c r="B59" s="26"/>
      <c r="C59" s="508"/>
      <c r="D59" s="85"/>
      <c r="E59" s="86"/>
      <c r="F59" s="87"/>
      <c r="G59" s="85"/>
      <c r="H59" s="82">
        <f t="shared" si="146"/>
        <v>0</v>
      </c>
      <c r="I59" s="41">
        <f t="shared" si="147"/>
        <v>0</v>
      </c>
      <c r="J59" s="85"/>
      <c r="K59" s="82">
        <f t="shared" si="148"/>
        <v>0</v>
      </c>
      <c r="L59" s="41">
        <f t="shared" si="149"/>
        <v>0</v>
      </c>
      <c r="M59" s="521"/>
      <c r="N59" s="82">
        <f t="shared" si="150"/>
        <v>0</v>
      </c>
      <c r="O59" s="41">
        <f t="shared" si="151"/>
        <v>0</v>
      </c>
      <c r="P59" s="521"/>
      <c r="Q59" s="82">
        <f t="shared" si="152"/>
        <v>0</v>
      </c>
      <c r="R59" s="41">
        <f t="shared" si="153"/>
        <v>0</v>
      </c>
      <c r="S59" s="526"/>
      <c r="T59" s="82">
        <f t="shared" si="154"/>
        <v>0</v>
      </c>
      <c r="U59" s="42">
        <f t="shared" si="155"/>
        <v>0</v>
      </c>
      <c r="V59" s="523"/>
      <c r="W59" s="82">
        <f t="shared" si="156"/>
        <v>0</v>
      </c>
      <c r="X59" s="41">
        <f t="shared" si="157"/>
        <v>0</v>
      </c>
      <c r="Y59" s="523"/>
      <c r="Z59" s="82">
        <f t="shared" si="158"/>
        <v>0</v>
      </c>
      <c r="AA59" s="41">
        <f t="shared" si="159"/>
        <v>0</v>
      </c>
      <c r="AB59" s="88"/>
      <c r="AC59" s="82">
        <f t="shared" si="160"/>
        <v>0</v>
      </c>
      <c r="AD59" s="41">
        <f t="shared" si="161"/>
        <v>0</v>
      </c>
      <c r="AE59" s="88"/>
      <c r="AF59" s="82">
        <f t="shared" si="162"/>
        <v>0</v>
      </c>
      <c r="AG59" s="41">
        <f t="shared" si="163"/>
        <v>0</v>
      </c>
      <c r="AH59" s="88"/>
      <c r="AI59" s="82">
        <f t="shared" si="164"/>
        <v>0</v>
      </c>
      <c r="AJ59" s="41">
        <f t="shared" si="165"/>
        <v>0</v>
      </c>
      <c r="AK59" s="88"/>
      <c r="AL59" s="82">
        <f t="shared" si="166"/>
        <v>0</v>
      </c>
      <c r="AM59" s="41">
        <f t="shared" si="167"/>
        <v>0</v>
      </c>
      <c r="AN59" s="88"/>
      <c r="AO59" s="82">
        <f t="shared" si="168"/>
        <v>0</v>
      </c>
      <c r="AP59" s="41">
        <f t="shared" si="169"/>
        <v>0</v>
      </c>
      <c r="AQ59" s="88"/>
      <c r="AR59" s="82">
        <f t="shared" si="170"/>
        <v>0</v>
      </c>
      <c r="AS59" s="41">
        <f t="shared" si="171"/>
        <v>0</v>
      </c>
      <c r="AT59" s="88"/>
      <c r="AU59" s="82">
        <f t="shared" si="172"/>
        <v>0</v>
      </c>
      <c r="AV59" s="41">
        <f t="shared" si="173"/>
        <v>0</v>
      </c>
      <c r="AW59" s="88">
        <v>10000</v>
      </c>
      <c r="AX59" s="82">
        <f t="shared" si="174"/>
        <v>6.2500000000000001E-4</v>
      </c>
      <c r="AY59" s="41">
        <f t="shared" si="175"/>
        <v>1.3031013812874641E-4</v>
      </c>
      <c r="BA59" s="49"/>
      <c r="BB59" s="50">
        <f t="shared" si="176"/>
        <v>10000</v>
      </c>
      <c r="BC59" s="45">
        <f t="shared" si="102"/>
        <v>1.0869565217391305E-4</v>
      </c>
      <c r="BD59" s="84"/>
      <c r="BE59" s="43">
        <f t="shared" si="177"/>
        <v>4651.1627906976746</v>
      </c>
      <c r="BG59" s="46">
        <f t="shared" si="178"/>
        <v>0</v>
      </c>
      <c r="BH59" s="43">
        <f t="shared" si="179"/>
        <v>0</v>
      </c>
      <c r="BI59" s="43">
        <f t="shared" si="180"/>
        <v>33200</v>
      </c>
      <c r="BJ59" s="43">
        <f t="shared" si="181"/>
        <v>33200</v>
      </c>
      <c r="BK59" s="47">
        <f t="shared" si="182"/>
        <v>0</v>
      </c>
    </row>
    <row r="60" spans="2:63" x14ac:dyDescent="0.15">
      <c r="B60" s="26"/>
      <c r="C60" s="508"/>
      <c r="D60" s="85"/>
      <c r="E60" s="86"/>
      <c r="F60" s="87"/>
      <c r="G60" s="85"/>
      <c r="H60" s="82">
        <f t="shared" si="146"/>
        <v>0</v>
      </c>
      <c r="I60" s="41">
        <f t="shared" si="147"/>
        <v>0</v>
      </c>
      <c r="J60" s="85"/>
      <c r="K60" s="82">
        <f t="shared" si="148"/>
        <v>0</v>
      </c>
      <c r="L60" s="41">
        <f t="shared" si="149"/>
        <v>0</v>
      </c>
      <c r="M60" s="521"/>
      <c r="N60" s="82">
        <f t="shared" si="150"/>
        <v>0</v>
      </c>
      <c r="O60" s="41">
        <f t="shared" si="151"/>
        <v>0</v>
      </c>
      <c r="P60" s="521"/>
      <c r="Q60" s="82">
        <f t="shared" si="152"/>
        <v>0</v>
      </c>
      <c r="R60" s="41">
        <f t="shared" si="153"/>
        <v>0</v>
      </c>
      <c r="S60" s="526"/>
      <c r="T60" s="82">
        <f t="shared" si="154"/>
        <v>0</v>
      </c>
      <c r="U60" s="42">
        <f t="shared" si="155"/>
        <v>0</v>
      </c>
      <c r="V60" s="523"/>
      <c r="W60" s="82">
        <f t="shared" si="156"/>
        <v>0</v>
      </c>
      <c r="X60" s="41">
        <f t="shared" si="157"/>
        <v>0</v>
      </c>
      <c r="Y60" s="523"/>
      <c r="Z60" s="82">
        <f t="shared" si="158"/>
        <v>0</v>
      </c>
      <c r="AA60" s="41">
        <f t="shared" si="159"/>
        <v>0</v>
      </c>
      <c r="AB60" s="88"/>
      <c r="AC60" s="82">
        <f t="shared" si="160"/>
        <v>0</v>
      </c>
      <c r="AD60" s="41">
        <f t="shared" si="161"/>
        <v>0</v>
      </c>
      <c r="AE60" s="88"/>
      <c r="AF60" s="82">
        <f t="shared" si="162"/>
        <v>0</v>
      </c>
      <c r="AG60" s="41">
        <f t="shared" si="163"/>
        <v>0</v>
      </c>
      <c r="AH60" s="88"/>
      <c r="AI60" s="82">
        <f t="shared" si="164"/>
        <v>0</v>
      </c>
      <c r="AJ60" s="41">
        <f t="shared" si="165"/>
        <v>0</v>
      </c>
      <c r="AK60" s="88"/>
      <c r="AL60" s="82">
        <f t="shared" si="166"/>
        <v>0</v>
      </c>
      <c r="AM60" s="41">
        <f t="shared" si="167"/>
        <v>0</v>
      </c>
      <c r="AN60" s="88"/>
      <c r="AO60" s="82">
        <f t="shared" si="168"/>
        <v>0</v>
      </c>
      <c r="AP60" s="41">
        <f t="shared" si="169"/>
        <v>0</v>
      </c>
      <c r="AQ60" s="88"/>
      <c r="AR60" s="82">
        <f t="shared" si="170"/>
        <v>0</v>
      </c>
      <c r="AS60" s="41">
        <f t="shared" si="171"/>
        <v>0</v>
      </c>
      <c r="AT60" s="88"/>
      <c r="AU60" s="82">
        <f t="shared" si="172"/>
        <v>0</v>
      </c>
      <c r="AV60" s="41">
        <f t="shared" si="173"/>
        <v>0</v>
      </c>
      <c r="AW60" s="88">
        <v>10000</v>
      </c>
      <c r="AX60" s="82">
        <f t="shared" si="174"/>
        <v>6.2500000000000001E-4</v>
      </c>
      <c r="AY60" s="41">
        <f t="shared" si="175"/>
        <v>1.3031013812874641E-4</v>
      </c>
      <c r="BA60" s="49"/>
      <c r="BB60" s="50">
        <f t="shared" si="176"/>
        <v>10000</v>
      </c>
      <c r="BC60" s="45">
        <f t="shared" si="102"/>
        <v>1.0869565217391305E-4</v>
      </c>
      <c r="BD60" s="84"/>
      <c r="BE60" s="43">
        <f t="shared" si="177"/>
        <v>4651.1627906976746</v>
      </c>
      <c r="BG60" s="46">
        <f t="shared" si="178"/>
        <v>0</v>
      </c>
      <c r="BH60" s="43">
        <f t="shared" si="179"/>
        <v>0</v>
      </c>
      <c r="BI60" s="43">
        <f t="shared" si="180"/>
        <v>33200</v>
      </c>
      <c r="BJ60" s="43">
        <f t="shared" si="181"/>
        <v>33200</v>
      </c>
      <c r="BK60" s="47">
        <f t="shared" si="182"/>
        <v>0</v>
      </c>
    </row>
    <row r="61" spans="2:63" x14ac:dyDescent="0.15">
      <c r="B61" s="26"/>
      <c r="C61" s="508"/>
      <c r="D61" s="85"/>
      <c r="E61" s="86"/>
      <c r="F61" s="87"/>
      <c r="G61" s="85"/>
      <c r="H61" s="82">
        <f t="shared" si="113"/>
        <v>0</v>
      </c>
      <c r="I61" s="41">
        <f t="shared" si="114"/>
        <v>0</v>
      </c>
      <c r="J61" s="85"/>
      <c r="K61" s="82">
        <f t="shared" si="115"/>
        <v>0</v>
      </c>
      <c r="L61" s="41">
        <f t="shared" si="116"/>
        <v>0</v>
      </c>
      <c r="M61" s="521"/>
      <c r="N61" s="82">
        <f t="shared" si="117"/>
        <v>0</v>
      </c>
      <c r="O61" s="41">
        <f t="shared" si="118"/>
        <v>0</v>
      </c>
      <c r="P61" s="521"/>
      <c r="Q61" s="82">
        <f t="shared" si="119"/>
        <v>0</v>
      </c>
      <c r="R61" s="41">
        <f t="shared" si="120"/>
        <v>0</v>
      </c>
      <c r="S61" s="526"/>
      <c r="T61" s="82">
        <f t="shared" si="121"/>
        <v>0</v>
      </c>
      <c r="U61" s="42">
        <f t="shared" si="122"/>
        <v>0</v>
      </c>
      <c r="V61" s="523"/>
      <c r="W61" s="82">
        <f t="shared" si="123"/>
        <v>0</v>
      </c>
      <c r="X61" s="41">
        <f t="shared" si="124"/>
        <v>0</v>
      </c>
      <c r="Y61" s="523"/>
      <c r="Z61" s="82">
        <f t="shared" si="125"/>
        <v>0</v>
      </c>
      <c r="AA61" s="41">
        <f t="shared" si="126"/>
        <v>0</v>
      </c>
      <c r="AB61" s="88"/>
      <c r="AC61" s="82">
        <f t="shared" si="127"/>
        <v>0</v>
      </c>
      <c r="AD61" s="41">
        <f t="shared" si="128"/>
        <v>0</v>
      </c>
      <c r="AE61" s="88"/>
      <c r="AF61" s="82">
        <f t="shared" si="129"/>
        <v>0</v>
      </c>
      <c r="AG61" s="41">
        <f t="shared" si="130"/>
        <v>0</v>
      </c>
      <c r="AH61" s="88"/>
      <c r="AI61" s="82">
        <f t="shared" si="131"/>
        <v>0</v>
      </c>
      <c r="AJ61" s="41">
        <f t="shared" si="132"/>
        <v>0</v>
      </c>
      <c r="AK61" s="88"/>
      <c r="AL61" s="82">
        <f t="shared" si="133"/>
        <v>0</v>
      </c>
      <c r="AM61" s="41">
        <f t="shared" si="134"/>
        <v>0</v>
      </c>
      <c r="AN61" s="88"/>
      <c r="AO61" s="82">
        <f t="shared" si="135"/>
        <v>0</v>
      </c>
      <c r="AP61" s="41">
        <f t="shared" si="136"/>
        <v>0</v>
      </c>
      <c r="AQ61" s="88"/>
      <c r="AR61" s="82">
        <f t="shared" si="137"/>
        <v>0</v>
      </c>
      <c r="AS61" s="41">
        <f t="shared" si="138"/>
        <v>0</v>
      </c>
      <c r="AT61" s="88"/>
      <c r="AU61" s="82">
        <f t="shared" si="139"/>
        <v>0</v>
      </c>
      <c r="AV61" s="41">
        <f t="shared" si="140"/>
        <v>0</v>
      </c>
      <c r="AW61" s="88"/>
      <c r="AX61" s="82">
        <f t="shared" si="141"/>
        <v>0</v>
      </c>
      <c r="AY61" s="41">
        <f t="shared" si="142"/>
        <v>0</v>
      </c>
      <c r="BA61" s="49"/>
      <c r="BB61" s="50"/>
      <c r="BC61" s="45">
        <f t="shared" si="102"/>
        <v>0</v>
      </c>
      <c r="BD61" s="84"/>
      <c r="BE61" s="43">
        <f t="shared" si="103"/>
        <v>0</v>
      </c>
      <c r="BG61" s="46">
        <f t="shared" si="109"/>
        <v>0</v>
      </c>
      <c r="BH61" s="43">
        <f t="shared" si="145"/>
        <v>0</v>
      </c>
      <c r="BI61" s="43">
        <f t="shared" si="143"/>
        <v>0</v>
      </c>
      <c r="BJ61" s="43">
        <f t="shared" si="144"/>
        <v>0</v>
      </c>
      <c r="BK61" s="47">
        <f t="shared" si="110"/>
        <v>0</v>
      </c>
    </row>
    <row r="62" spans="2:63" x14ac:dyDescent="0.15">
      <c r="B62" s="26"/>
      <c r="C62" s="508"/>
      <c r="D62" s="85"/>
      <c r="E62" s="86"/>
      <c r="F62" s="87"/>
      <c r="G62" s="85"/>
      <c r="H62" s="82">
        <f>G62/$G$74</f>
        <v>0</v>
      </c>
      <c r="I62" s="41">
        <f>(G62+D62)/$G$71</f>
        <v>0</v>
      </c>
      <c r="J62" s="85"/>
      <c r="K62" s="82">
        <f>(J62+G62)/$J$74</f>
        <v>0</v>
      </c>
      <c r="L62" s="41">
        <f>(J62+G62+D62)/$J$71</f>
        <v>0</v>
      </c>
      <c r="M62" s="520"/>
      <c r="N62" s="82">
        <f>(M62+J62+G62)/$M$74</f>
        <v>0</v>
      </c>
      <c r="O62" s="41">
        <f>(D62+G62+J62+M62)/$M$71</f>
        <v>0</v>
      </c>
      <c r="P62" s="520"/>
      <c r="Q62" s="82">
        <f>(M62+P62+J62+G62)/$P$74</f>
        <v>0</v>
      </c>
      <c r="R62" s="41">
        <f>(M62+D62+G62+J62+P62)/$P$71</f>
        <v>0</v>
      </c>
      <c r="S62" s="526"/>
      <c r="T62" s="82">
        <f>(M62+S62+P62+J62+G62)/$S$74</f>
        <v>0</v>
      </c>
      <c r="U62" s="42">
        <f>(M62+P62+S62+J62+G62+D62)/$S$71</f>
        <v>0</v>
      </c>
      <c r="V62" s="523"/>
      <c r="W62" s="82">
        <f>(M62+V62+S62+P62+J62+G62)/$V$74</f>
        <v>0</v>
      </c>
      <c r="X62" s="41">
        <f>(M62+S62+V62+P62+J62+G62)/V$71</f>
        <v>0</v>
      </c>
      <c r="Y62" s="523"/>
      <c r="Z62" s="82">
        <f>(G62+P62+Y62+V62+S62+M62+J62)/$V$74</f>
        <v>0</v>
      </c>
      <c r="AA62" s="41">
        <f>(G62+P62+V62+Y62+S62+M62+J62)/Y$71</f>
        <v>0</v>
      </c>
      <c r="AB62" s="88"/>
      <c r="AC62" s="82">
        <f>(G62+J62+S62+AB62+Y62+V62+P62+M62)/$V$74</f>
        <v>0</v>
      </c>
      <c r="AD62" s="41">
        <f>(G62+J62+S62+Y62+AB62+V62+P62+M62)/AB$71</f>
        <v>0</v>
      </c>
      <c r="AE62" s="88"/>
      <c r="AF62" s="82">
        <f>(G62+J62+M62+V62+AE62+AB62+Y62+S62+P62)/$V$74</f>
        <v>0</v>
      </c>
      <c r="AG62" s="41">
        <f>(G62+J62+M62+V62+AB62+AE62+Y62+S62+P62)/AE$71</f>
        <v>0</v>
      </c>
      <c r="AH62" s="88"/>
      <c r="AI62" s="82">
        <f>(G62+J62+M62+P62+Y62+AH62+AE62+AB62+V62+S62)/$V$74</f>
        <v>0</v>
      </c>
      <c r="AJ62" s="41">
        <f>(G62+J62+M62+P62+Y62+AE62+AH62+AB62+V62+S62)/AH$71</f>
        <v>0</v>
      </c>
      <c r="AK62" s="88"/>
      <c r="AL62" s="82">
        <f>(G62+J62+M62+P62+S62+AB62+AK62+AH62+AE62+Y62+V62)/$V$74</f>
        <v>0</v>
      </c>
      <c r="AM62" s="41">
        <f>(G62+J62+M62+P62+S62+AB62+AH62+AK62+AE62+Y62+V62)/AK$71</f>
        <v>0</v>
      </c>
      <c r="AN62" s="88"/>
      <c r="AO62" s="82">
        <f>(G62+J62+M62+P62+S62+V62+AE62+AN62+AK62+AH62+AB62+Y62)/$V$74</f>
        <v>0</v>
      </c>
      <c r="AP62" s="41">
        <f>(G62+J62+M62+P62+S62+V62+AE62+AK62+AN62+AH62+AB62+Y62)/AN$71</f>
        <v>0</v>
      </c>
      <c r="AQ62" s="88"/>
      <c r="AR62" s="82">
        <f>(G62+J62+M62+P62+S62+V62+Y62+AH62+AQ62+AN62+AK62+AE62+AB62)/$V$74</f>
        <v>0</v>
      </c>
      <c r="AS62" s="41">
        <f>(G62+J62+M62+P62+S62+V62+Y62+AH62+AN62+AQ62+AK62+AE62+AB62)/AQ$71</f>
        <v>0</v>
      </c>
      <c r="AT62" s="88"/>
      <c r="AU62" s="82">
        <f>(G62+J62+M62+P62+S62+V62+Y62+AB62+AK62+AT62+AQ62+AN62+AH62+AE62)/$V$74</f>
        <v>0</v>
      </c>
      <c r="AV62" s="41">
        <f>(G62+J62+M62+P62+S62+V62+Y62+AB62+AK62+AQ62+AT62+AN62+AH62+AE62)/AT$71</f>
        <v>0</v>
      </c>
      <c r="AW62" s="88"/>
      <c r="AX62" s="82">
        <f>(G62+J62+M62+P62+S62+V62+Y62+AB62+AE62+AN62+AW62+AT62+AQ62+AK62+AH62)/$V$74</f>
        <v>0</v>
      </c>
      <c r="AY62" s="41">
        <f>(G62+J62+M62+P62+S62+V62+Y62+AB62+AE62+AN62+AT62+AW62+AQ62+AK62+AH62)/AW$71</f>
        <v>0</v>
      </c>
      <c r="BA62" s="49">
        <f t="shared" si="106"/>
        <v>0</v>
      </c>
      <c r="BB62" s="50">
        <f>M62+V62+S62+P62+J62+G62+D62+Y62+AB62+AE62</f>
        <v>0</v>
      </c>
      <c r="BC62" s="45">
        <f t="shared" si="102"/>
        <v>0</v>
      </c>
      <c r="BD62" s="84"/>
      <c r="BE62" s="43">
        <f t="shared" si="103"/>
        <v>0</v>
      </c>
      <c r="BG62" s="46">
        <f t="shared" si="109"/>
        <v>0</v>
      </c>
      <c r="BH62" s="43">
        <f t="shared" si="145"/>
        <v>0</v>
      </c>
      <c r="BI62" s="43">
        <f t="shared" si="143"/>
        <v>0</v>
      </c>
      <c r="BJ62" s="43">
        <f t="shared" si="144"/>
        <v>0</v>
      </c>
      <c r="BK62" s="47">
        <f t="shared" si="110"/>
        <v>0</v>
      </c>
    </row>
    <row r="63" spans="2:63" x14ac:dyDescent="0.15">
      <c r="B63" s="26"/>
      <c r="C63" s="89" t="s">
        <v>7</v>
      </c>
      <c r="D63" s="90">
        <v>0</v>
      </c>
      <c r="E63" s="91"/>
      <c r="F63" s="92">
        <f>D63/$G$74</f>
        <v>0</v>
      </c>
      <c r="G63" s="90">
        <f>D74-SUM(G30:G62)</f>
        <v>14100000</v>
      </c>
      <c r="H63" s="82">
        <f>G63/G74</f>
        <v>0.94</v>
      </c>
      <c r="I63" s="42"/>
      <c r="J63" s="90">
        <f>G63-SUM(J30:J62)+J77</f>
        <v>13900000</v>
      </c>
      <c r="K63" s="82">
        <f>J63/J74</f>
        <v>0.92666666666666664</v>
      </c>
      <c r="L63" s="42"/>
      <c r="M63" s="90">
        <f>J63-SUM(M30:M62)+M77</f>
        <v>13900000</v>
      </c>
      <c r="N63" s="82">
        <f>M63/M74</f>
        <v>0.92666666666666664</v>
      </c>
      <c r="O63" s="42"/>
      <c r="P63" s="90">
        <f>M63-SUM(P30:P62)+P77</f>
        <v>13900000</v>
      </c>
      <c r="Q63" s="82">
        <f>P63/P74</f>
        <v>0.92666666666666664</v>
      </c>
      <c r="R63" s="42"/>
      <c r="S63" s="90">
        <f>P63-SUM(S30:S62)+S77</f>
        <v>13900000</v>
      </c>
      <c r="T63" s="82">
        <f>S63/S74</f>
        <v>0.92666666666666664</v>
      </c>
      <c r="U63" s="42"/>
      <c r="V63" s="90">
        <f>S63-SUM(V30:V62)+V77</f>
        <v>14900000</v>
      </c>
      <c r="W63" s="82">
        <f>V63/V74</f>
        <v>0.93125000000000002</v>
      </c>
      <c r="X63" s="93"/>
      <c r="Y63" s="90">
        <f>V63-SUM(Y30:Y62)+Y77</f>
        <v>14900000</v>
      </c>
      <c r="Z63" s="82">
        <f>Y63/Y74</f>
        <v>0.93125000000000002</v>
      </c>
      <c r="AA63" s="93"/>
      <c r="AB63" s="90">
        <f>Y63-SUM(AB30:AB62)+AB77</f>
        <v>14900000</v>
      </c>
      <c r="AC63" s="82">
        <f>AB63/AB74</f>
        <v>0.93125000000000002</v>
      </c>
      <c r="AD63" s="93"/>
      <c r="AE63" s="90">
        <f>AB63-SUM(AE30:AE62)+AE77</f>
        <v>14900000</v>
      </c>
      <c r="AF63" s="82">
        <f>AE63/AE74</f>
        <v>0.93125000000000002</v>
      </c>
      <c r="AG63" s="93"/>
      <c r="AH63" s="90">
        <f>AE63-SUM(AH30:AH62)+AH77</f>
        <v>14900000</v>
      </c>
      <c r="AI63" s="82">
        <f>AH63/AH74</f>
        <v>0.93125000000000002</v>
      </c>
      <c r="AJ63" s="93"/>
      <c r="AK63" s="90">
        <f>AH63-SUM(AK30:AK62)+AK77</f>
        <v>14900000</v>
      </c>
      <c r="AL63" s="82">
        <f>AK63/AK74</f>
        <v>0.93125000000000002</v>
      </c>
      <c r="AM63" s="93"/>
      <c r="AN63" s="90">
        <f>AK63-SUM(AN30:AN62)+AN77</f>
        <v>15400000</v>
      </c>
      <c r="AO63" s="82">
        <f>AN63/AN74</f>
        <v>0.93333333333333335</v>
      </c>
      <c r="AP63" s="93"/>
      <c r="AQ63" s="90">
        <f>AN63-SUM(AQ30:AQ62)+AQ77</f>
        <v>15400000</v>
      </c>
      <c r="AR63" s="82">
        <f>AQ63/AQ74</f>
        <v>0.93333333333333335</v>
      </c>
      <c r="AS63" s="93"/>
      <c r="AT63" s="90">
        <f>AQ63-SUM(AT30:AT62)+AT77</f>
        <v>15300000</v>
      </c>
      <c r="AU63" s="82">
        <f>AT63/AT74</f>
        <v>0.92727272727272725</v>
      </c>
      <c r="AV63" s="93"/>
      <c r="AW63" s="90">
        <f>AT63-SUM(AW30:AW62)+AW77</f>
        <v>15260000</v>
      </c>
      <c r="AX63" s="82">
        <f>AW63/AW74</f>
        <v>0.92484848484848481</v>
      </c>
      <c r="AY63" s="93"/>
      <c r="BA63" s="49">
        <f>BB63*$V$6</f>
        <v>7097674.4186046515</v>
      </c>
      <c r="BB63" s="50">
        <f>AW63</f>
        <v>15260000</v>
      </c>
      <c r="BC63" s="45">
        <f t="shared" si="102"/>
        <v>0.1658695652173913</v>
      </c>
      <c r="BE63" s="43"/>
      <c r="BG63" s="46" t="str">
        <f t="shared" si="109"/>
        <v>Un-granted option pool</v>
      </c>
      <c r="BH63" s="52"/>
      <c r="BI63" s="52"/>
      <c r="BJ63" s="52"/>
      <c r="BK63" s="52"/>
    </row>
    <row r="64" spans="2:63" x14ac:dyDescent="0.15">
      <c r="B64" s="26"/>
      <c r="C64" s="19"/>
      <c r="D64" s="27"/>
      <c r="E64" s="94"/>
      <c r="F64" s="95">
        <f>SUM(F10:F63)</f>
        <v>1</v>
      </c>
      <c r="G64" s="27"/>
      <c r="H64" s="96">
        <f>SUM(H30:H63)</f>
        <v>1</v>
      </c>
      <c r="I64" s="97">
        <f>SUM(I10:I63)</f>
        <v>1</v>
      </c>
      <c r="J64" s="27"/>
      <c r="K64" s="96">
        <f>SUM(K30:K63)</f>
        <v>1</v>
      </c>
      <c r="L64" s="97">
        <f>SUM(L10:L63)</f>
        <v>1</v>
      </c>
      <c r="M64" s="98"/>
      <c r="N64" s="96">
        <f>SUM(N30:N63)</f>
        <v>1</v>
      </c>
      <c r="O64" s="97">
        <f>SUM(O10:O63)</f>
        <v>1.0000000000000002</v>
      </c>
      <c r="P64" s="99"/>
      <c r="Q64" s="96">
        <f>SUM(Q30:Q63)</f>
        <v>1</v>
      </c>
      <c r="R64" s="100">
        <f>SUM(R10:R63)</f>
        <v>1.0000000000000002</v>
      </c>
      <c r="S64" s="101"/>
      <c r="T64" s="96">
        <f>SUM(T30:T63)</f>
        <v>1</v>
      </c>
      <c r="U64" s="97">
        <f>SUM(U10:U63)</f>
        <v>1.0000000000000002</v>
      </c>
      <c r="V64" s="27"/>
      <c r="W64" s="96">
        <f>SUM(W30:W63)</f>
        <v>1</v>
      </c>
      <c r="X64" s="97">
        <f>SUM(X10:X63)</f>
        <v>1.0000000000000002</v>
      </c>
      <c r="Y64" s="27"/>
      <c r="Z64" s="96">
        <f>SUM(Z30:Z63)</f>
        <v>1</v>
      </c>
      <c r="AA64" s="97">
        <f>SUM(AA10:AA63)</f>
        <v>1.0000000000000002</v>
      </c>
      <c r="AB64" s="27"/>
      <c r="AC64" s="96">
        <f>SUM(AC30:AC63)</f>
        <v>1</v>
      </c>
      <c r="AD64" s="97">
        <f>SUM(AD10:AD63)</f>
        <v>1.0000000000000002</v>
      </c>
      <c r="AE64" s="27"/>
      <c r="AF64" s="96">
        <f>SUM(AF30:AF63)</f>
        <v>1</v>
      </c>
      <c r="AG64" s="97">
        <f>SUM(AG10:AG63)</f>
        <v>1.0000000000000002</v>
      </c>
      <c r="AH64" s="27"/>
      <c r="AI64" s="96">
        <f>SUM(AI30:AI63)</f>
        <v>1</v>
      </c>
      <c r="AJ64" s="97">
        <f>SUM(AJ10:AJ63)</f>
        <v>1.0000000000000002</v>
      </c>
      <c r="AK64" s="27"/>
      <c r="AL64" s="96">
        <f>SUM(AL30:AL63)</f>
        <v>1</v>
      </c>
      <c r="AM64" s="97">
        <f>SUM(AM10:AM63)</f>
        <v>1.0000000000000002</v>
      </c>
      <c r="AN64" s="27"/>
      <c r="AO64" s="96">
        <f>SUM(AO30:AO63)</f>
        <v>1.0020833333333334</v>
      </c>
      <c r="AP64" s="97">
        <f>SUM(AP10:AP63)</f>
        <v>1.0000000000000002</v>
      </c>
      <c r="AQ64" s="27"/>
      <c r="AR64" s="96">
        <f>SUM(AR30:AR63)</f>
        <v>1.0020833333333334</v>
      </c>
      <c r="AS64" s="97">
        <f>SUM(AS10:AS63)</f>
        <v>1.0000000000000002</v>
      </c>
      <c r="AT64" s="27"/>
      <c r="AU64" s="96">
        <f>SUM(AU30:AU63)</f>
        <v>1.0022727272727272</v>
      </c>
      <c r="AV64" s="97">
        <f>SUM(AV10:AV63)</f>
        <v>1.0000000000000002</v>
      </c>
      <c r="AW64" s="27"/>
      <c r="AX64" s="96">
        <f>SUM(AX30:AX63)</f>
        <v>1.0023484848484849</v>
      </c>
      <c r="AY64" s="97">
        <f>SUM(AY10:AY63)</f>
        <v>1.0000000000000002</v>
      </c>
      <c r="BE64" s="30"/>
      <c r="BH64" s="30">
        <f>SUM(BH30:BH63)</f>
        <v>134980.07968127489</v>
      </c>
      <c r="BI64" s="30">
        <f>SUM(BI30:BI63)</f>
        <v>4116800</v>
      </c>
      <c r="BJ64" s="30">
        <f>SUM(BJ30:BJ63)</f>
        <v>3981819.9203187251</v>
      </c>
      <c r="BK64" s="30"/>
    </row>
    <row r="65" spans="2:62" x14ac:dyDescent="0.15">
      <c r="B65" s="18" t="s">
        <v>180</v>
      </c>
      <c r="C65" s="19"/>
      <c r="D65" s="29">
        <f>SUM(D10:D19)</f>
        <v>62750000</v>
      </c>
      <c r="E65" s="74"/>
      <c r="F65" s="95"/>
      <c r="G65" s="29">
        <f>SUM(G10:G19)</f>
        <v>0</v>
      </c>
      <c r="H65" s="74"/>
      <c r="I65" s="95"/>
      <c r="J65" s="29">
        <f>SUM(J10:J19)</f>
        <v>0</v>
      </c>
      <c r="K65" s="74"/>
      <c r="L65" s="102"/>
      <c r="M65" s="29">
        <f>SUM(M10:M19)</f>
        <v>12500000</v>
      </c>
      <c r="N65" s="74"/>
      <c r="O65" s="102"/>
      <c r="P65" s="29">
        <f>SUM(P10:P19)</f>
        <v>0</v>
      </c>
      <c r="Q65" s="74"/>
      <c r="R65" s="103"/>
      <c r="S65" s="29">
        <f>SUM(S10:S19)</f>
        <v>0</v>
      </c>
      <c r="T65" s="74"/>
      <c r="U65" s="95"/>
      <c r="V65" s="29">
        <f>SUM(V10:V19)</f>
        <v>0</v>
      </c>
      <c r="W65" s="74"/>
      <c r="X65" s="95"/>
      <c r="Y65" s="29">
        <f>SUM(Y10:Y19)</f>
        <v>0</v>
      </c>
      <c r="Z65" s="74"/>
      <c r="AA65" s="95"/>
      <c r="AB65" s="29">
        <f>SUM(AB10:AB19)</f>
        <v>0</v>
      </c>
      <c r="AC65" s="74"/>
      <c r="AD65" s="95"/>
      <c r="AE65" s="29">
        <f>SUM(AE10:AE19)</f>
        <v>0</v>
      </c>
      <c r="AF65" s="74"/>
      <c r="AG65" s="95"/>
      <c r="AH65" s="29">
        <f>SUM(AH10:AH19)</f>
        <v>0</v>
      </c>
      <c r="AI65" s="74"/>
      <c r="AJ65" s="95"/>
      <c r="AK65" s="29">
        <f>SUM(AK10:AK19)</f>
        <v>0</v>
      </c>
      <c r="AL65" s="74"/>
      <c r="AM65" s="95"/>
      <c r="AN65" s="29">
        <f>SUM(AN10:AN19)</f>
        <v>0</v>
      </c>
      <c r="AO65" s="74"/>
      <c r="AP65" s="95"/>
      <c r="AQ65" s="29">
        <f>SUM(AQ10:AQ19)</f>
        <v>0</v>
      </c>
      <c r="AR65" s="74"/>
      <c r="AS65" s="95"/>
      <c r="AT65" s="29">
        <f>SUM(AT10:AT19)</f>
        <v>0</v>
      </c>
      <c r="AU65" s="74"/>
      <c r="AV65" s="95"/>
      <c r="AW65" s="29">
        <f>SUM(AW10:AW19)</f>
        <v>0</v>
      </c>
      <c r="AX65" s="74"/>
      <c r="AY65" s="95"/>
    </row>
    <row r="66" spans="2:62" x14ac:dyDescent="0.15">
      <c r="B66" s="26"/>
      <c r="C66" s="19" t="s">
        <v>2</v>
      </c>
      <c r="D66" s="31">
        <f>D6</f>
        <v>1E-3</v>
      </c>
      <c r="E66" s="104"/>
      <c r="F66" s="105"/>
      <c r="G66" s="32">
        <f>G6</f>
        <v>7.9681274900398405E-3</v>
      </c>
      <c r="H66" s="106"/>
      <c r="I66" s="105"/>
      <c r="J66" s="32">
        <f>J6</f>
        <v>0.23904382470119523</v>
      </c>
      <c r="K66" s="106"/>
      <c r="L66" s="105"/>
      <c r="M66" s="32">
        <f>M6</f>
        <v>3.9840637450199203</v>
      </c>
      <c r="N66" s="106"/>
      <c r="O66" s="105"/>
      <c r="P66" s="32">
        <f>P6</f>
        <v>0.46511627906976744</v>
      </c>
      <c r="Q66" s="106"/>
      <c r="R66" s="105"/>
      <c r="S66" s="33">
        <f>S6</f>
        <v>0.46511627906976744</v>
      </c>
      <c r="T66" s="106"/>
      <c r="U66" s="105"/>
      <c r="V66" s="32">
        <f>V6</f>
        <v>0.46511627906976744</v>
      </c>
      <c r="W66" s="106"/>
      <c r="X66" s="105"/>
      <c r="Y66" s="32">
        <f>Y6</f>
        <v>0.46511627906976744</v>
      </c>
      <c r="Z66" s="106"/>
      <c r="AA66" s="105"/>
      <c r="AB66" s="32">
        <f>AB6</f>
        <v>0.46511627906976744</v>
      </c>
      <c r="AC66" s="106"/>
      <c r="AD66" s="105"/>
      <c r="AE66" s="32">
        <f>AE6</f>
        <v>0.46511627906976744</v>
      </c>
      <c r="AF66" s="106"/>
      <c r="AG66" s="105"/>
      <c r="AH66" s="32">
        <f>AH6</f>
        <v>0.46511627906976744</v>
      </c>
      <c r="AI66" s="106"/>
      <c r="AJ66" s="105"/>
      <c r="AK66" s="32">
        <f>AK6</f>
        <v>0.46511627906976744</v>
      </c>
      <c r="AL66" s="106"/>
      <c r="AM66" s="105"/>
      <c r="AN66" s="32">
        <f>AN6</f>
        <v>0.8</v>
      </c>
      <c r="AO66" s="106"/>
      <c r="AP66" s="105"/>
      <c r="AQ66" s="32">
        <f>AQ6</f>
        <v>0.8</v>
      </c>
      <c r="AR66" s="106"/>
      <c r="AS66" s="105"/>
      <c r="AT66" s="32">
        <f>AT6</f>
        <v>0.8</v>
      </c>
      <c r="AU66" s="106"/>
      <c r="AV66" s="105"/>
      <c r="AW66" s="32">
        <f>AW6</f>
        <v>3.32</v>
      </c>
      <c r="AX66" s="106"/>
      <c r="AY66" s="105"/>
      <c r="BB66" s="44">
        <f>SUM(BB10:BB63)</f>
        <v>92000000</v>
      </c>
      <c r="BH66" s="498">
        <f>BH64+BH27+BH20</f>
        <v>49998526.892430283</v>
      </c>
      <c r="BI66" s="499">
        <f>BI64+BI27+BI20</f>
        <v>254776800</v>
      </c>
      <c r="BJ66" s="500">
        <f>BJ64+BJ27+BJ20</f>
        <v>204778273.10756972</v>
      </c>
    </row>
    <row r="67" spans="2:62" x14ac:dyDescent="0.15">
      <c r="B67" s="26"/>
      <c r="C67" s="107" t="s">
        <v>3</v>
      </c>
      <c r="D67" s="108">
        <f>D66*D65</f>
        <v>62750</v>
      </c>
      <c r="E67" s="109"/>
      <c r="F67" s="110"/>
      <c r="G67" s="108">
        <f>G66*G65</f>
        <v>0</v>
      </c>
      <c r="H67" s="109"/>
      <c r="I67" s="110"/>
      <c r="J67" s="111">
        <f>J66*J65</f>
        <v>0</v>
      </c>
      <c r="K67" s="112"/>
      <c r="L67" s="110"/>
      <c r="M67" s="108">
        <f>M66*M65</f>
        <v>49800796.812749006</v>
      </c>
      <c r="N67" s="109"/>
      <c r="O67" s="110"/>
      <c r="P67" s="108">
        <f>P66*P65</f>
        <v>0</v>
      </c>
      <c r="Q67" s="109"/>
      <c r="R67" s="110"/>
      <c r="S67" s="113">
        <f>S66*S65</f>
        <v>0</v>
      </c>
      <c r="T67" s="112"/>
      <c r="U67" s="110"/>
      <c r="V67" s="108">
        <f>V66*V65</f>
        <v>0</v>
      </c>
      <c r="W67" s="109"/>
      <c r="X67" s="105"/>
      <c r="Y67" s="108">
        <f>Y66*Y65</f>
        <v>0</v>
      </c>
      <c r="Z67" s="109"/>
      <c r="AA67" s="105"/>
      <c r="AB67" s="108">
        <f>AB66*AB65</f>
        <v>0</v>
      </c>
      <c r="AC67" s="109"/>
      <c r="AD67" s="105"/>
      <c r="AE67" s="108">
        <f>AE66*AE65</f>
        <v>0</v>
      </c>
      <c r="AF67" s="109"/>
      <c r="AG67" s="105"/>
      <c r="AH67" s="108">
        <f>AH66*AH65</f>
        <v>0</v>
      </c>
      <c r="AI67" s="109"/>
      <c r="AJ67" s="105"/>
      <c r="AK67" s="108">
        <f>AK66*AK65</f>
        <v>0</v>
      </c>
      <c r="AL67" s="109"/>
      <c r="AM67" s="105"/>
      <c r="AN67" s="108">
        <f>AN66*AN65</f>
        <v>0</v>
      </c>
      <c r="AO67" s="109"/>
      <c r="AP67" s="105"/>
      <c r="AQ67" s="108">
        <f>AQ66*AQ65</f>
        <v>0</v>
      </c>
      <c r="AR67" s="109"/>
      <c r="AS67" s="105"/>
      <c r="AT67" s="108">
        <f>AT66*AT65</f>
        <v>0</v>
      </c>
      <c r="AU67" s="109"/>
      <c r="AV67" s="105"/>
      <c r="AW67" s="108">
        <f>AW66*AW65</f>
        <v>0</v>
      </c>
      <c r="AX67" s="109"/>
      <c r="AY67" s="105"/>
      <c r="BB67" s="44">
        <f>BB66-AW71</f>
        <v>15260000</v>
      </c>
    </row>
    <row r="68" spans="2:62" ht="3.75" customHeight="1" x14ac:dyDescent="0.15">
      <c r="B68" s="26"/>
      <c r="C68" s="19"/>
      <c r="D68" s="114"/>
      <c r="E68" s="115"/>
      <c r="F68" s="22"/>
      <c r="G68" s="114"/>
      <c r="H68" s="115"/>
      <c r="I68" s="22"/>
      <c r="J68" s="114"/>
      <c r="K68" s="115"/>
      <c r="L68" s="22"/>
      <c r="M68" s="114"/>
      <c r="N68" s="115"/>
      <c r="O68" s="22"/>
      <c r="P68" s="114"/>
      <c r="Q68" s="115"/>
      <c r="R68" s="22"/>
      <c r="S68" s="116"/>
      <c r="T68" s="115"/>
      <c r="U68" s="22"/>
      <c r="V68" s="114"/>
      <c r="W68" s="115"/>
      <c r="X68" s="105"/>
      <c r="Y68" s="114"/>
      <c r="Z68" s="115"/>
      <c r="AA68" s="105"/>
      <c r="AB68" s="114"/>
      <c r="AC68" s="115"/>
      <c r="AD68" s="105"/>
      <c r="AE68" s="114"/>
      <c r="AF68" s="115"/>
      <c r="AG68" s="105"/>
      <c r="AH68" s="114"/>
      <c r="AI68" s="115"/>
      <c r="AJ68" s="105"/>
      <c r="AK68" s="114"/>
      <c r="AL68" s="115"/>
      <c r="AM68" s="105"/>
      <c r="AN68" s="114"/>
      <c r="AO68" s="115"/>
      <c r="AP68" s="105"/>
      <c r="AQ68" s="114"/>
      <c r="AR68" s="115"/>
      <c r="AS68" s="105"/>
      <c r="AT68" s="114"/>
      <c r="AU68" s="115"/>
      <c r="AV68" s="105"/>
      <c r="AW68" s="114"/>
      <c r="AX68" s="115"/>
      <c r="AY68" s="105"/>
    </row>
    <row r="69" spans="2:62" x14ac:dyDescent="0.15">
      <c r="B69" s="18" t="s">
        <v>1</v>
      </c>
      <c r="C69" s="19"/>
      <c r="D69" s="114">
        <f>D67+D4</f>
        <v>62750</v>
      </c>
      <c r="E69" s="115"/>
      <c r="F69" s="22"/>
      <c r="G69" s="114">
        <f>G67+G4</f>
        <v>500000</v>
      </c>
      <c r="H69" s="115"/>
      <c r="I69" s="22"/>
      <c r="J69" s="114">
        <f>J67+J4</f>
        <v>15000000</v>
      </c>
      <c r="K69" s="115"/>
      <c r="L69" s="22"/>
      <c r="M69" s="114">
        <f>M67+M4</f>
        <v>299800796.81274903</v>
      </c>
      <c r="N69" s="115"/>
      <c r="O69" s="22"/>
      <c r="P69" s="114">
        <f>P67+P4</f>
        <v>35000000</v>
      </c>
      <c r="Q69" s="115"/>
      <c r="R69" s="22"/>
      <c r="S69" s="116">
        <f>S67+S4</f>
        <v>35000000</v>
      </c>
      <c r="T69" s="115"/>
      <c r="U69" s="22"/>
      <c r="V69" s="114">
        <f>V67+V4</f>
        <v>35000000</v>
      </c>
      <c r="W69" s="115"/>
      <c r="X69" s="105"/>
      <c r="Y69" s="114">
        <f>Y67+Y4</f>
        <v>35000000</v>
      </c>
      <c r="Z69" s="115"/>
      <c r="AA69" s="105"/>
      <c r="AB69" s="114">
        <f>AB67+AB4</f>
        <v>35000000</v>
      </c>
      <c r="AC69" s="115"/>
      <c r="AD69" s="105"/>
      <c r="AE69" s="114">
        <f>AE67+AE4</f>
        <v>35000000</v>
      </c>
      <c r="AF69" s="115"/>
      <c r="AG69" s="105"/>
      <c r="AH69" s="114">
        <f>AH67+AH4</f>
        <v>35000000</v>
      </c>
      <c r="AI69" s="115"/>
      <c r="AJ69" s="105"/>
      <c r="AK69" s="114">
        <f>AK67+AK4</f>
        <v>35000000</v>
      </c>
      <c r="AL69" s="115"/>
      <c r="AM69" s="105"/>
      <c r="AN69" s="114">
        <f>AN67+AN4</f>
        <v>60000000</v>
      </c>
      <c r="AO69" s="115"/>
      <c r="AP69" s="105"/>
      <c r="AQ69" s="114">
        <f>AQ67+AQ4</f>
        <v>60000000</v>
      </c>
      <c r="AR69" s="115"/>
      <c r="AS69" s="105"/>
      <c r="AT69" s="114">
        <f>AT67+AT4</f>
        <v>60000000</v>
      </c>
      <c r="AU69" s="115"/>
      <c r="AV69" s="105"/>
      <c r="AW69" s="114">
        <f>AW67+AW4</f>
        <v>250000000</v>
      </c>
      <c r="AX69" s="115"/>
      <c r="AY69" s="105"/>
    </row>
    <row r="70" spans="2:62" x14ac:dyDescent="0.15">
      <c r="B70" s="18"/>
      <c r="C70" s="19" t="s">
        <v>75</v>
      </c>
      <c r="D70" s="28">
        <f>D65</f>
        <v>62750000</v>
      </c>
      <c r="E70" s="115"/>
      <c r="F70" s="22"/>
      <c r="G70" s="28">
        <f>D70+G65</f>
        <v>62750000</v>
      </c>
      <c r="H70" s="115"/>
      <c r="I70" s="22"/>
      <c r="J70" s="28">
        <f>G70+J65</f>
        <v>62750000</v>
      </c>
      <c r="K70" s="115"/>
      <c r="L70" s="22"/>
      <c r="M70" s="28">
        <f>J70+M65</f>
        <v>75250000</v>
      </c>
      <c r="N70" s="115"/>
      <c r="O70" s="22"/>
      <c r="P70" s="28">
        <f>M70+P65</f>
        <v>75250000</v>
      </c>
      <c r="Q70" s="115"/>
      <c r="R70" s="22"/>
      <c r="S70" s="117">
        <f>P70+S65</f>
        <v>75250000</v>
      </c>
      <c r="T70" s="115"/>
      <c r="U70" s="22"/>
      <c r="V70" s="28">
        <f>S70+V65</f>
        <v>75250000</v>
      </c>
      <c r="W70" s="115"/>
      <c r="X70" s="105"/>
      <c r="Y70" s="28">
        <f>V70+Y65</f>
        <v>75250000</v>
      </c>
      <c r="Z70" s="115"/>
      <c r="AA70" s="105"/>
      <c r="AB70" s="28">
        <f>Y70+AB65</f>
        <v>75250000</v>
      </c>
      <c r="AC70" s="115"/>
      <c r="AD70" s="105"/>
      <c r="AE70" s="28">
        <f>AB70+AE65</f>
        <v>75250000</v>
      </c>
      <c r="AF70" s="115"/>
      <c r="AG70" s="105"/>
      <c r="AH70" s="28">
        <f>AE70+AH65</f>
        <v>75250000</v>
      </c>
      <c r="AI70" s="115"/>
      <c r="AJ70" s="105"/>
      <c r="AK70" s="28">
        <f>AH70+AK65</f>
        <v>75250000</v>
      </c>
      <c r="AL70" s="115"/>
      <c r="AM70" s="105"/>
      <c r="AN70" s="28">
        <f>AK70+AN65</f>
        <v>75250000</v>
      </c>
      <c r="AO70" s="115"/>
      <c r="AP70" s="105"/>
      <c r="AQ70" s="28">
        <f>AN70+AQ65</f>
        <v>75250000</v>
      </c>
      <c r="AR70" s="115"/>
      <c r="AS70" s="105"/>
      <c r="AT70" s="28">
        <f>AQ70+AT65</f>
        <v>75250000</v>
      </c>
      <c r="AU70" s="115"/>
      <c r="AV70" s="105"/>
      <c r="AW70" s="28">
        <f>AT70+AW65</f>
        <v>75250000</v>
      </c>
      <c r="AX70" s="115"/>
      <c r="AY70" s="105"/>
      <c r="BA70" s="30"/>
      <c r="BB70" s="118"/>
    </row>
    <row r="71" spans="2:62" ht="12" x14ac:dyDescent="0.15">
      <c r="B71" s="26"/>
      <c r="C71" s="119" t="s">
        <v>78</v>
      </c>
      <c r="D71" s="29">
        <f>D65</f>
        <v>62750000</v>
      </c>
      <c r="E71" s="74"/>
      <c r="F71" s="120"/>
      <c r="G71" s="29">
        <f>SUM(G10:G62)+D71</f>
        <v>63900000</v>
      </c>
      <c r="H71" s="74"/>
      <c r="I71" s="120"/>
      <c r="J71" s="29">
        <f>SUM(J10:J62)+G71</f>
        <v>64100000</v>
      </c>
      <c r="K71" s="74"/>
      <c r="L71" s="120"/>
      <c r="M71" s="29">
        <f>SUM(M10:M62)+J71</f>
        <v>76600000</v>
      </c>
      <c r="N71" s="74"/>
      <c r="O71" s="120"/>
      <c r="P71" s="29">
        <f>SUM(P10:P62)+M71</f>
        <v>76600000</v>
      </c>
      <c r="Q71" s="74"/>
      <c r="R71" s="120"/>
      <c r="S71" s="29">
        <f>SUM(S10:S62)+P71</f>
        <v>76600000</v>
      </c>
      <c r="T71" s="74"/>
      <c r="U71" s="120"/>
      <c r="V71" s="29">
        <f>SUM(V10:V62)+S71</f>
        <v>76600000</v>
      </c>
      <c r="W71" s="74"/>
      <c r="X71" s="120"/>
      <c r="Y71" s="29">
        <f>SUM(Y10:Y62)+V71</f>
        <v>76600000</v>
      </c>
      <c r="Z71" s="74"/>
      <c r="AA71" s="120"/>
      <c r="AB71" s="29">
        <f>SUM(AB10:AB62)+Y71</f>
        <v>76600000</v>
      </c>
      <c r="AC71" s="74"/>
      <c r="AD71" s="120"/>
      <c r="AE71" s="29">
        <f>SUM(AE10:AE62)+AB71</f>
        <v>76600000</v>
      </c>
      <c r="AF71" s="74"/>
      <c r="AG71" s="120"/>
      <c r="AH71" s="29">
        <f>SUM(AH10:AH62)+AE71</f>
        <v>76600000</v>
      </c>
      <c r="AI71" s="74"/>
      <c r="AJ71" s="120"/>
      <c r="AK71" s="29">
        <f>SUM(AK10:AK62)+AH71</f>
        <v>76600000</v>
      </c>
      <c r="AL71" s="74"/>
      <c r="AM71" s="120"/>
      <c r="AN71" s="29">
        <f>SUM(AN10:AN62)+AK71</f>
        <v>76600000</v>
      </c>
      <c r="AO71" s="74"/>
      <c r="AP71" s="120"/>
      <c r="AQ71" s="29">
        <f>SUM(AQ10:AQ62)+AN71</f>
        <v>76600000</v>
      </c>
      <c r="AR71" s="74"/>
      <c r="AS71" s="120"/>
      <c r="AT71" s="29">
        <f>SUM(AT10:AT62)+AQ71</f>
        <v>76700000</v>
      </c>
      <c r="AU71" s="74"/>
      <c r="AV71" s="120"/>
      <c r="AW71" s="29">
        <f>SUM(AW10:AW62)+AT71</f>
        <v>76740000</v>
      </c>
      <c r="AX71" s="74"/>
      <c r="AY71" s="120"/>
      <c r="BA71" s="121"/>
    </row>
    <row r="72" spans="2:62" ht="3.75" customHeight="1" x14ac:dyDescent="0.15">
      <c r="B72" s="26"/>
      <c r="C72" s="19"/>
      <c r="D72" s="27"/>
      <c r="E72" s="94"/>
      <c r="F72" s="105"/>
      <c r="G72" s="27"/>
      <c r="H72" s="94"/>
      <c r="I72" s="105"/>
      <c r="J72" s="27"/>
      <c r="K72" s="94"/>
      <c r="L72" s="105"/>
      <c r="M72" s="27"/>
      <c r="N72" s="94"/>
      <c r="O72" s="105"/>
      <c r="P72" s="27"/>
      <c r="Q72" s="94"/>
      <c r="R72" s="105"/>
      <c r="S72" s="34"/>
      <c r="T72" s="94"/>
      <c r="U72" s="105"/>
      <c r="V72" s="27"/>
      <c r="W72" s="94"/>
      <c r="X72" s="105"/>
      <c r="Y72" s="27"/>
      <c r="Z72" s="94"/>
      <c r="AA72" s="105"/>
      <c r="AB72" s="27"/>
      <c r="AC72" s="94"/>
      <c r="AD72" s="105"/>
      <c r="AE72" s="27"/>
      <c r="AF72" s="94"/>
      <c r="AG72" s="105"/>
      <c r="AH72" s="27"/>
      <c r="AI72" s="94"/>
      <c r="AJ72" s="105"/>
      <c r="AK72" s="27"/>
      <c r="AL72" s="94"/>
      <c r="AM72" s="105"/>
      <c r="AN72" s="27"/>
      <c r="AO72" s="94"/>
      <c r="AP72" s="105"/>
      <c r="AQ72" s="27"/>
      <c r="AR72" s="94"/>
      <c r="AS72" s="105"/>
      <c r="AT72" s="27"/>
      <c r="AU72" s="94"/>
      <c r="AV72" s="105"/>
      <c r="AW72" s="27"/>
      <c r="AX72" s="94"/>
      <c r="AY72" s="105"/>
    </row>
    <row r="73" spans="2:62" ht="24" x14ac:dyDescent="0.15">
      <c r="B73" s="26"/>
      <c r="C73" s="119" t="s">
        <v>4</v>
      </c>
      <c r="D73" s="26"/>
      <c r="E73" s="122"/>
      <c r="F73" s="105"/>
      <c r="G73" s="27"/>
      <c r="H73" s="94"/>
      <c r="I73" s="105"/>
      <c r="J73" s="27">
        <f>J4/G4</f>
        <v>30</v>
      </c>
      <c r="K73" s="94"/>
      <c r="L73" s="105"/>
      <c r="M73" s="27">
        <f>M4/J4</f>
        <v>16.666666666666668</v>
      </c>
      <c r="N73" s="94"/>
      <c r="O73" s="105"/>
      <c r="P73" s="27">
        <f>P4/M4</f>
        <v>0.14000000000000001</v>
      </c>
      <c r="Q73" s="123"/>
      <c r="R73" s="124"/>
      <c r="S73" s="27">
        <f>S4/P4</f>
        <v>1</v>
      </c>
      <c r="T73" s="94"/>
      <c r="U73" s="105"/>
      <c r="V73" s="27">
        <f>V4/S4</f>
        <v>1</v>
      </c>
      <c r="W73" s="94"/>
      <c r="X73" s="105"/>
      <c r="Y73" s="27">
        <f>Y4/V4</f>
        <v>1</v>
      </c>
      <c r="Z73" s="94"/>
      <c r="AA73" s="105"/>
      <c r="AB73" s="27">
        <f>AB4/Y4</f>
        <v>1</v>
      </c>
      <c r="AC73" s="94"/>
      <c r="AD73" s="105"/>
      <c r="AE73" s="27">
        <f>AE4/AB4</f>
        <v>1</v>
      </c>
      <c r="AF73" s="94"/>
      <c r="AG73" s="105"/>
      <c r="AH73" s="27">
        <f>AH4/AE4</f>
        <v>1</v>
      </c>
      <c r="AI73" s="94"/>
      <c r="AJ73" s="105"/>
      <c r="AK73" s="27">
        <f>AK4/AH4</f>
        <v>1</v>
      </c>
      <c r="AL73" s="94"/>
      <c r="AM73" s="105"/>
      <c r="AN73" s="27">
        <f>AN4/AK4</f>
        <v>1.7142857142857142</v>
      </c>
      <c r="AO73" s="94"/>
      <c r="AP73" s="105"/>
      <c r="AQ73" s="27">
        <f>AQ4/AN4</f>
        <v>1</v>
      </c>
      <c r="AR73" s="94"/>
      <c r="AS73" s="105"/>
      <c r="AT73" s="27">
        <f>AT4/AQ4</f>
        <v>1</v>
      </c>
      <c r="AU73" s="94"/>
      <c r="AV73" s="105"/>
      <c r="AW73" s="27">
        <f>AW4/AT4</f>
        <v>4.166666666666667</v>
      </c>
      <c r="AX73" s="94"/>
      <c r="AY73" s="105"/>
    </row>
    <row r="74" spans="2:62" x14ac:dyDescent="0.15">
      <c r="B74" s="23"/>
      <c r="C74" s="53" t="s">
        <v>10</v>
      </c>
      <c r="D74" s="54">
        <v>15000000</v>
      </c>
      <c r="E74" s="125"/>
      <c r="F74" s="126">
        <v>0.05</v>
      </c>
      <c r="G74" s="127">
        <f>D74</f>
        <v>15000000</v>
      </c>
      <c r="H74" s="125"/>
      <c r="I74" s="128">
        <f>G74/G71</f>
        <v>0.23474178403755869</v>
      </c>
      <c r="J74" s="54">
        <f>G74</f>
        <v>15000000</v>
      </c>
      <c r="K74" s="125"/>
      <c r="L74" s="129">
        <f>J74/J71</f>
        <v>0.23400936037441497</v>
      </c>
      <c r="M74" s="127">
        <f>J74</f>
        <v>15000000</v>
      </c>
      <c r="N74" s="125"/>
      <c r="O74" s="129">
        <f>M74/M71</f>
        <v>0.195822454308094</v>
      </c>
      <c r="P74" s="127">
        <f>M74</f>
        <v>15000000</v>
      </c>
      <c r="Q74" s="125"/>
      <c r="R74" s="130">
        <f>P74/P71</f>
        <v>0.195822454308094</v>
      </c>
      <c r="S74" s="127">
        <f>P74+S77</f>
        <v>15000000</v>
      </c>
      <c r="T74" s="125"/>
      <c r="U74" s="129">
        <f>S74/S71</f>
        <v>0.195822454308094</v>
      </c>
      <c r="V74" s="127">
        <f>S74+V77</f>
        <v>16000000</v>
      </c>
      <c r="W74" s="125"/>
      <c r="X74" s="129">
        <f>V74/V71</f>
        <v>0.20887728459530025</v>
      </c>
      <c r="Y74" s="127">
        <f>V74+Y77</f>
        <v>16000000</v>
      </c>
      <c r="Z74" s="125"/>
      <c r="AA74" s="129">
        <f>Y74/Y71</f>
        <v>0.20887728459530025</v>
      </c>
      <c r="AB74" s="127">
        <f>Y74+AB77</f>
        <v>16000000</v>
      </c>
      <c r="AC74" s="125"/>
      <c r="AD74" s="129">
        <f>AB74/AB71</f>
        <v>0.20887728459530025</v>
      </c>
      <c r="AE74" s="127">
        <f>AB74+AE77</f>
        <v>16000000</v>
      </c>
      <c r="AF74" s="125"/>
      <c r="AG74" s="129">
        <f>AE74/AE71</f>
        <v>0.20887728459530025</v>
      </c>
      <c r="AH74" s="127">
        <f>AE74+AH77</f>
        <v>16000000</v>
      </c>
      <c r="AI74" s="125"/>
      <c r="AJ74" s="129">
        <f>AH74/AH71</f>
        <v>0.20887728459530025</v>
      </c>
      <c r="AK74" s="127">
        <f>AH74+AK77</f>
        <v>16000000</v>
      </c>
      <c r="AL74" s="125"/>
      <c r="AM74" s="129">
        <f>AK74/AK71</f>
        <v>0.20887728459530025</v>
      </c>
      <c r="AN74" s="127">
        <f>AK74+AN77</f>
        <v>16500000</v>
      </c>
      <c r="AO74" s="125"/>
      <c r="AP74" s="129">
        <f>AN74/AN71</f>
        <v>0.21540469973890339</v>
      </c>
      <c r="AQ74" s="127">
        <f>AN74+AQ77</f>
        <v>16500000</v>
      </c>
      <c r="AR74" s="125"/>
      <c r="AS74" s="129">
        <f>AQ74/AQ71</f>
        <v>0.21540469973890339</v>
      </c>
      <c r="AT74" s="127">
        <f>AQ74+AT77</f>
        <v>16500000</v>
      </c>
      <c r="AU74" s="125"/>
      <c r="AV74" s="129">
        <f>AT74/AT71</f>
        <v>0.2151238591916558</v>
      </c>
      <c r="AW74" s="127">
        <f>AT74+AW77</f>
        <v>16500000</v>
      </c>
      <c r="AX74" s="125"/>
      <c r="AY74" s="129">
        <f>AW74/AW71</f>
        <v>0.21501172791243159</v>
      </c>
    </row>
    <row r="75" spans="2:62" x14ac:dyDescent="0.15">
      <c r="B75" s="131"/>
      <c r="C75" s="132" t="s">
        <v>9</v>
      </c>
      <c r="D75" s="131"/>
      <c r="E75" s="133"/>
      <c r="F75" s="134"/>
      <c r="G75" s="135">
        <f>SUM(G30:G62)</f>
        <v>900000</v>
      </c>
      <c r="H75" s="136"/>
      <c r="I75" s="137">
        <f>G75/G74</f>
        <v>0.06</v>
      </c>
      <c r="J75" s="138">
        <f>G75+SUM(J29:J63)-J63</f>
        <v>1100000</v>
      </c>
      <c r="K75" s="136"/>
      <c r="L75" s="139">
        <f>J75/J74</f>
        <v>7.3333333333333334E-2</v>
      </c>
      <c r="M75" s="138">
        <f>J75+SUM(M29:M63)-M63</f>
        <v>1100000</v>
      </c>
      <c r="N75" s="136"/>
      <c r="O75" s="140">
        <f>M75/M74</f>
        <v>7.3333333333333334E-2</v>
      </c>
      <c r="P75" s="138">
        <f>M75+SUM(P29:P63)-P63</f>
        <v>1100000</v>
      </c>
      <c r="Q75" s="136"/>
      <c r="R75" s="140">
        <f>P75/P74</f>
        <v>7.3333333333333334E-2</v>
      </c>
      <c r="S75" s="138">
        <f>P75+SUM(S29:S63)-S63</f>
        <v>1100000</v>
      </c>
      <c r="T75" s="136"/>
      <c r="U75" s="139">
        <f>S75/S74</f>
        <v>7.3333333333333334E-2</v>
      </c>
      <c r="V75" s="135">
        <f>S75+SUM(V29:V63)-V63</f>
        <v>1100000</v>
      </c>
      <c r="W75" s="136"/>
      <c r="X75" s="139">
        <f>V75/V74</f>
        <v>6.8750000000000006E-2</v>
      </c>
      <c r="Y75" s="135">
        <f>V75+SUM(Y29:Y63)-Y63</f>
        <v>1100000</v>
      </c>
      <c r="Z75" s="136"/>
      <c r="AA75" s="139">
        <f>Y75/Y74</f>
        <v>6.8750000000000006E-2</v>
      </c>
      <c r="AB75" s="135">
        <f>Y75+SUM(AB29:AB63)-AB63</f>
        <v>1100000</v>
      </c>
      <c r="AC75" s="136"/>
      <c r="AD75" s="139">
        <f>AB75/AB74</f>
        <v>6.8750000000000006E-2</v>
      </c>
      <c r="AE75" s="135">
        <f>AB75+SUM(AE29:AE63)-AE63</f>
        <v>1100000</v>
      </c>
      <c r="AF75" s="136"/>
      <c r="AG75" s="139">
        <f>AE75/AE74</f>
        <v>6.8750000000000006E-2</v>
      </c>
      <c r="AH75" s="135">
        <f>AE75+SUM(AH29:AH63)-AH63</f>
        <v>1100000</v>
      </c>
      <c r="AI75" s="136"/>
      <c r="AJ75" s="139">
        <f>AH75/AH74</f>
        <v>6.8750000000000006E-2</v>
      </c>
      <c r="AK75" s="135">
        <f>AH75+SUM(AK29:AK63)-AK63</f>
        <v>1100000</v>
      </c>
      <c r="AL75" s="136"/>
      <c r="AM75" s="139">
        <f>AK75/AK74</f>
        <v>6.8750000000000006E-2</v>
      </c>
      <c r="AN75" s="135">
        <f>AK75+SUM(AN29:AN63)-AN63</f>
        <v>1100000</v>
      </c>
      <c r="AO75" s="136"/>
      <c r="AP75" s="139">
        <f>AN75/AN74</f>
        <v>6.6666666666666666E-2</v>
      </c>
      <c r="AQ75" s="135">
        <f>AN75+SUM(AQ29:AQ63)-AQ63</f>
        <v>1100000</v>
      </c>
      <c r="AR75" s="136"/>
      <c r="AS75" s="139">
        <f>AQ75/AQ74</f>
        <v>6.6666666666666666E-2</v>
      </c>
      <c r="AT75" s="135">
        <f>AQ75+SUM(AT29:AT63)-AT63</f>
        <v>1200000</v>
      </c>
      <c r="AU75" s="136"/>
      <c r="AV75" s="139">
        <f>AT75/AT74</f>
        <v>7.2727272727272724E-2</v>
      </c>
      <c r="AW75" s="135">
        <f>AT75+SUM(AW29:AW63)-AW63</f>
        <v>1240000</v>
      </c>
      <c r="AX75" s="136"/>
      <c r="AY75" s="139">
        <f>AW75/AW74</f>
        <v>7.515151515151515E-2</v>
      </c>
    </row>
    <row r="76" spans="2:62" ht="3.75" customHeight="1" x14ac:dyDescent="0.15">
      <c r="G76" s="141"/>
      <c r="H76" s="142"/>
      <c r="I76" s="143"/>
      <c r="J76" s="144"/>
      <c r="K76" s="145"/>
    </row>
    <row r="77" spans="2:62" x14ac:dyDescent="0.15">
      <c r="B77" s="146"/>
      <c r="C77" s="147" t="s">
        <v>120</v>
      </c>
      <c r="D77" s="147"/>
      <c r="E77" s="148"/>
      <c r="F77" s="148"/>
      <c r="G77" s="147"/>
      <c r="H77" s="148"/>
      <c r="I77" s="148"/>
      <c r="J77" s="147"/>
      <c r="K77" s="148"/>
      <c r="L77" s="148"/>
      <c r="M77" s="147"/>
      <c r="N77" s="148"/>
      <c r="O77" s="148"/>
      <c r="P77" s="147"/>
      <c r="Q77" s="148"/>
      <c r="R77" s="148"/>
      <c r="S77" s="147"/>
      <c r="T77" s="148"/>
      <c r="U77" s="148"/>
      <c r="V77" s="149">
        <v>1000000</v>
      </c>
      <c r="W77" s="148"/>
      <c r="X77" s="148"/>
      <c r="Y77" s="148"/>
      <c r="Z77" s="148"/>
      <c r="AA77" s="148"/>
      <c r="AB77" s="148"/>
      <c r="AC77" s="148"/>
      <c r="AD77" s="148"/>
      <c r="AE77" s="148"/>
      <c r="AF77" s="148"/>
      <c r="AG77" s="148"/>
      <c r="AH77" s="150"/>
      <c r="AI77" s="148"/>
      <c r="AJ77" s="148"/>
      <c r="AK77" s="148"/>
      <c r="AL77" s="148"/>
      <c r="AM77" s="148"/>
      <c r="AN77" s="149">
        <v>500000</v>
      </c>
      <c r="AO77" s="148"/>
      <c r="AP77" s="148"/>
      <c r="AQ77" s="148"/>
      <c r="AR77" s="148"/>
      <c r="AS77" s="148"/>
      <c r="AT77" s="148"/>
      <c r="AU77" s="148"/>
      <c r="AV77" s="148"/>
      <c r="AW77" s="148"/>
      <c r="AX77" s="148"/>
      <c r="AY77" s="151"/>
    </row>
    <row r="78" spans="2:62" x14ac:dyDescent="0.15">
      <c r="D78" s="118"/>
      <c r="E78" s="152"/>
      <c r="G78" s="118"/>
      <c r="J78" s="118"/>
      <c r="K78" s="153"/>
      <c r="M78" s="118"/>
      <c r="P78" s="118">
        <f>P70*0.05</f>
        <v>3762500</v>
      </c>
      <c r="S78" s="118"/>
      <c r="AB78" s="154"/>
      <c r="AE78" s="145"/>
    </row>
    <row r="79" spans="2:62" x14ac:dyDescent="0.15">
      <c r="S79" s="155"/>
      <c r="AK79" s="156"/>
      <c r="AN79" s="152"/>
    </row>
    <row r="80" spans="2:62" x14ac:dyDescent="0.15">
      <c r="C80" s="1" t="s">
        <v>147</v>
      </c>
      <c r="D80" s="118">
        <v>50000000</v>
      </c>
      <c r="E80" s="118"/>
      <c r="G80" s="118">
        <f>SUM(G10:G19)+D80</f>
        <v>50000000</v>
      </c>
      <c r="H80" s="142">
        <f>G80/G85</f>
        <v>0.76628352490421459</v>
      </c>
      <c r="I80" s="118"/>
      <c r="J80" s="118">
        <f>SUM(J10:J19)+G80</f>
        <v>50000000</v>
      </c>
      <c r="K80" s="142">
        <f>J80/J85</f>
        <v>0.76628352490421459</v>
      </c>
      <c r="L80" s="118"/>
      <c r="M80" s="118">
        <f>SUM(M10:M19)+J80</f>
        <v>62500000</v>
      </c>
      <c r="N80" s="142">
        <f>M80/M85</f>
        <v>0.8038585209003215</v>
      </c>
      <c r="O80" s="118"/>
      <c r="P80" s="118">
        <f>SUM(P10:P19)+M80</f>
        <v>62500000</v>
      </c>
      <c r="Q80" s="142">
        <f>P80/P85</f>
        <v>0.8038585209003215</v>
      </c>
      <c r="R80" s="118"/>
      <c r="S80" s="118">
        <f>SUM(S10:S19)+P80</f>
        <v>62500000</v>
      </c>
      <c r="T80" s="142">
        <f>S80/S85</f>
        <v>0.8038585209003215</v>
      </c>
      <c r="U80" s="118"/>
      <c r="V80" s="118">
        <f>SUM(V10:V19)+S80</f>
        <v>62500000</v>
      </c>
      <c r="W80" s="142">
        <f>V80/V85</f>
        <v>0.79365079365079361</v>
      </c>
      <c r="X80" s="118"/>
      <c r="Y80" s="118">
        <f>SUM(Y10:Y19)+V80</f>
        <v>62500000</v>
      </c>
      <c r="Z80" s="142">
        <f>Y80/Y85</f>
        <v>0.79365079365079361</v>
      </c>
      <c r="AA80" s="118"/>
      <c r="AB80" s="118">
        <f>SUM(AB10:AB19)+Y80</f>
        <v>62500000</v>
      </c>
      <c r="AC80" s="142">
        <f>AB80/AB85</f>
        <v>0.79365079365079361</v>
      </c>
      <c r="AD80" s="118"/>
      <c r="AE80" s="118">
        <f>SUM(AE10:AE19)+AB80</f>
        <v>62500000</v>
      </c>
      <c r="AF80" s="142">
        <f>AE80/AE85</f>
        <v>0.79365079365079361</v>
      </c>
      <c r="AG80" s="118"/>
      <c r="AH80" s="118">
        <f>SUM(AH10:AH19)+AE80</f>
        <v>62500000</v>
      </c>
      <c r="AI80" s="142">
        <f>AH80/AH85</f>
        <v>0.79365079365079361</v>
      </c>
      <c r="AJ80" s="118"/>
      <c r="AK80" s="118">
        <f>SUM(AK10:AK19)+AH80</f>
        <v>62500000</v>
      </c>
      <c r="AL80" s="142">
        <f>AK80/AK85</f>
        <v>0.79365079365079361</v>
      </c>
      <c r="AM80" s="118"/>
      <c r="AN80" s="118">
        <f>SUM(AN10:AN19)+AK80</f>
        <v>62500000</v>
      </c>
      <c r="AO80" s="157">
        <f>AN80/AN85</f>
        <v>0.78864353312302837</v>
      </c>
      <c r="AP80" s="118"/>
      <c r="AQ80" s="118">
        <f>SUM(AQ10:AQ19)+AN80</f>
        <v>62500000</v>
      </c>
      <c r="AR80" s="142">
        <f>AQ80/AQ85</f>
        <v>0.78864353312302837</v>
      </c>
      <c r="AS80" s="118"/>
      <c r="AT80" s="118">
        <f>SUM(AT10:AT19)+AQ80</f>
        <v>62500000</v>
      </c>
      <c r="AU80" s="142">
        <f>AT80/AT85</f>
        <v>0.78864353312302837</v>
      </c>
      <c r="AV80" s="118"/>
      <c r="AW80" s="118">
        <f>SUM(AW10:AW19)+AT80</f>
        <v>62500000</v>
      </c>
      <c r="AX80" s="142">
        <f>AW80/AW85</f>
        <v>0.78864353312302837</v>
      </c>
      <c r="AY80" s="118"/>
      <c r="AZ80" s="118">
        <f>SUM(AZ10:AZ19)+AW80</f>
        <v>62500000</v>
      </c>
    </row>
    <row r="81" spans="2:52" x14ac:dyDescent="0.15">
      <c r="C81" s="1" t="s">
        <v>148</v>
      </c>
      <c r="D81" s="118">
        <f>SUM(D22:D27)</f>
        <v>0</v>
      </c>
      <c r="G81" s="118">
        <f>SUM(G22:G27)+D81</f>
        <v>250000</v>
      </c>
      <c r="H81" s="142">
        <f>G81/G85</f>
        <v>3.8314176245210726E-3</v>
      </c>
      <c r="I81" s="118"/>
      <c r="J81" s="118">
        <f>SUM(J22:J27)+G81</f>
        <v>250000</v>
      </c>
      <c r="K81" s="142">
        <f>J81/J85</f>
        <v>3.8314176245210726E-3</v>
      </c>
      <c r="L81" s="118"/>
      <c r="M81" s="118">
        <f>SUM(M22:M27)+J81</f>
        <v>250000</v>
      </c>
      <c r="N81" s="142">
        <f>M81/M85</f>
        <v>3.2154340836012861E-3</v>
      </c>
      <c r="O81" s="118"/>
      <c r="P81" s="118">
        <f>SUM(P22:P27)+M81</f>
        <v>250000</v>
      </c>
      <c r="Q81" s="142">
        <f>P81/P85</f>
        <v>3.2154340836012861E-3</v>
      </c>
      <c r="R81" s="118"/>
      <c r="S81" s="118">
        <f>SUM(S22:S27)+P81</f>
        <v>250000</v>
      </c>
      <c r="T81" s="142">
        <f>S81/S85</f>
        <v>3.2154340836012861E-3</v>
      </c>
      <c r="U81" s="118"/>
      <c r="V81" s="118">
        <f>SUM(V22:V27)+S81</f>
        <v>250000</v>
      </c>
      <c r="W81" s="142">
        <f>V81/V85</f>
        <v>3.1746031746031746E-3</v>
      </c>
      <c r="X81" s="118"/>
      <c r="Y81" s="118">
        <f>SUM(Y22:Y27)+V81</f>
        <v>250000</v>
      </c>
      <c r="Z81" s="142">
        <f>Y81/Y85</f>
        <v>3.1746031746031746E-3</v>
      </c>
      <c r="AA81" s="118"/>
      <c r="AB81" s="118">
        <f>SUM(AB22:AB27)+Y81</f>
        <v>250000</v>
      </c>
      <c r="AC81" s="142">
        <f>AB81/AB85</f>
        <v>3.1746031746031746E-3</v>
      </c>
      <c r="AD81" s="118"/>
      <c r="AE81" s="118">
        <f>SUM(AE22:AE27)+AB81</f>
        <v>250000</v>
      </c>
      <c r="AF81" s="142">
        <f>AE81/AE85</f>
        <v>3.1746031746031746E-3</v>
      </c>
      <c r="AG81" s="118"/>
      <c r="AH81" s="118">
        <f>SUM(AH22:AH27)+AE81</f>
        <v>250000</v>
      </c>
      <c r="AI81" s="142">
        <f>AH81/AH85</f>
        <v>3.1746031746031746E-3</v>
      </c>
      <c r="AJ81" s="118"/>
      <c r="AK81" s="118">
        <f>SUM(AK22:AK27)+AH81</f>
        <v>250000</v>
      </c>
      <c r="AL81" s="142">
        <f>AK81/AK85</f>
        <v>3.1746031746031746E-3</v>
      </c>
      <c r="AM81" s="118"/>
      <c r="AN81" s="118">
        <f>SUM(AN22:AN27)+AK81</f>
        <v>250000</v>
      </c>
      <c r="AO81" s="158">
        <f>AN81/AN85</f>
        <v>3.1545741324921135E-3</v>
      </c>
      <c r="AP81" s="118"/>
      <c r="AQ81" s="118">
        <f>SUM(AQ22:AQ27)+AN81</f>
        <v>250000</v>
      </c>
      <c r="AR81" s="142">
        <f>AQ81/AQ85</f>
        <v>3.1545741324921135E-3</v>
      </c>
      <c r="AS81" s="118"/>
      <c r="AT81" s="118">
        <f>SUM(AT22:AT27)+AQ81</f>
        <v>250000</v>
      </c>
      <c r="AU81" s="142">
        <f>AT81/AT85</f>
        <v>3.1545741324921135E-3</v>
      </c>
      <c r="AV81" s="118"/>
      <c r="AW81" s="118">
        <f>SUM(AW22:AW27)+AT81</f>
        <v>250000</v>
      </c>
      <c r="AX81" s="142">
        <f>AW81/AW85</f>
        <v>3.1545741324921135E-3</v>
      </c>
      <c r="AY81" s="118"/>
      <c r="AZ81" s="118">
        <f>SUM(AZ22:AZ27)+AW81</f>
        <v>250000</v>
      </c>
    </row>
    <row r="82" spans="2:52" x14ac:dyDescent="0.15">
      <c r="B82" s="159"/>
      <c r="C82" s="1" t="s">
        <v>149</v>
      </c>
      <c r="D82" s="118">
        <f>SUM(D30:D62)</f>
        <v>0</v>
      </c>
      <c r="G82" s="118">
        <f>SUM(G30:G62)+D82</f>
        <v>900000</v>
      </c>
      <c r="H82" s="142">
        <f>G82/G85</f>
        <v>1.3793103448275862E-2</v>
      </c>
      <c r="I82" s="118"/>
      <c r="J82" s="118">
        <f>SUM(J30:J62)+G82</f>
        <v>1100000</v>
      </c>
      <c r="K82" s="142">
        <f>J82/J85</f>
        <v>1.6858237547892719E-2</v>
      </c>
      <c r="L82" s="118"/>
      <c r="M82" s="118">
        <f>SUM(M30:M62)+J82</f>
        <v>1100000</v>
      </c>
      <c r="N82" s="142">
        <f>M82/M85</f>
        <v>1.414790996784566E-2</v>
      </c>
      <c r="O82" s="118"/>
      <c r="P82" s="118">
        <f>SUM(P30:P62)+M82</f>
        <v>1100000</v>
      </c>
      <c r="Q82" s="142">
        <f>P82/P85</f>
        <v>1.414790996784566E-2</v>
      </c>
      <c r="R82" s="118"/>
      <c r="S82" s="118">
        <f>SUM(S30:S62)+P82</f>
        <v>1100000</v>
      </c>
      <c r="T82" s="142">
        <f>S82/S85</f>
        <v>1.414790996784566E-2</v>
      </c>
      <c r="U82" s="118"/>
      <c r="V82" s="118">
        <f>SUM(V30:V62)+S82</f>
        <v>1100000</v>
      </c>
      <c r="W82" s="142">
        <f>V82/V85</f>
        <v>1.3968253968253968E-2</v>
      </c>
      <c r="X82" s="118"/>
      <c r="Y82" s="118">
        <f>SUM(Y30:Y62)+V82</f>
        <v>1100000</v>
      </c>
      <c r="Z82" s="142">
        <f>Y82/Y85</f>
        <v>1.3968253968253968E-2</v>
      </c>
      <c r="AA82" s="118"/>
      <c r="AB82" s="118">
        <f>SUM(AB30:AB62)+Y82</f>
        <v>1100000</v>
      </c>
      <c r="AC82" s="142">
        <f>AB82/AB85</f>
        <v>1.3968253968253968E-2</v>
      </c>
      <c r="AD82" s="118"/>
      <c r="AE82" s="118">
        <f>SUM(AE30:AE62)+AB82</f>
        <v>1100000</v>
      </c>
      <c r="AF82" s="142">
        <f>AE82/AE85</f>
        <v>1.3968253968253968E-2</v>
      </c>
      <c r="AG82" s="118"/>
      <c r="AH82" s="118">
        <f>SUM(AH30:AH62)+AE82</f>
        <v>1100000</v>
      </c>
      <c r="AI82" s="142">
        <f>AH82/AH85</f>
        <v>1.3968253968253968E-2</v>
      </c>
      <c r="AJ82" s="118"/>
      <c r="AK82" s="118">
        <f>SUM(AK30:AK62)+AH82</f>
        <v>1100000</v>
      </c>
      <c r="AL82" s="142">
        <f>AK82/AK85</f>
        <v>1.3968253968253968E-2</v>
      </c>
      <c r="AM82" s="118"/>
      <c r="AN82" s="118">
        <f>SUM(AN30:AN62)+AK82</f>
        <v>1100000</v>
      </c>
      <c r="AO82" s="157">
        <f>AN82/AN85</f>
        <v>1.38801261829653E-2</v>
      </c>
      <c r="AP82" s="118"/>
      <c r="AQ82" s="118">
        <f>SUM(AQ30:AQ62)+AN82</f>
        <v>1100000</v>
      </c>
      <c r="AR82" s="142">
        <f>AQ82/AQ85</f>
        <v>1.38801261829653E-2</v>
      </c>
      <c r="AS82" s="118"/>
      <c r="AT82" s="118">
        <f>SUM(AT30:AT62)+AQ82</f>
        <v>1200000</v>
      </c>
      <c r="AU82" s="142">
        <f>AT82/AT85</f>
        <v>1.5141955835962145E-2</v>
      </c>
      <c r="AV82" s="118"/>
      <c r="AW82" s="118">
        <f>SUM(AW30:AW62)+AT82</f>
        <v>1240000</v>
      </c>
      <c r="AX82" s="142">
        <f>AW82/AW85</f>
        <v>1.5646687697160884E-2</v>
      </c>
      <c r="AY82" s="118"/>
      <c r="AZ82" s="118">
        <f>SUM(AZ30:AZ62)+AW82</f>
        <v>1240000</v>
      </c>
    </row>
    <row r="83" spans="2:52" x14ac:dyDescent="0.15">
      <c r="C83" s="160" t="s">
        <v>150</v>
      </c>
      <c r="D83" s="118">
        <f>D63</f>
        <v>0</v>
      </c>
      <c r="G83" s="118">
        <f>G63</f>
        <v>14100000</v>
      </c>
      <c r="H83" s="142">
        <f>G83/G85</f>
        <v>0.2160919540229885</v>
      </c>
      <c r="I83" s="118"/>
      <c r="J83" s="118">
        <f>J63</f>
        <v>13900000</v>
      </c>
      <c r="K83" s="142">
        <f>J83/J85</f>
        <v>0.21302681992337164</v>
      </c>
      <c r="L83" s="118"/>
      <c r="M83" s="118">
        <f>M63</f>
        <v>13900000</v>
      </c>
      <c r="N83" s="142">
        <f>M83/M85</f>
        <v>0.17877813504823151</v>
      </c>
      <c r="O83" s="118"/>
      <c r="P83" s="118">
        <f>P63</f>
        <v>13900000</v>
      </c>
      <c r="Q83" s="142">
        <f>P83/P85</f>
        <v>0.17877813504823151</v>
      </c>
      <c r="R83" s="118"/>
      <c r="S83" s="118">
        <f>S63</f>
        <v>13900000</v>
      </c>
      <c r="T83" s="142">
        <f>S83/S85</f>
        <v>0.17877813504823151</v>
      </c>
      <c r="U83" s="118"/>
      <c r="V83" s="118">
        <f>V63</f>
        <v>14900000</v>
      </c>
      <c r="W83" s="142">
        <f>V83/V85</f>
        <v>0.18920634920634921</v>
      </c>
      <c r="X83" s="118"/>
      <c r="Y83" s="118">
        <f>Y63</f>
        <v>14900000</v>
      </c>
      <c r="Z83" s="142">
        <f>Y83/Y85</f>
        <v>0.18920634920634921</v>
      </c>
      <c r="AA83" s="118"/>
      <c r="AB83" s="118">
        <f>AB63</f>
        <v>14900000</v>
      </c>
      <c r="AC83" s="142">
        <f>AB83/AB85</f>
        <v>0.18920634920634921</v>
      </c>
      <c r="AD83" s="118"/>
      <c r="AE83" s="118">
        <f>AE63</f>
        <v>14900000</v>
      </c>
      <c r="AF83" s="142">
        <f>AE83/AE85</f>
        <v>0.18920634920634921</v>
      </c>
      <c r="AG83" s="118"/>
      <c r="AH83" s="118">
        <f>AH63</f>
        <v>14900000</v>
      </c>
      <c r="AI83" s="142">
        <f>AH83/AH85</f>
        <v>0.18920634920634921</v>
      </c>
      <c r="AJ83" s="118"/>
      <c r="AK83" s="118">
        <f>AK63</f>
        <v>14900000</v>
      </c>
      <c r="AL83" s="142">
        <f>AK83/AK85</f>
        <v>0.18920634920634921</v>
      </c>
      <c r="AM83" s="118"/>
      <c r="AN83" s="118">
        <f>AN63</f>
        <v>15400000</v>
      </c>
      <c r="AO83" s="157">
        <f>AN83/AN85</f>
        <v>0.1943217665615142</v>
      </c>
      <c r="AP83" s="118"/>
      <c r="AQ83" s="118">
        <f>AQ63</f>
        <v>15400000</v>
      </c>
      <c r="AR83" s="142">
        <f>AQ83/AQ85</f>
        <v>0.1943217665615142</v>
      </c>
      <c r="AS83" s="118"/>
      <c r="AT83" s="118">
        <f>AT63</f>
        <v>15300000</v>
      </c>
      <c r="AU83" s="142">
        <f>AT83/AT85</f>
        <v>0.19305993690851736</v>
      </c>
      <c r="AV83" s="118"/>
      <c r="AW83" s="118">
        <f>AW63</f>
        <v>15260000</v>
      </c>
      <c r="AX83" s="142">
        <f>AW83/AW85</f>
        <v>0.1925552050473186</v>
      </c>
      <c r="AY83" s="118"/>
      <c r="AZ83" s="118">
        <f>AZ63</f>
        <v>0</v>
      </c>
    </row>
    <row r="84" spans="2:52" x14ac:dyDescent="0.15">
      <c r="C84" s="160" t="s">
        <v>151</v>
      </c>
      <c r="D84" s="118">
        <f>D83+D82</f>
        <v>0</v>
      </c>
      <c r="G84" s="118">
        <f>G83+G82</f>
        <v>15000000</v>
      </c>
      <c r="H84" s="142">
        <f>G84/G85</f>
        <v>0.22988505747126436</v>
      </c>
      <c r="I84" s="118"/>
      <c r="J84" s="118">
        <f>J83+J82</f>
        <v>15000000</v>
      </c>
      <c r="K84" s="142">
        <f>J84/J85</f>
        <v>0.22988505747126436</v>
      </c>
      <c r="L84" s="118"/>
      <c r="M84" s="118">
        <f>M83+M82</f>
        <v>15000000</v>
      </c>
      <c r="N84" s="142">
        <f>M84/M85</f>
        <v>0.19292604501607716</v>
      </c>
      <c r="O84" s="118"/>
      <c r="P84" s="118">
        <f>P83+P82</f>
        <v>15000000</v>
      </c>
      <c r="Q84" s="142">
        <f>P84/P85</f>
        <v>0.19292604501607716</v>
      </c>
      <c r="R84" s="118"/>
      <c r="S84" s="118">
        <f>S83+S82</f>
        <v>15000000</v>
      </c>
      <c r="T84" s="142">
        <f>S84/S85</f>
        <v>0.19292604501607716</v>
      </c>
      <c r="U84" s="118"/>
      <c r="V84" s="118">
        <f>V83+V82</f>
        <v>16000000</v>
      </c>
      <c r="W84" s="142">
        <f>V84/V85</f>
        <v>0.20317460317460317</v>
      </c>
      <c r="X84" s="118"/>
      <c r="Y84" s="118">
        <f>Y83+Y82</f>
        <v>16000000</v>
      </c>
      <c r="Z84" s="142">
        <f>Y84/Y85</f>
        <v>0.20317460317460317</v>
      </c>
      <c r="AA84" s="118"/>
      <c r="AB84" s="118">
        <f>AB83+AB82</f>
        <v>16000000</v>
      </c>
      <c r="AC84" s="142">
        <f>AB84/AB85</f>
        <v>0.20317460317460317</v>
      </c>
      <c r="AD84" s="118"/>
      <c r="AE84" s="118">
        <f>AE83+AE82</f>
        <v>16000000</v>
      </c>
      <c r="AF84" s="142">
        <f>AE84/AE85</f>
        <v>0.20317460317460317</v>
      </c>
      <c r="AG84" s="118"/>
      <c r="AH84" s="118">
        <f>AH83+AH82</f>
        <v>16000000</v>
      </c>
      <c r="AI84" s="142">
        <f>AH84/AH85</f>
        <v>0.20317460317460317</v>
      </c>
      <c r="AJ84" s="118"/>
      <c r="AK84" s="118">
        <f>AK83+AK82</f>
        <v>16000000</v>
      </c>
      <c r="AL84" s="142">
        <f>AK84/AK85</f>
        <v>0.20317460317460317</v>
      </c>
      <c r="AM84" s="118"/>
      <c r="AN84" s="118">
        <f>AN83+AN82</f>
        <v>16500000</v>
      </c>
      <c r="AO84" s="157">
        <f>AN84/AN85</f>
        <v>0.20820189274447951</v>
      </c>
      <c r="AP84" s="118"/>
      <c r="AQ84" s="118">
        <f>AQ83+AQ82</f>
        <v>16500000</v>
      </c>
      <c r="AR84" s="142">
        <f>AQ84/AQ85</f>
        <v>0.20820189274447951</v>
      </c>
      <c r="AS84" s="118"/>
      <c r="AT84" s="118">
        <f>AT83+AT82</f>
        <v>16500000</v>
      </c>
      <c r="AU84" s="142">
        <f>AT84/AT85</f>
        <v>0.20820189274447951</v>
      </c>
      <c r="AV84" s="118"/>
      <c r="AW84" s="118">
        <f>AW83+AW82</f>
        <v>16500000</v>
      </c>
      <c r="AX84" s="142">
        <f>AW84/AW85</f>
        <v>0.20820189274447951</v>
      </c>
      <c r="AY84" s="118"/>
      <c r="AZ84" s="118">
        <f>AZ83+AZ82</f>
        <v>1240000</v>
      </c>
    </row>
    <row r="85" spans="2:52" x14ac:dyDescent="0.15">
      <c r="C85" s="160" t="s">
        <v>77</v>
      </c>
      <c r="D85" s="118">
        <f>D84+D81+D80</f>
        <v>50000000</v>
      </c>
      <c r="G85" s="118">
        <f>G84+G81+G80</f>
        <v>65250000</v>
      </c>
      <c r="H85" s="142">
        <f>H83+H82+H81+H80</f>
        <v>1</v>
      </c>
      <c r="I85" s="118"/>
      <c r="J85" s="118">
        <f>J84+J81+J80</f>
        <v>65250000</v>
      </c>
      <c r="K85" s="142">
        <f>K83+K82+K81+K80</f>
        <v>1</v>
      </c>
      <c r="L85" s="118"/>
      <c r="M85" s="118">
        <f>M84+M81+M80</f>
        <v>77750000</v>
      </c>
      <c r="N85" s="142">
        <f>N83+N82+N81+N80</f>
        <v>1</v>
      </c>
      <c r="O85" s="118"/>
      <c r="P85" s="118">
        <f>P84+P81+P80</f>
        <v>77750000</v>
      </c>
      <c r="Q85" s="142">
        <f>Q83+Q82+Q81+Q80</f>
        <v>1</v>
      </c>
      <c r="R85" s="118"/>
      <c r="S85" s="118">
        <f>S84+S81+S80</f>
        <v>77750000</v>
      </c>
      <c r="T85" s="142">
        <f>T83+T82+T81+T80</f>
        <v>1</v>
      </c>
      <c r="U85" s="118"/>
      <c r="V85" s="118">
        <f>V84+V81+V80</f>
        <v>78750000</v>
      </c>
      <c r="W85" s="142">
        <f>W83+W82+W81+W80</f>
        <v>1</v>
      </c>
      <c r="X85" s="118"/>
      <c r="Y85" s="118">
        <f>Y84+Y81+Y80</f>
        <v>78750000</v>
      </c>
      <c r="Z85" s="142">
        <f>Z83+Z82+Z81+Z80</f>
        <v>1</v>
      </c>
      <c r="AA85" s="118"/>
      <c r="AB85" s="118">
        <f>AB84+AB81+AB80</f>
        <v>78750000</v>
      </c>
      <c r="AC85" s="142">
        <f>AC83+AC82+AC81+AC80</f>
        <v>1</v>
      </c>
      <c r="AD85" s="118"/>
      <c r="AE85" s="118">
        <f>AE84+AE81+AE80</f>
        <v>78750000</v>
      </c>
      <c r="AF85" s="142">
        <f>AF83+AF82+AF81+AF80</f>
        <v>1</v>
      </c>
      <c r="AG85" s="118"/>
      <c r="AH85" s="118">
        <f>AH84+AH81+AH80</f>
        <v>78750000</v>
      </c>
      <c r="AI85" s="142">
        <f>AI83+AI82+AI81+AI80</f>
        <v>1</v>
      </c>
      <c r="AJ85" s="118"/>
      <c r="AK85" s="118">
        <f>AK84+AK81+AK80</f>
        <v>78750000</v>
      </c>
      <c r="AL85" s="142">
        <f>AL83+AL82+AL81+AL80</f>
        <v>1</v>
      </c>
      <c r="AM85" s="118"/>
      <c r="AN85" s="118">
        <f>AN84+AN81+AN80</f>
        <v>79250000</v>
      </c>
      <c r="AO85" s="157">
        <f>AO83+AO82+AO81+AO80</f>
        <v>1</v>
      </c>
      <c r="AP85" s="118"/>
      <c r="AQ85" s="118">
        <f>AQ84+AQ81+AQ80</f>
        <v>79250000</v>
      </c>
      <c r="AR85" s="142">
        <f>AR83+AR82+AR81+AR80</f>
        <v>1</v>
      </c>
      <c r="AS85" s="118"/>
      <c r="AT85" s="118">
        <f>AT84+AT81+AT80</f>
        <v>79250000</v>
      </c>
      <c r="AU85" s="142">
        <f>AU83+AU82+AU81+AU80</f>
        <v>1</v>
      </c>
      <c r="AV85" s="118"/>
      <c r="AW85" s="118">
        <f>AW84+AW81+AW80</f>
        <v>79250000</v>
      </c>
      <c r="AX85" s="142">
        <f>AX83+AX82+AX81+AX80</f>
        <v>1</v>
      </c>
      <c r="AY85" s="118"/>
      <c r="AZ85" s="118">
        <f>AZ84+AZ81+AZ80</f>
        <v>63990000</v>
      </c>
    </row>
    <row r="86" spans="2:52" x14ac:dyDescent="0.15">
      <c r="C86" s="160"/>
    </row>
    <row r="87" spans="2:52" x14ac:dyDescent="0.15">
      <c r="C87" s="160"/>
      <c r="AN87" s="157">
        <f>AK80/AN85</f>
        <v>0.78864353312302837</v>
      </c>
    </row>
    <row r="88" spans="2:52" x14ac:dyDescent="0.15">
      <c r="AN88" s="161">
        <f>AN15/AN85</f>
        <v>0</v>
      </c>
    </row>
  </sheetData>
  <mergeCells count="35">
    <mergeCell ref="B2:C3"/>
    <mergeCell ref="BB2:BB3"/>
    <mergeCell ref="F5:F9"/>
    <mergeCell ref="E5:E9"/>
    <mergeCell ref="H5:H9"/>
    <mergeCell ref="I5:I9"/>
    <mergeCell ref="K5:K9"/>
    <mergeCell ref="L5:L9"/>
    <mergeCell ref="N5:N9"/>
    <mergeCell ref="O5:O9"/>
    <mergeCell ref="AM5:AM9"/>
    <mergeCell ref="AO5:AO9"/>
    <mergeCell ref="AP5:AP9"/>
    <mergeCell ref="AR5:AR9"/>
    <mergeCell ref="AY5:AY9"/>
    <mergeCell ref="AS5:AS9"/>
    <mergeCell ref="W5:W9"/>
    <mergeCell ref="X5:X9"/>
    <mergeCell ref="Q5:Q9"/>
    <mergeCell ref="R5:R9"/>
    <mergeCell ref="T5:T9"/>
    <mergeCell ref="U5:U9"/>
    <mergeCell ref="BC5:BC9"/>
    <mergeCell ref="AF5:AF9"/>
    <mergeCell ref="AG5:AG9"/>
    <mergeCell ref="Z5:Z9"/>
    <mergeCell ref="AA5:AA9"/>
    <mergeCell ref="AC5:AC9"/>
    <mergeCell ref="AD5:AD9"/>
    <mergeCell ref="AI5:AI9"/>
    <mergeCell ref="AJ5:AJ9"/>
    <mergeCell ref="AL5:AL9"/>
    <mergeCell ref="AU5:AU9"/>
    <mergeCell ref="AV5:AV9"/>
    <mergeCell ref="AX5:AX9"/>
  </mergeCells>
  <phoneticPr fontId="2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O30"/>
  <sheetViews>
    <sheetView showGridLines="0" zoomScale="163" zoomScaleNormal="163" workbookViewId="0">
      <selection activeCell="B3" sqref="B3"/>
    </sheetView>
  </sheetViews>
  <sheetFormatPr baseColWidth="10" defaultColWidth="9.1640625" defaultRowHeight="11" x14ac:dyDescent="0.15"/>
  <cols>
    <col min="1" max="1" width="5" style="1" customWidth="1"/>
    <col min="2" max="2" width="27.33203125" style="1" bestFit="1" customWidth="1"/>
    <col min="3" max="3" width="9.5" style="163" customWidth="1"/>
    <col min="4" max="4" width="12.1640625" style="163" bestFit="1" customWidth="1"/>
    <col min="5" max="5" width="10.33203125" style="163" customWidth="1"/>
    <col min="6" max="6" width="9.5" style="163" customWidth="1"/>
    <col min="7" max="7" width="10.83203125" style="163" customWidth="1"/>
    <col min="8" max="8" width="11.6640625" style="163" customWidth="1"/>
    <col min="9" max="9" width="10.5" style="163" customWidth="1"/>
    <col min="10" max="10" width="11.83203125" style="163" customWidth="1"/>
    <col min="11" max="11" width="15" style="163" customWidth="1"/>
    <col min="12" max="12" width="13.6640625" style="163" customWidth="1"/>
    <col min="13" max="13" width="11.6640625" style="163" customWidth="1"/>
    <col min="14" max="14" width="12.5" style="1" customWidth="1"/>
    <col min="15" max="15" width="11.83203125" style="1" customWidth="1"/>
    <col min="16" max="16384" width="9.1640625" style="1"/>
  </cols>
  <sheetData>
    <row r="2" spans="2:15" ht="18" x14ac:dyDescent="0.2">
      <c r="B2" s="162" t="s">
        <v>202</v>
      </c>
    </row>
    <row r="4" spans="2:15" s="166" customFormat="1" ht="12" x14ac:dyDescent="0.15">
      <c r="B4" s="164" t="s">
        <v>88</v>
      </c>
      <c r="C4" s="165" t="s">
        <v>89</v>
      </c>
      <c r="D4" s="165" t="s">
        <v>90</v>
      </c>
      <c r="E4" s="165" t="s">
        <v>91</v>
      </c>
      <c r="F4" s="165" t="s">
        <v>92</v>
      </c>
      <c r="G4" s="165" t="s">
        <v>93</v>
      </c>
      <c r="H4" s="165" t="s">
        <v>108</v>
      </c>
      <c r="I4" s="165" t="s">
        <v>107</v>
      </c>
      <c r="J4" s="165" t="s">
        <v>94</v>
      </c>
      <c r="K4" s="165" t="s">
        <v>95</v>
      </c>
      <c r="L4" s="165" t="s">
        <v>96</v>
      </c>
      <c r="M4" s="165" t="s">
        <v>97</v>
      </c>
      <c r="N4" s="165" t="s">
        <v>98</v>
      </c>
      <c r="O4" s="165" t="s">
        <v>99</v>
      </c>
    </row>
    <row r="5" spans="2:15" s="166" customFormat="1" ht="12" x14ac:dyDescent="0.15">
      <c r="B5" s="166" t="s">
        <v>100</v>
      </c>
      <c r="C5" s="167" t="s">
        <v>101</v>
      </c>
      <c r="D5" s="167" t="s">
        <v>181</v>
      </c>
      <c r="E5" s="168">
        <v>1E-3</v>
      </c>
      <c r="F5" s="167"/>
      <c r="G5" s="169"/>
      <c r="H5" s="170">
        <v>0</v>
      </c>
      <c r="I5" s="171"/>
      <c r="J5" s="172">
        <v>50000000</v>
      </c>
      <c r="K5" s="167" t="s">
        <v>102</v>
      </c>
      <c r="L5" s="173">
        <v>44805</v>
      </c>
      <c r="M5" s="167"/>
      <c r="N5" s="172"/>
      <c r="O5" s="167"/>
    </row>
    <row r="6" spans="2:15" ht="12" x14ac:dyDescent="0.15">
      <c r="B6" s="1" t="s">
        <v>100</v>
      </c>
      <c r="C6" s="167" t="s">
        <v>101</v>
      </c>
      <c r="D6" s="167" t="s">
        <v>182</v>
      </c>
      <c r="E6" s="168">
        <v>1E-3</v>
      </c>
      <c r="F6" s="174"/>
      <c r="G6" s="175"/>
      <c r="H6" s="176">
        <v>0</v>
      </c>
      <c r="I6" s="177"/>
      <c r="J6" s="178">
        <v>5000000</v>
      </c>
      <c r="K6" s="178" t="s">
        <v>103</v>
      </c>
      <c r="L6" s="173">
        <v>44805</v>
      </c>
      <c r="M6" s="174"/>
      <c r="N6" s="178"/>
      <c r="O6" s="163"/>
    </row>
    <row r="7" spans="2:15" ht="12" x14ac:dyDescent="0.15">
      <c r="B7" s="1" t="s">
        <v>100</v>
      </c>
      <c r="C7" s="167" t="s">
        <v>101</v>
      </c>
      <c r="D7" s="167" t="s">
        <v>187</v>
      </c>
      <c r="E7" s="168">
        <v>1E-3</v>
      </c>
      <c r="F7" s="174"/>
      <c r="G7" s="175"/>
      <c r="H7" s="176">
        <v>0</v>
      </c>
      <c r="I7" s="174"/>
      <c r="J7" s="178">
        <v>5000000</v>
      </c>
      <c r="K7" s="178" t="s">
        <v>104</v>
      </c>
      <c r="L7" s="173">
        <v>44805</v>
      </c>
      <c r="M7" s="174"/>
      <c r="N7" s="178"/>
      <c r="O7" s="163"/>
    </row>
    <row r="8" spans="2:15" ht="12" x14ac:dyDescent="0.15">
      <c r="B8" s="1" t="s">
        <v>100</v>
      </c>
      <c r="C8" s="167" t="s">
        <v>101</v>
      </c>
      <c r="D8" s="167" t="s">
        <v>188</v>
      </c>
      <c r="E8" s="168">
        <v>1E-3</v>
      </c>
      <c r="F8" s="174"/>
      <c r="G8" s="175"/>
      <c r="H8" s="176">
        <v>0</v>
      </c>
      <c r="I8" s="174"/>
      <c r="J8" s="178">
        <v>2500000</v>
      </c>
      <c r="K8" s="178" t="s">
        <v>104</v>
      </c>
      <c r="L8" s="173">
        <v>44805</v>
      </c>
      <c r="M8" s="174"/>
      <c r="N8" s="178"/>
      <c r="O8" s="174"/>
    </row>
    <row r="9" spans="2:15" ht="12" x14ac:dyDescent="0.15">
      <c r="B9" s="1" t="s">
        <v>100</v>
      </c>
      <c r="C9" s="167" t="s">
        <v>101</v>
      </c>
      <c r="D9" s="167" t="s">
        <v>189</v>
      </c>
      <c r="E9" s="168">
        <v>1E-3</v>
      </c>
      <c r="F9" s="174"/>
      <c r="G9" s="175"/>
      <c r="H9" s="176">
        <v>0</v>
      </c>
      <c r="I9" s="174"/>
      <c r="J9" s="178">
        <v>250000</v>
      </c>
      <c r="K9" s="178" t="s">
        <v>105</v>
      </c>
      <c r="L9" s="173">
        <v>44805</v>
      </c>
      <c r="M9" s="174"/>
      <c r="N9" s="178"/>
      <c r="O9" s="163"/>
    </row>
    <row r="10" spans="2:15" x14ac:dyDescent="0.15">
      <c r="B10" s="182"/>
      <c r="C10" s="183"/>
      <c r="E10" s="464"/>
      <c r="F10" s="184"/>
      <c r="G10" s="185"/>
      <c r="H10" s="186"/>
      <c r="I10" s="174"/>
      <c r="J10" s="187"/>
      <c r="K10" s="187"/>
      <c r="L10" s="179"/>
      <c r="M10" s="184"/>
      <c r="N10" s="187"/>
      <c r="O10" s="188"/>
    </row>
    <row r="11" spans="2:15" x14ac:dyDescent="0.15">
      <c r="B11" s="182"/>
      <c r="C11" s="183"/>
      <c r="E11" s="464"/>
      <c r="F11" s="184"/>
      <c r="G11" s="185"/>
      <c r="H11" s="186"/>
      <c r="I11" s="174"/>
      <c r="J11" s="187"/>
      <c r="K11" s="187"/>
      <c r="L11" s="179"/>
      <c r="M11" s="184"/>
      <c r="N11" s="187"/>
      <c r="O11" s="188"/>
    </row>
    <row r="12" spans="2:15" x14ac:dyDescent="0.15">
      <c r="C12" s="180"/>
      <c r="E12" s="464"/>
      <c r="F12" s="174"/>
      <c r="G12" s="175"/>
      <c r="H12" s="176"/>
      <c r="I12" s="174"/>
      <c r="J12" s="178"/>
      <c r="K12" s="187"/>
      <c r="L12" s="179"/>
      <c r="N12" s="178"/>
      <c r="O12" s="163"/>
    </row>
    <row r="13" spans="2:15" x14ac:dyDescent="0.15">
      <c r="C13" s="180"/>
      <c r="E13" s="464"/>
      <c r="F13" s="174"/>
      <c r="G13" s="175"/>
      <c r="H13" s="176"/>
      <c r="I13" s="174"/>
      <c r="J13" s="178"/>
      <c r="K13" s="187"/>
      <c r="L13" s="179"/>
      <c r="N13" s="178"/>
      <c r="O13" s="163"/>
    </row>
    <row r="14" spans="2:15" x14ac:dyDescent="0.15">
      <c r="C14" s="180"/>
      <c r="E14" s="464"/>
      <c r="F14" s="174"/>
      <c r="G14" s="175"/>
      <c r="H14" s="176"/>
      <c r="I14" s="174"/>
      <c r="J14" s="178"/>
      <c r="K14" s="187"/>
      <c r="L14" s="179"/>
      <c r="N14" s="178"/>
      <c r="O14" s="163"/>
    </row>
    <row r="15" spans="2:15" x14ac:dyDescent="0.15">
      <c r="C15" s="180"/>
      <c r="E15" s="464"/>
      <c r="F15" s="174"/>
      <c r="G15" s="175"/>
      <c r="H15" s="176"/>
      <c r="I15" s="174"/>
      <c r="J15" s="178"/>
      <c r="K15" s="187"/>
      <c r="L15" s="179"/>
      <c r="N15" s="178"/>
      <c r="O15" s="163"/>
    </row>
    <row r="16" spans="2:15" x14ac:dyDescent="0.15">
      <c r="C16" s="180"/>
      <c r="E16" s="464"/>
      <c r="F16" s="174"/>
      <c r="G16" s="175"/>
      <c r="H16" s="176"/>
      <c r="I16" s="174"/>
      <c r="J16" s="178"/>
      <c r="K16" s="187"/>
      <c r="L16" s="179"/>
      <c r="N16" s="178"/>
      <c r="O16" s="163"/>
    </row>
    <row r="17" spans="2:15" x14ac:dyDescent="0.15">
      <c r="C17" s="180"/>
      <c r="E17" s="464"/>
      <c r="F17" s="174"/>
      <c r="G17" s="175"/>
      <c r="H17" s="176"/>
      <c r="I17" s="174"/>
      <c r="J17" s="178"/>
      <c r="K17" s="187"/>
      <c r="L17" s="179"/>
      <c r="N17" s="178"/>
      <c r="O17" s="163"/>
    </row>
    <row r="18" spans="2:15" x14ac:dyDescent="0.15">
      <c r="C18" s="180"/>
      <c r="E18" s="464"/>
      <c r="F18" s="174"/>
      <c r="G18" s="175"/>
      <c r="H18" s="176"/>
      <c r="I18" s="174"/>
      <c r="J18" s="178"/>
      <c r="K18" s="187"/>
      <c r="L18" s="179"/>
      <c r="N18" s="178"/>
      <c r="O18" s="163"/>
    </row>
    <row r="19" spans="2:15" x14ac:dyDescent="0.15">
      <c r="C19" s="180"/>
      <c r="E19" s="181"/>
      <c r="F19" s="174"/>
      <c r="G19" s="175"/>
      <c r="H19" s="176"/>
      <c r="I19" s="174"/>
      <c r="J19" s="178"/>
      <c r="K19" s="178"/>
      <c r="L19" s="179"/>
      <c r="N19" s="178"/>
      <c r="O19" s="163"/>
    </row>
    <row r="20" spans="2:15" x14ac:dyDescent="0.15">
      <c r="E20" s="181"/>
      <c r="G20" s="175"/>
      <c r="H20" s="176"/>
      <c r="I20" s="174"/>
      <c r="J20" s="178"/>
      <c r="K20" s="178"/>
      <c r="L20" s="179"/>
      <c r="N20" s="178"/>
      <c r="O20" s="163"/>
    </row>
    <row r="21" spans="2:15" ht="12" thickBot="1" x14ac:dyDescent="0.2">
      <c r="E21" s="181"/>
      <c r="G21" s="175"/>
      <c r="H21" s="181"/>
      <c r="I21" s="177"/>
      <c r="J21" s="178"/>
      <c r="K21" s="178"/>
      <c r="L21" s="179"/>
      <c r="N21" s="178"/>
      <c r="O21" s="163"/>
    </row>
    <row r="22" spans="2:15" s="159" customFormat="1" ht="12" thickTop="1" x14ac:dyDescent="0.15">
      <c r="B22" s="189" t="s">
        <v>106</v>
      </c>
      <c r="C22" s="190"/>
      <c r="D22" s="190"/>
      <c r="E22" s="191"/>
      <c r="F22" s="190"/>
      <c r="G22" s="192"/>
      <c r="H22" s="193">
        <f>SUM(H5:H21)</f>
        <v>0</v>
      </c>
      <c r="I22" s="194"/>
      <c r="J22" s="195">
        <f>SUM(J5:J21)</f>
        <v>62750000</v>
      </c>
      <c r="K22" s="195"/>
      <c r="L22" s="190"/>
      <c r="M22" s="190"/>
      <c r="N22" s="195">
        <f>SUM(N5:N21)</f>
        <v>0</v>
      </c>
      <c r="O22" s="190"/>
    </row>
    <row r="23" spans="2:15" x14ac:dyDescent="0.15">
      <c r="E23" s="181"/>
      <c r="G23" s="175"/>
      <c r="H23" s="181"/>
      <c r="I23" s="181"/>
      <c r="J23" s="178"/>
      <c r="K23" s="178"/>
    </row>
    <row r="24" spans="2:15" x14ac:dyDescent="0.15">
      <c r="E24" s="181"/>
      <c r="H24" s="181"/>
      <c r="I24" s="181"/>
      <c r="J24" s="178"/>
      <c r="K24" s="178"/>
    </row>
    <row r="25" spans="2:15" x14ac:dyDescent="0.15">
      <c r="E25" s="181"/>
      <c r="H25" s="181"/>
      <c r="I25" s="181"/>
      <c r="J25" s="178"/>
      <c r="K25" s="178"/>
    </row>
    <row r="26" spans="2:15" x14ac:dyDescent="0.15">
      <c r="E26" s="181"/>
      <c r="H26" s="181"/>
      <c r="I26" s="181"/>
      <c r="J26" s="178"/>
      <c r="K26" s="178"/>
    </row>
    <row r="27" spans="2:15" x14ac:dyDescent="0.15">
      <c r="E27" s="181"/>
      <c r="H27" s="181"/>
      <c r="I27" s="181"/>
    </row>
    <row r="28" spans="2:15" x14ac:dyDescent="0.15">
      <c r="E28" s="181"/>
      <c r="H28" s="181"/>
      <c r="I28" s="181"/>
    </row>
    <row r="29" spans="2:15" x14ac:dyDescent="0.15">
      <c r="E29" s="181"/>
      <c r="H29" s="181"/>
      <c r="I29" s="181"/>
    </row>
    <row r="30" spans="2:15" x14ac:dyDescent="0.15">
      <c r="H30" s="181"/>
      <c r="I30" s="181"/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4"/>
  <sheetViews>
    <sheetView showGridLines="0" zoomScale="140" zoomScaleNormal="140" workbookViewId="0">
      <selection activeCell="D6" sqref="D6"/>
    </sheetView>
  </sheetViews>
  <sheetFormatPr baseColWidth="10" defaultColWidth="8.83203125" defaultRowHeight="13" x14ac:dyDescent="0.15"/>
  <cols>
    <col min="1" max="1" width="3.1640625" customWidth="1"/>
    <col min="2" max="2" width="2.5" customWidth="1"/>
    <col min="3" max="3" width="18.33203125" customWidth="1"/>
    <col min="4" max="4" width="16" customWidth="1"/>
    <col min="5" max="5" width="12.83203125" customWidth="1"/>
    <col min="6" max="6" width="13.33203125" customWidth="1"/>
    <col min="7" max="7" width="19.1640625" customWidth="1"/>
    <col min="12" max="12" width="11.33203125" bestFit="1" customWidth="1"/>
    <col min="13" max="13" width="10.1640625" bestFit="1" customWidth="1"/>
    <col min="14" max="14" width="15" bestFit="1" customWidth="1"/>
  </cols>
  <sheetData>
    <row r="1" spans="1:13" ht="14" x14ac:dyDescent="0.15">
      <c r="A1" s="288"/>
      <c r="B1" s="288"/>
      <c r="C1" s="288"/>
      <c r="D1" s="288"/>
      <c r="E1" s="288"/>
      <c r="F1" s="288"/>
      <c r="G1" s="288"/>
      <c r="H1" s="288"/>
      <c r="I1" s="196"/>
      <c r="J1" s="196"/>
      <c r="K1" s="196"/>
      <c r="L1" s="196"/>
      <c r="M1" s="196"/>
    </row>
    <row r="2" spans="1:13" ht="14" x14ac:dyDescent="0.15">
      <c r="A2" s="288"/>
      <c r="B2" s="289" t="s">
        <v>15</v>
      </c>
      <c r="C2" s="288"/>
      <c r="D2" s="288"/>
      <c r="E2" s="288"/>
      <c r="F2" s="288"/>
      <c r="G2" s="288"/>
      <c r="H2" s="288"/>
      <c r="I2" s="196"/>
      <c r="J2" s="196"/>
      <c r="K2" s="196"/>
      <c r="L2" s="196"/>
      <c r="M2" s="196"/>
    </row>
    <row r="3" spans="1:13" ht="14" x14ac:dyDescent="0.15">
      <c r="A3" s="288"/>
      <c r="B3" s="288"/>
      <c r="C3" s="288"/>
      <c r="D3" s="288"/>
      <c r="E3" s="288"/>
      <c r="F3" s="288"/>
      <c r="G3" s="288"/>
      <c r="H3" s="288"/>
      <c r="I3" s="196"/>
      <c r="J3" s="196"/>
      <c r="K3" s="196"/>
      <c r="L3" s="196"/>
      <c r="M3" s="196"/>
    </row>
    <row r="4" spans="1:13" ht="14" x14ac:dyDescent="0.15">
      <c r="A4" s="288"/>
      <c r="B4" s="288"/>
      <c r="C4" s="290" t="s">
        <v>12</v>
      </c>
      <c r="D4" s="290" t="s">
        <v>128</v>
      </c>
      <c r="E4" s="291" t="s">
        <v>13</v>
      </c>
      <c r="F4" s="291" t="s">
        <v>109</v>
      </c>
      <c r="G4" s="291" t="s">
        <v>14</v>
      </c>
      <c r="H4" s="288"/>
      <c r="I4" s="196"/>
      <c r="J4" s="196"/>
      <c r="K4" s="196"/>
      <c r="L4" s="196"/>
      <c r="M4" s="196"/>
    </row>
    <row r="5" spans="1:13" ht="15" x14ac:dyDescent="0.15">
      <c r="A5" s="288"/>
      <c r="B5" s="288"/>
      <c r="C5" s="292" t="s">
        <v>200</v>
      </c>
      <c r="D5" s="293" t="s">
        <v>186</v>
      </c>
      <c r="E5" s="294">
        <v>250000</v>
      </c>
      <c r="F5" s="463">
        <v>8.0000000000000002E-3</v>
      </c>
      <c r="G5" s="296">
        <v>44782</v>
      </c>
      <c r="H5" s="288"/>
      <c r="I5" s="196"/>
      <c r="J5" s="196"/>
      <c r="K5" s="196"/>
      <c r="L5" s="196"/>
      <c r="M5" s="196"/>
    </row>
    <row r="6" spans="1:13" ht="14" x14ac:dyDescent="0.15">
      <c r="A6" s="288"/>
      <c r="B6" s="288"/>
      <c r="C6" s="292"/>
      <c r="D6" s="293"/>
      <c r="E6" s="294"/>
      <c r="F6" s="295"/>
      <c r="G6" s="296"/>
      <c r="H6" s="288"/>
      <c r="I6" s="196"/>
      <c r="J6" s="196"/>
      <c r="K6" s="196"/>
      <c r="L6" s="196"/>
      <c r="M6" s="196"/>
    </row>
    <row r="7" spans="1:13" ht="14" x14ac:dyDescent="0.15">
      <c r="A7" s="288"/>
      <c r="B7" s="288"/>
      <c r="C7" s="292"/>
      <c r="D7" s="293"/>
      <c r="E7" s="294"/>
      <c r="F7" s="295"/>
      <c r="G7" s="296"/>
      <c r="H7" s="288"/>
      <c r="I7" s="196"/>
      <c r="J7" s="196"/>
      <c r="K7" s="196"/>
      <c r="L7" s="196"/>
      <c r="M7" s="196"/>
    </row>
    <row r="8" spans="1:13" ht="14" x14ac:dyDescent="0.15">
      <c r="A8" s="288"/>
      <c r="B8" s="288"/>
      <c r="C8" s="292"/>
      <c r="D8" s="293"/>
      <c r="E8" s="294"/>
      <c r="F8" s="295"/>
      <c r="G8" s="296"/>
      <c r="H8" s="288"/>
      <c r="I8" s="196"/>
      <c r="J8" s="196"/>
      <c r="K8" s="196"/>
      <c r="L8" s="196"/>
      <c r="M8" s="196"/>
    </row>
    <row r="9" spans="1:13" ht="14" x14ac:dyDescent="0.15">
      <c r="A9" s="288"/>
      <c r="B9" s="288"/>
      <c r="C9" s="292"/>
      <c r="D9" s="293"/>
      <c r="E9" s="294"/>
      <c r="F9" s="295"/>
      <c r="G9" s="296"/>
      <c r="H9" s="288"/>
      <c r="I9" s="196"/>
      <c r="J9" s="196"/>
      <c r="K9" s="196"/>
      <c r="L9" s="196"/>
      <c r="M9" s="196"/>
    </row>
    <row r="10" spans="1:13" ht="14" x14ac:dyDescent="0.15">
      <c r="A10" s="288"/>
      <c r="B10" s="288"/>
      <c r="C10" s="292"/>
      <c r="D10" s="293"/>
      <c r="E10" s="294"/>
      <c r="F10" s="295"/>
      <c r="G10" s="296"/>
      <c r="H10" s="288"/>
      <c r="I10" s="196"/>
      <c r="J10" s="196"/>
      <c r="K10" s="196"/>
      <c r="L10" s="196"/>
      <c r="M10" s="196"/>
    </row>
    <row r="11" spans="1:13" ht="14" x14ac:dyDescent="0.15">
      <c r="A11" s="288"/>
      <c r="B11" s="288"/>
      <c r="C11" s="293"/>
      <c r="D11" s="293"/>
      <c r="E11" s="294"/>
      <c r="F11" s="295"/>
      <c r="G11" s="293"/>
      <c r="H11" s="288"/>
      <c r="I11" s="196"/>
      <c r="J11" s="196"/>
      <c r="K11" s="196"/>
      <c r="L11" s="196"/>
      <c r="M11" s="196"/>
    </row>
    <row r="12" spans="1:13" ht="14" x14ac:dyDescent="0.15">
      <c r="A12" s="288"/>
      <c r="B12" s="288"/>
      <c r="C12" s="293"/>
      <c r="D12" s="293"/>
      <c r="E12" s="294"/>
      <c r="F12" s="295"/>
      <c r="G12" s="293"/>
      <c r="H12" s="288"/>
      <c r="I12" s="196"/>
      <c r="J12" s="196"/>
      <c r="K12" s="196"/>
      <c r="L12" s="196"/>
      <c r="M12" s="196"/>
    </row>
    <row r="13" spans="1:13" ht="14" x14ac:dyDescent="0.15">
      <c r="A13" s="288"/>
      <c r="B13" s="288"/>
      <c r="C13" s="293"/>
      <c r="D13" s="293"/>
      <c r="E13" s="294"/>
      <c r="F13" s="295"/>
      <c r="G13" s="293"/>
      <c r="H13" s="288"/>
      <c r="I13" s="196"/>
      <c r="J13" s="196"/>
      <c r="K13" s="196"/>
      <c r="L13" s="196"/>
      <c r="M13" s="196"/>
    </row>
    <row r="14" spans="1:13" ht="14" x14ac:dyDescent="0.15">
      <c r="A14" s="288"/>
      <c r="B14" s="288"/>
      <c r="C14" s="293"/>
      <c r="D14" s="293"/>
      <c r="E14" s="294"/>
      <c r="F14" s="295"/>
      <c r="G14" s="293"/>
      <c r="H14" s="288"/>
      <c r="I14" s="196"/>
      <c r="J14" s="196"/>
      <c r="K14" s="196"/>
      <c r="L14" s="196"/>
      <c r="M14" s="196"/>
    </row>
    <row r="15" spans="1:13" ht="14" x14ac:dyDescent="0.15">
      <c r="A15" s="288"/>
      <c r="B15" s="288"/>
      <c r="C15" s="293"/>
      <c r="D15" s="293"/>
      <c r="E15" s="294"/>
      <c r="F15" s="295"/>
      <c r="G15" s="293"/>
      <c r="H15" s="288"/>
      <c r="I15" s="196"/>
      <c r="J15" s="196"/>
      <c r="K15" s="196"/>
      <c r="L15" s="196"/>
      <c r="M15" s="196"/>
    </row>
    <row r="16" spans="1:13" ht="14" x14ac:dyDescent="0.15">
      <c r="A16" s="288"/>
      <c r="B16" s="288"/>
      <c r="C16" s="293"/>
      <c r="D16" s="293"/>
      <c r="E16" s="294"/>
      <c r="F16" s="295"/>
      <c r="G16" s="293"/>
      <c r="H16" s="288"/>
      <c r="I16" s="196"/>
      <c r="J16" s="196"/>
      <c r="K16" s="196"/>
      <c r="L16" s="196"/>
      <c r="M16" s="196"/>
    </row>
    <row r="17" spans="1:13" ht="14" x14ac:dyDescent="0.15">
      <c r="A17" s="288"/>
      <c r="B17" s="288"/>
      <c r="C17" s="293"/>
      <c r="D17" s="293"/>
      <c r="E17" s="294"/>
      <c r="F17" s="295"/>
      <c r="G17" s="293"/>
      <c r="H17" s="288"/>
      <c r="I17" s="196"/>
      <c r="J17" s="196"/>
      <c r="K17" s="196"/>
      <c r="L17" s="196"/>
      <c r="M17" s="196"/>
    </row>
    <row r="18" spans="1:13" ht="14" x14ac:dyDescent="0.15">
      <c r="A18" s="288"/>
      <c r="B18" s="288"/>
      <c r="C18" s="293"/>
      <c r="D18" s="293"/>
      <c r="E18" s="294"/>
      <c r="F18" s="295"/>
      <c r="G18" s="293"/>
      <c r="H18" s="288"/>
      <c r="I18" s="196"/>
      <c r="J18" s="196"/>
      <c r="K18" s="196"/>
      <c r="L18" s="196"/>
      <c r="M18" s="196"/>
    </row>
    <row r="19" spans="1:13" ht="14" x14ac:dyDescent="0.15">
      <c r="A19" s="288"/>
      <c r="B19" s="288"/>
      <c r="C19" s="293"/>
      <c r="D19" s="293"/>
      <c r="E19" s="294"/>
      <c r="F19" s="295"/>
      <c r="G19" s="293"/>
      <c r="H19" s="288"/>
      <c r="I19" s="196"/>
      <c r="J19" s="196"/>
      <c r="K19" s="196"/>
      <c r="L19" s="196"/>
      <c r="M19" s="196"/>
    </row>
    <row r="20" spans="1:13" ht="14" x14ac:dyDescent="0.15">
      <c r="A20" s="288"/>
      <c r="B20" s="288"/>
      <c r="C20" s="293"/>
      <c r="D20" s="293"/>
      <c r="E20" s="294"/>
      <c r="F20" s="295"/>
      <c r="G20" s="293"/>
      <c r="H20" s="288"/>
      <c r="I20" s="196"/>
      <c r="J20" s="196"/>
      <c r="K20" s="196"/>
      <c r="L20" s="196"/>
      <c r="M20" s="196"/>
    </row>
    <row r="21" spans="1:13" ht="14" x14ac:dyDescent="0.15">
      <c r="A21" s="288"/>
      <c r="B21" s="288"/>
      <c r="C21" s="293"/>
      <c r="D21" s="293"/>
      <c r="E21" s="294"/>
      <c r="F21" s="295"/>
      <c r="G21" s="293"/>
      <c r="H21" s="288"/>
      <c r="I21" s="196"/>
      <c r="J21" s="196"/>
      <c r="K21" s="196"/>
      <c r="L21" s="196"/>
      <c r="M21" s="196"/>
    </row>
    <row r="22" spans="1:13" ht="14" x14ac:dyDescent="0.15">
      <c r="A22" s="288"/>
      <c r="B22" s="288"/>
      <c r="C22" s="293"/>
      <c r="D22" s="293"/>
      <c r="E22" s="294"/>
      <c r="F22" s="295"/>
      <c r="G22" s="293"/>
      <c r="H22" s="288"/>
      <c r="I22" s="196"/>
      <c r="J22" s="196"/>
      <c r="K22" s="196"/>
      <c r="L22" s="196"/>
      <c r="M22" s="196"/>
    </row>
    <row r="23" spans="1:13" ht="14" x14ac:dyDescent="0.15">
      <c r="A23" s="288"/>
      <c r="B23" s="288"/>
      <c r="C23" s="288"/>
      <c r="D23" s="288"/>
      <c r="E23" s="288"/>
      <c r="F23" s="297"/>
      <c r="G23" s="288"/>
      <c r="H23" s="288"/>
      <c r="I23" s="196"/>
      <c r="J23" s="196"/>
      <c r="K23" s="196"/>
      <c r="L23" s="196"/>
      <c r="M23" s="196"/>
    </row>
    <row r="24" spans="1:13" ht="14" x14ac:dyDescent="0.15">
      <c r="A24" s="288"/>
      <c r="B24" s="288"/>
      <c r="C24" s="288"/>
      <c r="D24" s="288"/>
      <c r="E24" s="288"/>
      <c r="F24" s="297"/>
      <c r="G24" s="288"/>
      <c r="H24" s="288"/>
      <c r="I24" s="196"/>
      <c r="J24" s="196"/>
      <c r="K24" s="196"/>
      <c r="L24" s="196"/>
      <c r="M24" s="196"/>
    </row>
    <row r="25" spans="1:13" ht="14" x14ac:dyDescent="0.15">
      <c r="A25" s="288"/>
      <c r="B25" s="288"/>
      <c r="C25" s="288"/>
      <c r="D25" s="288"/>
      <c r="E25" s="288"/>
      <c r="F25" s="297"/>
      <c r="G25" s="288"/>
      <c r="H25" s="288"/>
      <c r="I25" s="196"/>
      <c r="J25" s="196"/>
      <c r="K25" s="196"/>
      <c r="L25" s="196"/>
      <c r="M25" s="196"/>
    </row>
    <row r="26" spans="1:13" ht="14" x14ac:dyDescent="0.15">
      <c r="A26" s="288"/>
      <c r="B26" s="288"/>
      <c r="C26" s="288"/>
      <c r="D26" s="288"/>
      <c r="E26" s="288"/>
      <c r="F26" s="297"/>
      <c r="G26" s="288"/>
      <c r="H26" s="288"/>
      <c r="I26" s="196"/>
      <c r="J26" s="196"/>
      <c r="K26" s="196"/>
      <c r="L26" s="196"/>
      <c r="M26" s="196"/>
    </row>
    <row r="27" spans="1:13" ht="14" x14ac:dyDescent="0.15">
      <c r="A27" s="288"/>
      <c r="B27" s="288"/>
      <c r="C27" s="288"/>
      <c r="D27" s="288"/>
      <c r="E27" s="288"/>
      <c r="F27" s="288"/>
      <c r="G27" s="288"/>
      <c r="H27" s="288"/>
      <c r="I27" s="196"/>
      <c r="J27" s="196"/>
      <c r="K27" s="196"/>
      <c r="L27" s="196"/>
      <c r="M27" s="196"/>
    </row>
    <row r="28" spans="1:13" x14ac:dyDescent="0.15">
      <c r="A28" s="196"/>
      <c r="B28" s="196"/>
      <c r="C28" s="196"/>
      <c r="D28" s="196"/>
      <c r="E28" s="196"/>
      <c r="F28" s="196"/>
      <c r="G28" s="196"/>
      <c r="H28" s="196"/>
      <c r="I28" s="196"/>
      <c r="J28" s="196"/>
      <c r="K28" s="196"/>
      <c r="L28" s="196"/>
      <c r="M28" s="196"/>
    </row>
    <row r="29" spans="1:13" x14ac:dyDescent="0.15">
      <c r="A29" s="196"/>
      <c r="B29" s="196"/>
      <c r="C29" s="196"/>
      <c r="D29" s="196"/>
      <c r="E29" s="196"/>
      <c r="F29" s="196"/>
      <c r="G29" s="196"/>
      <c r="H29" s="196"/>
      <c r="I29" s="196"/>
      <c r="J29" s="196"/>
      <c r="K29" s="196"/>
      <c r="L29" s="196"/>
      <c r="M29" s="196"/>
    </row>
    <row r="30" spans="1:13" x14ac:dyDescent="0.15">
      <c r="A30" s="196"/>
      <c r="B30" s="196"/>
      <c r="C30" s="196"/>
      <c r="D30" s="196"/>
      <c r="E30" s="196"/>
      <c r="F30" s="196"/>
      <c r="G30" s="196"/>
      <c r="H30" s="196"/>
      <c r="I30" s="196"/>
      <c r="J30" s="196"/>
      <c r="K30" s="196"/>
      <c r="L30" s="196"/>
      <c r="M30" s="196"/>
    </row>
    <row r="31" spans="1:13" x14ac:dyDescent="0.15">
      <c r="A31" s="196"/>
      <c r="B31" s="196"/>
      <c r="C31" s="196"/>
      <c r="D31" s="196"/>
      <c r="E31" s="196"/>
      <c r="F31" s="196"/>
      <c r="G31" s="196"/>
      <c r="H31" s="196"/>
      <c r="I31" s="196"/>
      <c r="J31" s="196"/>
      <c r="K31" s="196"/>
      <c r="L31" s="196"/>
      <c r="M31" s="196"/>
    </row>
    <row r="32" spans="1:13" x14ac:dyDescent="0.15">
      <c r="A32" s="196"/>
      <c r="B32" s="196"/>
      <c r="C32" s="196"/>
      <c r="D32" s="196"/>
      <c r="E32" s="196"/>
      <c r="F32" s="196"/>
      <c r="G32" s="196"/>
      <c r="H32" s="196"/>
      <c r="I32" s="196"/>
      <c r="J32" s="196"/>
      <c r="K32" s="196"/>
      <c r="L32" s="196"/>
      <c r="M32" s="196"/>
    </row>
    <row r="33" spans="1:13" x14ac:dyDescent="0.15">
      <c r="A33" s="196"/>
      <c r="B33" s="196"/>
      <c r="C33" s="196"/>
      <c r="D33" s="196"/>
      <c r="E33" s="196"/>
      <c r="F33" s="196"/>
      <c r="G33" s="196"/>
      <c r="H33" s="196"/>
      <c r="I33" s="196"/>
      <c r="J33" s="196"/>
      <c r="K33" s="196"/>
      <c r="L33" s="196"/>
      <c r="M33" s="196"/>
    </row>
    <row r="34" spans="1:13" x14ac:dyDescent="0.15">
      <c r="A34" s="196"/>
      <c r="B34" s="196"/>
      <c r="C34" s="196"/>
      <c r="D34" s="196"/>
      <c r="E34" s="196"/>
      <c r="F34" s="196"/>
      <c r="G34" s="196"/>
      <c r="H34" s="196"/>
      <c r="I34" s="196"/>
      <c r="J34" s="196"/>
      <c r="K34" s="196"/>
      <c r="L34" s="196"/>
      <c r="M34" s="196"/>
    </row>
  </sheetData>
  <phoneticPr fontId="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X74"/>
  <sheetViews>
    <sheetView showGridLines="0" zoomScale="140" zoomScaleNormal="140" workbookViewId="0">
      <pane ySplit="4" topLeftCell="A5" activePane="bottomLeft" state="frozen"/>
      <selection pane="bottomLeft" activeCell="E43" sqref="E43"/>
    </sheetView>
  </sheetViews>
  <sheetFormatPr baseColWidth="10" defaultColWidth="9.1640625" defaultRowHeight="11" x14ac:dyDescent="0.15"/>
  <cols>
    <col min="1" max="1" width="1.1640625" style="1" customWidth="1"/>
    <col min="2" max="2" width="11.83203125" style="163" bestFit="1" customWidth="1"/>
    <col min="3" max="3" width="16" style="1" customWidth="1"/>
    <col min="4" max="4" width="10.83203125" style="1" customWidth="1"/>
    <col min="5" max="5" width="28.6640625" style="1" bestFit="1" customWidth="1"/>
    <col min="6" max="6" width="24.5" style="1" bestFit="1" customWidth="1"/>
    <col min="7" max="7" width="13.6640625" style="1" bestFit="1" customWidth="1"/>
    <col min="8" max="8" width="12.83203125" style="1" bestFit="1" customWidth="1"/>
    <col min="9" max="9" width="12.83203125" style="1" customWidth="1"/>
    <col min="10" max="10" width="9.5" style="163" bestFit="1" customWidth="1"/>
    <col min="11" max="11" width="24.1640625" style="1" bestFit="1" customWidth="1"/>
    <col min="12" max="12" width="7" style="1" bestFit="1" customWidth="1"/>
    <col min="13" max="13" width="14.5" style="163" bestFit="1" customWidth="1"/>
    <col min="14" max="14" width="13.6640625" style="1" customWidth="1"/>
    <col min="15" max="15" width="14.1640625" style="1" bestFit="1" customWidth="1"/>
    <col min="16" max="16" width="13" style="1" customWidth="1"/>
    <col min="17" max="17" width="14.1640625" style="1" customWidth="1"/>
    <col min="18" max="18" width="12.1640625" style="1" customWidth="1"/>
    <col min="19" max="19" width="14.1640625" style="1" bestFit="1" customWidth="1"/>
    <col min="20" max="20" width="13.5" style="1" customWidth="1"/>
    <col min="21" max="21" width="14.1640625" style="1" bestFit="1" customWidth="1"/>
    <col min="22" max="22" width="11.83203125" style="1" bestFit="1" customWidth="1"/>
    <col min="23" max="23" width="14.1640625" style="1" bestFit="1" customWidth="1"/>
    <col min="24" max="16384" width="9.1640625" style="1"/>
  </cols>
  <sheetData>
    <row r="1" spans="2:24" ht="12" x14ac:dyDescent="0.15">
      <c r="B1" s="298"/>
      <c r="C1" s="299"/>
      <c r="D1" s="299"/>
      <c r="E1" s="299"/>
      <c r="F1" s="299"/>
      <c r="G1" s="299"/>
      <c r="H1" s="299"/>
      <c r="I1" s="299"/>
      <c r="J1" s="298"/>
      <c r="K1" s="299"/>
      <c r="L1" s="299"/>
      <c r="M1" s="298"/>
      <c r="N1" s="299"/>
      <c r="O1" s="299"/>
      <c r="P1" s="299"/>
      <c r="Q1" s="299"/>
      <c r="R1" s="299"/>
      <c r="S1" s="299"/>
      <c r="T1" s="299"/>
      <c r="U1" s="299"/>
      <c r="V1" s="299"/>
      <c r="W1" s="299"/>
      <c r="X1" s="299"/>
    </row>
    <row r="2" spans="2:24" ht="12" x14ac:dyDescent="0.15">
      <c r="B2" s="298"/>
      <c r="C2" s="299"/>
      <c r="D2" s="299"/>
      <c r="E2" s="299"/>
      <c r="F2" s="299"/>
      <c r="G2" s="299"/>
      <c r="H2" s="299"/>
      <c r="I2" s="299"/>
      <c r="J2" s="298"/>
      <c r="K2" s="299"/>
      <c r="L2" s="299"/>
      <c r="M2" s="298"/>
      <c r="N2" s="299"/>
      <c r="O2" s="299"/>
      <c r="P2" s="299"/>
      <c r="Q2" s="299"/>
      <c r="R2" s="299"/>
      <c r="S2" s="299"/>
      <c r="T2" s="299"/>
      <c r="U2" s="299"/>
      <c r="V2" s="299"/>
      <c r="W2" s="299"/>
      <c r="X2" s="299"/>
    </row>
    <row r="3" spans="2:24" ht="12" x14ac:dyDescent="0.15">
      <c r="B3" s="298"/>
      <c r="C3" s="299"/>
      <c r="D3" s="299"/>
      <c r="E3" s="299"/>
      <c r="F3" s="299"/>
      <c r="G3" s="299"/>
      <c r="H3" s="299"/>
      <c r="I3" s="299"/>
      <c r="J3" s="298"/>
      <c r="K3" s="299"/>
      <c r="L3" s="299"/>
      <c r="M3" s="298"/>
      <c r="N3" s="299"/>
      <c r="O3" s="299"/>
      <c r="P3" s="299"/>
      <c r="Q3" s="299"/>
      <c r="R3" s="299"/>
      <c r="S3" s="299"/>
      <c r="T3" s="299"/>
      <c r="U3" s="299"/>
      <c r="V3" s="299"/>
      <c r="W3" s="299"/>
      <c r="X3" s="299"/>
    </row>
    <row r="4" spans="2:24" ht="15" customHeight="1" x14ac:dyDescent="0.15">
      <c r="B4" s="317" t="s">
        <v>18</v>
      </c>
      <c r="C4" s="318" t="s">
        <v>30</v>
      </c>
      <c r="D4" s="317" t="s">
        <v>31</v>
      </c>
      <c r="E4" s="317" t="s">
        <v>32</v>
      </c>
      <c r="F4" s="317" t="s">
        <v>33</v>
      </c>
      <c r="G4" s="317" t="s">
        <v>19</v>
      </c>
      <c r="H4" s="317" t="s">
        <v>34</v>
      </c>
      <c r="I4" s="317" t="s">
        <v>35</v>
      </c>
      <c r="J4" s="317" t="s">
        <v>36</v>
      </c>
      <c r="K4" s="317" t="s">
        <v>37</v>
      </c>
      <c r="L4" s="317" t="s">
        <v>122</v>
      </c>
      <c r="M4" s="317" t="s">
        <v>38</v>
      </c>
      <c r="N4" s="317" t="s">
        <v>39</v>
      </c>
      <c r="O4" s="317" t="s">
        <v>40</v>
      </c>
      <c r="P4" s="317" t="s">
        <v>39</v>
      </c>
      <c r="Q4" s="317" t="s">
        <v>40</v>
      </c>
      <c r="R4" s="317" t="s">
        <v>39</v>
      </c>
      <c r="S4" s="317" t="s">
        <v>40</v>
      </c>
      <c r="T4" s="317" t="s">
        <v>39</v>
      </c>
      <c r="U4" s="317" t="s">
        <v>40</v>
      </c>
      <c r="V4" s="317" t="s">
        <v>39</v>
      </c>
      <c r="W4" s="317" t="s">
        <v>40</v>
      </c>
      <c r="X4" s="299"/>
    </row>
    <row r="5" spans="2:24" s="475" customFormat="1" ht="12" x14ac:dyDescent="0.15">
      <c r="B5" s="466" t="s">
        <v>20</v>
      </c>
      <c r="C5" s="467" t="s">
        <v>191</v>
      </c>
      <c r="D5" s="465" t="s">
        <v>41</v>
      </c>
      <c r="E5" s="478" t="s">
        <v>44</v>
      </c>
      <c r="F5" s="468">
        <v>44781</v>
      </c>
      <c r="G5" s="469">
        <v>150000</v>
      </c>
      <c r="H5" s="468">
        <v>44782</v>
      </c>
      <c r="I5" s="470">
        <v>8.0000000000000002E-3</v>
      </c>
      <c r="J5" s="471" t="s">
        <v>49</v>
      </c>
      <c r="K5" s="468">
        <v>44782</v>
      </c>
      <c r="L5" s="468"/>
      <c r="M5" s="472" t="s">
        <v>43</v>
      </c>
      <c r="N5" s="468">
        <v>45147</v>
      </c>
      <c r="O5" s="473">
        <f>G5*0.25</f>
        <v>37500</v>
      </c>
      <c r="P5" s="468"/>
      <c r="Q5" s="468"/>
      <c r="R5" s="468"/>
      <c r="S5" s="468"/>
      <c r="T5" s="468"/>
      <c r="U5" s="468"/>
      <c r="V5" s="468"/>
      <c r="W5" s="468"/>
      <c r="X5" s="474"/>
    </row>
    <row r="6" spans="2:24" s="475" customFormat="1" ht="12" x14ac:dyDescent="0.15">
      <c r="B6" s="466" t="s">
        <v>21</v>
      </c>
      <c r="C6" s="467" t="s">
        <v>192</v>
      </c>
      <c r="D6" s="465" t="s">
        <v>41</v>
      </c>
      <c r="E6" s="478" t="s">
        <v>51</v>
      </c>
      <c r="F6" s="468">
        <v>44781</v>
      </c>
      <c r="G6" s="469">
        <v>150000</v>
      </c>
      <c r="H6" s="468">
        <v>44782</v>
      </c>
      <c r="I6" s="470">
        <v>8.0000000000000002E-3</v>
      </c>
      <c r="J6" s="471" t="s">
        <v>49</v>
      </c>
      <c r="K6" s="468">
        <v>44782</v>
      </c>
      <c r="L6" s="468"/>
      <c r="M6" s="472" t="s">
        <v>43</v>
      </c>
      <c r="N6" s="468">
        <v>45147</v>
      </c>
      <c r="O6" s="473">
        <f t="shared" ref="O6:O12" si="0">G6*0.25</f>
        <v>37500</v>
      </c>
      <c r="P6" s="468"/>
      <c r="Q6" s="468"/>
      <c r="R6" s="468"/>
      <c r="S6" s="468"/>
      <c r="T6" s="468"/>
      <c r="U6" s="468"/>
      <c r="V6" s="468"/>
      <c r="W6" s="468"/>
      <c r="X6" s="474"/>
    </row>
    <row r="7" spans="2:24" s="475" customFormat="1" ht="12" x14ac:dyDescent="0.15">
      <c r="B7" s="466" t="s">
        <v>22</v>
      </c>
      <c r="C7" s="467" t="s">
        <v>201</v>
      </c>
      <c r="D7" s="465" t="s">
        <v>41</v>
      </c>
      <c r="E7" s="488" t="s">
        <v>52</v>
      </c>
      <c r="F7" s="468">
        <v>44781</v>
      </c>
      <c r="G7" s="469">
        <v>100000</v>
      </c>
      <c r="H7" s="468">
        <v>44782</v>
      </c>
      <c r="I7" s="470">
        <v>8.0000000000000002E-3</v>
      </c>
      <c r="J7" s="471" t="s">
        <v>49</v>
      </c>
      <c r="K7" s="468">
        <v>44782</v>
      </c>
      <c r="L7" s="468"/>
      <c r="M7" s="472" t="s">
        <v>43</v>
      </c>
      <c r="N7" s="468">
        <v>45147</v>
      </c>
      <c r="O7" s="473">
        <f t="shared" si="0"/>
        <v>25000</v>
      </c>
      <c r="P7" s="468"/>
      <c r="Q7" s="468"/>
      <c r="R7" s="468"/>
      <c r="S7" s="468"/>
      <c r="T7" s="468"/>
      <c r="U7" s="468"/>
      <c r="V7" s="468"/>
      <c r="W7" s="468"/>
      <c r="X7" s="474"/>
    </row>
    <row r="8" spans="2:24" s="475" customFormat="1" ht="12" x14ac:dyDescent="0.15">
      <c r="B8" s="466" t="s">
        <v>23</v>
      </c>
      <c r="C8" s="467" t="s">
        <v>194</v>
      </c>
      <c r="D8" s="465" t="s">
        <v>41</v>
      </c>
      <c r="E8" s="478" t="s">
        <v>42</v>
      </c>
      <c r="F8" s="468">
        <v>44781</v>
      </c>
      <c r="G8" s="469">
        <v>100000</v>
      </c>
      <c r="H8" s="468">
        <v>44782</v>
      </c>
      <c r="I8" s="470">
        <v>8.0000000000000002E-3</v>
      </c>
      <c r="J8" s="471" t="s">
        <v>49</v>
      </c>
      <c r="K8" s="468">
        <v>44782</v>
      </c>
      <c r="L8" s="468"/>
      <c r="M8" s="472" t="s">
        <v>43</v>
      </c>
      <c r="N8" s="468">
        <v>45147</v>
      </c>
      <c r="O8" s="473">
        <f t="shared" si="0"/>
        <v>25000</v>
      </c>
      <c r="P8" s="468"/>
      <c r="Q8" s="468"/>
      <c r="R8" s="468"/>
      <c r="S8" s="468"/>
      <c r="T8" s="468"/>
      <c r="U8" s="468"/>
      <c r="V8" s="468"/>
      <c r="W8" s="468"/>
      <c r="X8" s="474"/>
    </row>
    <row r="9" spans="2:24" s="475" customFormat="1" ht="12" x14ac:dyDescent="0.15">
      <c r="B9" s="466" t="s">
        <v>24</v>
      </c>
      <c r="C9" s="467" t="s">
        <v>195</v>
      </c>
      <c r="D9" s="465" t="s">
        <v>41</v>
      </c>
      <c r="E9" s="478" t="s">
        <v>44</v>
      </c>
      <c r="F9" s="468">
        <v>44781</v>
      </c>
      <c r="G9" s="469">
        <v>100000</v>
      </c>
      <c r="H9" s="468">
        <v>44782</v>
      </c>
      <c r="I9" s="470">
        <v>8.0000000000000002E-3</v>
      </c>
      <c r="J9" s="471" t="s">
        <v>49</v>
      </c>
      <c r="K9" s="468">
        <v>44782</v>
      </c>
      <c r="L9" s="468"/>
      <c r="M9" s="472" t="s">
        <v>43</v>
      </c>
      <c r="N9" s="468">
        <v>45147</v>
      </c>
      <c r="O9" s="473">
        <f t="shared" si="0"/>
        <v>25000</v>
      </c>
      <c r="P9" s="468"/>
      <c r="Q9" s="468"/>
      <c r="R9" s="468"/>
      <c r="S9" s="468"/>
      <c r="T9" s="468"/>
      <c r="U9" s="468"/>
      <c r="V9" s="468"/>
      <c r="W9" s="468"/>
      <c r="X9" s="474"/>
    </row>
    <row r="10" spans="2:24" s="475" customFormat="1" ht="12" x14ac:dyDescent="0.15">
      <c r="B10" s="466" t="s">
        <v>47</v>
      </c>
      <c r="C10" s="467" t="s">
        <v>196</v>
      </c>
      <c r="D10" s="465" t="s">
        <v>41</v>
      </c>
      <c r="E10" s="478" t="s">
        <v>44</v>
      </c>
      <c r="F10" s="468">
        <v>44781</v>
      </c>
      <c r="G10" s="469">
        <v>100000</v>
      </c>
      <c r="H10" s="468">
        <v>44782</v>
      </c>
      <c r="I10" s="470">
        <v>8.0000000000000002E-3</v>
      </c>
      <c r="J10" s="471" t="s">
        <v>49</v>
      </c>
      <c r="K10" s="468">
        <v>44782</v>
      </c>
      <c r="L10" s="468"/>
      <c r="M10" s="472" t="s">
        <v>43</v>
      </c>
      <c r="N10" s="468">
        <v>45147</v>
      </c>
      <c r="O10" s="473">
        <f t="shared" si="0"/>
        <v>25000</v>
      </c>
      <c r="P10" s="468"/>
      <c r="Q10" s="468"/>
      <c r="R10" s="468"/>
      <c r="S10" s="468"/>
      <c r="T10" s="468"/>
      <c r="U10" s="468"/>
      <c r="V10" s="468"/>
      <c r="W10" s="468"/>
      <c r="X10" s="474"/>
    </row>
    <row r="11" spans="2:24" s="475" customFormat="1" ht="12" x14ac:dyDescent="0.15">
      <c r="B11" s="466" t="s">
        <v>26</v>
      </c>
      <c r="C11" s="467" t="s">
        <v>197</v>
      </c>
      <c r="D11" s="465" t="s">
        <v>41</v>
      </c>
      <c r="E11" s="478" t="s">
        <v>45</v>
      </c>
      <c r="F11" s="468">
        <v>44781</v>
      </c>
      <c r="G11" s="469">
        <v>100000</v>
      </c>
      <c r="H11" s="468">
        <v>44782</v>
      </c>
      <c r="I11" s="470">
        <v>8.0000000000000002E-3</v>
      </c>
      <c r="J11" s="471" t="s">
        <v>49</v>
      </c>
      <c r="K11" s="468">
        <v>44782</v>
      </c>
      <c r="L11" s="468"/>
      <c r="M11" s="472" t="s">
        <v>43</v>
      </c>
      <c r="N11" s="468">
        <v>45147</v>
      </c>
      <c r="O11" s="473">
        <f t="shared" si="0"/>
        <v>25000</v>
      </c>
      <c r="P11" s="468"/>
      <c r="Q11" s="468"/>
      <c r="R11" s="468"/>
      <c r="S11" s="468"/>
      <c r="T11" s="468"/>
      <c r="U11" s="468"/>
      <c r="V11" s="468"/>
      <c r="W11" s="468"/>
      <c r="X11" s="474"/>
    </row>
    <row r="12" spans="2:24" s="475" customFormat="1" ht="12" x14ac:dyDescent="0.15">
      <c r="B12" s="466" t="s">
        <v>50</v>
      </c>
      <c r="C12" s="467" t="s">
        <v>198</v>
      </c>
      <c r="D12" s="465" t="s">
        <v>41</v>
      </c>
      <c r="E12" s="478" t="s">
        <v>46</v>
      </c>
      <c r="F12" s="468">
        <v>44781</v>
      </c>
      <c r="G12" s="469">
        <v>100000</v>
      </c>
      <c r="H12" s="468">
        <v>44782</v>
      </c>
      <c r="I12" s="470">
        <v>8.0000000000000002E-3</v>
      </c>
      <c r="J12" s="471" t="s">
        <v>49</v>
      </c>
      <c r="K12" s="468">
        <v>44782</v>
      </c>
      <c r="L12" s="468"/>
      <c r="M12" s="472" t="s">
        <v>43</v>
      </c>
      <c r="N12" s="468">
        <v>45147</v>
      </c>
      <c r="O12" s="473">
        <f t="shared" si="0"/>
        <v>25000</v>
      </c>
      <c r="P12" s="468"/>
      <c r="Q12" s="468"/>
      <c r="R12" s="468"/>
      <c r="S12" s="468"/>
      <c r="T12" s="468"/>
      <c r="U12" s="468"/>
      <c r="V12" s="468"/>
      <c r="W12" s="468"/>
      <c r="X12" s="474"/>
    </row>
    <row r="13" spans="2:24" ht="12" x14ac:dyDescent="0.15">
      <c r="B13" s="300" t="s">
        <v>28</v>
      </c>
      <c r="C13" s="476"/>
      <c r="D13" s="477" t="s">
        <v>41</v>
      </c>
      <c r="E13" s="478" t="s">
        <v>45</v>
      </c>
      <c r="F13" s="479"/>
      <c r="G13" s="480"/>
      <c r="H13" s="479"/>
      <c r="I13" s="481"/>
      <c r="J13" s="482"/>
      <c r="K13" s="479"/>
      <c r="L13" s="479"/>
      <c r="M13" s="483"/>
      <c r="N13" s="479"/>
      <c r="O13" s="484"/>
      <c r="P13" s="485"/>
      <c r="Q13" s="485"/>
      <c r="R13" s="485"/>
      <c r="S13" s="485"/>
      <c r="T13" s="485"/>
      <c r="U13" s="485"/>
      <c r="V13" s="485"/>
      <c r="W13" s="485"/>
      <c r="X13" s="299"/>
    </row>
    <row r="14" spans="2:24" ht="12" x14ac:dyDescent="0.15">
      <c r="B14" s="300" t="s">
        <v>27</v>
      </c>
      <c r="C14" s="476"/>
      <c r="D14" s="477" t="s">
        <v>41</v>
      </c>
      <c r="E14" s="478" t="s">
        <v>44</v>
      </c>
      <c r="F14" s="479"/>
      <c r="G14" s="480"/>
      <c r="H14" s="479"/>
      <c r="I14" s="481"/>
      <c r="J14" s="482"/>
      <c r="K14" s="479"/>
      <c r="L14" s="479"/>
      <c r="M14" s="483"/>
      <c r="N14" s="479"/>
      <c r="O14" s="484"/>
      <c r="P14" s="485"/>
      <c r="Q14" s="485"/>
      <c r="R14" s="485"/>
      <c r="S14" s="485"/>
      <c r="T14" s="485"/>
      <c r="U14" s="485"/>
      <c r="V14" s="485"/>
      <c r="W14" s="485"/>
      <c r="X14" s="299"/>
    </row>
    <row r="15" spans="2:24" ht="12" x14ac:dyDescent="0.15">
      <c r="B15" s="300" t="s">
        <v>29</v>
      </c>
      <c r="C15" s="486"/>
      <c r="D15" s="487" t="s">
        <v>86</v>
      </c>
      <c r="E15" s="478" t="s">
        <v>45</v>
      </c>
      <c r="F15" s="479"/>
      <c r="G15" s="489"/>
      <c r="H15" s="479"/>
      <c r="I15" s="490"/>
      <c r="J15" s="487"/>
      <c r="K15" s="479"/>
      <c r="L15" s="479"/>
      <c r="M15" s="483"/>
      <c r="N15" s="487"/>
      <c r="O15" s="489"/>
      <c r="P15" s="491"/>
      <c r="Q15" s="491"/>
      <c r="R15" s="491"/>
      <c r="S15" s="491"/>
      <c r="T15" s="491"/>
      <c r="U15" s="491"/>
      <c r="V15" s="491"/>
      <c r="W15" s="491"/>
      <c r="X15" s="299"/>
    </row>
    <row r="16" spans="2:24" ht="12" x14ac:dyDescent="0.15">
      <c r="B16" s="300" t="s">
        <v>53</v>
      </c>
      <c r="C16" s="476"/>
      <c r="D16" s="477" t="s">
        <v>41</v>
      </c>
      <c r="E16" s="478" t="s">
        <v>48</v>
      </c>
      <c r="F16" s="479"/>
      <c r="G16" s="492"/>
      <c r="H16" s="479"/>
      <c r="I16" s="490"/>
      <c r="J16" s="482"/>
      <c r="K16" s="479"/>
      <c r="L16" s="479"/>
      <c r="M16" s="493"/>
      <c r="N16" s="487"/>
      <c r="O16" s="489"/>
      <c r="P16" s="491"/>
      <c r="Q16" s="491"/>
      <c r="R16" s="491"/>
      <c r="S16" s="491"/>
      <c r="T16" s="491"/>
      <c r="U16" s="491"/>
      <c r="V16" s="491"/>
      <c r="W16" s="491"/>
      <c r="X16" s="299"/>
    </row>
    <row r="17" spans="2:24" ht="12" x14ac:dyDescent="0.15">
      <c r="B17" s="300" t="s">
        <v>54</v>
      </c>
      <c r="C17" s="476"/>
      <c r="D17" s="477" t="s">
        <v>41</v>
      </c>
      <c r="E17" s="488" t="s">
        <v>80</v>
      </c>
      <c r="F17" s="479"/>
      <c r="G17" s="492"/>
      <c r="H17" s="479"/>
      <c r="I17" s="490"/>
      <c r="J17" s="482"/>
      <c r="K17" s="479"/>
      <c r="L17" s="479"/>
      <c r="M17" s="493"/>
      <c r="N17" s="487"/>
      <c r="O17" s="489"/>
      <c r="P17" s="491"/>
      <c r="Q17" s="491"/>
      <c r="R17" s="491"/>
      <c r="S17" s="491"/>
      <c r="T17" s="491"/>
      <c r="U17" s="491"/>
      <c r="V17" s="491"/>
      <c r="W17" s="491"/>
      <c r="X17" s="299"/>
    </row>
    <row r="18" spans="2:24" ht="12" x14ac:dyDescent="0.15">
      <c r="B18" s="300" t="s">
        <v>55</v>
      </c>
      <c r="C18" s="476"/>
      <c r="D18" s="477" t="s">
        <v>41</v>
      </c>
      <c r="E18" s="488" t="s">
        <v>81</v>
      </c>
      <c r="F18" s="479"/>
      <c r="G18" s="492"/>
      <c r="H18" s="479"/>
      <c r="I18" s="490"/>
      <c r="J18" s="482"/>
      <c r="K18" s="479"/>
      <c r="L18" s="479"/>
      <c r="M18" s="493"/>
      <c r="N18" s="487"/>
      <c r="O18" s="489"/>
      <c r="P18" s="491"/>
      <c r="Q18" s="491"/>
      <c r="R18" s="491"/>
      <c r="S18" s="491"/>
      <c r="T18" s="491"/>
      <c r="U18" s="491"/>
      <c r="V18" s="491"/>
      <c r="W18" s="491"/>
      <c r="X18" s="299"/>
    </row>
    <row r="19" spans="2:24" ht="12" x14ac:dyDescent="0.15">
      <c r="B19" s="300" t="s">
        <v>56</v>
      </c>
      <c r="C19" s="476"/>
      <c r="D19" s="477" t="s">
        <v>41</v>
      </c>
      <c r="E19" s="488" t="s">
        <v>85</v>
      </c>
      <c r="F19" s="479"/>
      <c r="G19" s="492"/>
      <c r="H19" s="479"/>
      <c r="I19" s="490"/>
      <c r="J19" s="482"/>
      <c r="K19" s="479"/>
      <c r="L19" s="479"/>
      <c r="M19" s="493"/>
      <c r="N19" s="487"/>
      <c r="O19" s="489"/>
      <c r="P19" s="491"/>
      <c r="Q19" s="491"/>
      <c r="R19" s="491"/>
      <c r="S19" s="491"/>
      <c r="T19" s="491"/>
      <c r="U19" s="491"/>
      <c r="V19" s="491"/>
      <c r="W19" s="491"/>
      <c r="X19" s="299"/>
    </row>
    <row r="20" spans="2:24" ht="12" x14ac:dyDescent="0.15">
      <c r="B20" s="300" t="s">
        <v>57</v>
      </c>
      <c r="C20" s="476"/>
      <c r="D20" s="477" t="s">
        <v>41</v>
      </c>
      <c r="E20" s="488" t="s">
        <v>82</v>
      </c>
      <c r="F20" s="479"/>
      <c r="G20" s="492"/>
      <c r="H20" s="479"/>
      <c r="I20" s="490"/>
      <c r="J20" s="482"/>
      <c r="K20" s="479"/>
      <c r="L20" s="479"/>
      <c r="M20" s="493"/>
      <c r="N20" s="487"/>
      <c r="O20" s="489"/>
      <c r="P20" s="491"/>
      <c r="Q20" s="491"/>
      <c r="R20" s="491"/>
      <c r="S20" s="491"/>
      <c r="T20" s="491"/>
      <c r="U20" s="491"/>
      <c r="V20" s="491"/>
      <c r="W20" s="491"/>
      <c r="X20" s="299"/>
    </row>
    <row r="21" spans="2:24" ht="12" x14ac:dyDescent="0.15">
      <c r="B21" s="300" t="s">
        <v>58</v>
      </c>
      <c r="C21" s="486"/>
      <c r="D21" s="477" t="s">
        <v>41</v>
      </c>
      <c r="E21" s="488" t="s">
        <v>83</v>
      </c>
      <c r="F21" s="479"/>
      <c r="G21" s="492"/>
      <c r="H21" s="479"/>
      <c r="I21" s="490"/>
      <c r="J21" s="482"/>
      <c r="K21" s="479"/>
      <c r="L21" s="479"/>
      <c r="M21" s="493"/>
      <c r="N21" s="487"/>
      <c r="O21" s="489"/>
      <c r="P21" s="491"/>
      <c r="Q21" s="491"/>
      <c r="R21" s="491"/>
      <c r="S21" s="491"/>
      <c r="T21" s="491"/>
      <c r="U21" s="491"/>
      <c r="V21" s="491"/>
      <c r="W21" s="491"/>
      <c r="X21" s="299"/>
    </row>
    <row r="22" spans="2:24" ht="12" x14ac:dyDescent="0.15">
      <c r="B22" s="300" t="s">
        <v>59</v>
      </c>
      <c r="C22" s="486"/>
      <c r="D22" s="477" t="s">
        <v>41</v>
      </c>
      <c r="E22" s="488" t="s">
        <v>84</v>
      </c>
      <c r="F22" s="479"/>
      <c r="G22" s="492"/>
      <c r="H22" s="479"/>
      <c r="I22" s="490"/>
      <c r="J22" s="482"/>
      <c r="K22" s="479"/>
      <c r="L22" s="479"/>
      <c r="M22" s="493"/>
      <c r="N22" s="487"/>
      <c r="O22" s="489"/>
      <c r="P22" s="491"/>
      <c r="Q22" s="491"/>
      <c r="R22" s="491"/>
      <c r="S22" s="491"/>
      <c r="T22" s="491"/>
      <c r="U22" s="491"/>
      <c r="V22" s="491"/>
      <c r="W22" s="491"/>
      <c r="X22" s="299"/>
    </row>
    <row r="23" spans="2:24" ht="12" x14ac:dyDescent="0.15">
      <c r="B23" s="300" t="s">
        <v>60</v>
      </c>
      <c r="C23" s="486"/>
      <c r="D23" s="477" t="s">
        <v>41</v>
      </c>
      <c r="E23" s="488" t="s">
        <v>45</v>
      </c>
      <c r="F23" s="479"/>
      <c r="G23" s="492"/>
      <c r="H23" s="479"/>
      <c r="I23" s="490"/>
      <c r="J23" s="482"/>
      <c r="K23" s="479"/>
      <c r="L23" s="479"/>
      <c r="M23" s="493"/>
      <c r="N23" s="487"/>
      <c r="O23" s="489"/>
      <c r="P23" s="491"/>
      <c r="Q23" s="491"/>
      <c r="R23" s="491"/>
      <c r="S23" s="491"/>
      <c r="T23" s="491"/>
      <c r="U23" s="491"/>
      <c r="V23" s="491"/>
      <c r="W23" s="491"/>
      <c r="X23" s="299"/>
    </row>
    <row r="24" spans="2:24" ht="12" x14ac:dyDescent="0.15">
      <c r="B24" s="300" t="s">
        <v>61</v>
      </c>
      <c r="C24" s="486"/>
      <c r="D24" s="477" t="s">
        <v>41</v>
      </c>
      <c r="E24" s="488" t="s">
        <v>87</v>
      </c>
      <c r="F24" s="479"/>
      <c r="G24" s="489"/>
      <c r="H24" s="479"/>
      <c r="I24" s="490"/>
      <c r="J24" s="482"/>
      <c r="K24" s="479"/>
      <c r="L24" s="479"/>
      <c r="M24" s="493"/>
      <c r="N24" s="487"/>
      <c r="O24" s="489"/>
      <c r="P24" s="491"/>
      <c r="Q24" s="491"/>
      <c r="R24" s="491"/>
      <c r="S24" s="491"/>
      <c r="T24" s="491"/>
      <c r="U24" s="491"/>
      <c r="V24" s="491"/>
      <c r="W24" s="491"/>
      <c r="X24" s="299"/>
    </row>
    <row r="25" spans="2:24" ht="12" x14ac:dyDescent="0.15">
      <c r="B25" s="300" t="s">
        <v>62</v>
      </c>
      <c r="C25" s="494"/>
      <c r="D25" s="477" t="s">
        <v>41</v>
      </c>
      <c r="E25" s="488" t="s">
        <v>121</v>
      </c>
      <c r="F25" s="479"/>
      <c r="G25" s="489"/>
      <c r="H25" s="479"/>
      <c r="I25" s="490"/>
      <c r="J25" s="482"/>
      <c r="K25" s="479"/>
      <c r="L25" s="479"/>
      <c r="M25" s="493"/>
      <c r="N25" s="487"/>
      <c r="O25" s="489"/>
      <c r="P25" s="491"/>
      <c r="Q25" s="491"/>
      <c r="R25" s="491"/>
      <c r="S25" s="491"/>
      <c r="T25" s="491"/>
      <c r="U25" s="491"/>
      <c r="V25" s="491"/>
      <c r="W25" s="491"/>
      <c r="X25" s="299"/>
    </row>
    <row r="26" spans="2:24" ht="12" x14ac:dyDescent="0.15">
      <c r="B26" s="300" t="s">
        <v>63</v>
      </c>
      <c r="C26" s="494"/>
      <c r="D26" s="477" t="s">
        <v>41</v>
      </c>
      <c r="E26" s="488" t="s">
        <v>42</v>
      </c>
      <c r="F26" s="479"/>
      <c r="G26" s="489"/>
      <c r="H26" s="479"/>
      <c r="I26" s="490"/>
      <c r="J26" s="482"/>
      <c r="K26" s="479"/>
      <c r="L26" s="479"/>
      <c r="M26" s="493"/>
      <c r="N26" s="487"/>
      <c r="O26" s="489"/>
      <c r="P26" s="491"/>
      <c r="Q26" s="491"/>
      <c r="R26" s="491"/>
      <c r="S26" s="491"/>
      <c r="T26" s="491"/>
      <c r="U26" s="491"/>
      <c r="V26" s="491"/>
      <c r="W26" s="491"/>
      <c r="X26" s="299"/>
    </row>
    <row r="27" spans="2:24" ht="12" x14ac:dyDescent="0.15">
      <c r="B27" s="300" t="s">
        <v>64</v>
      </c>
      <c r="C27" s="494"/>
      <c r="D27" s="477" t="s">
        <v>41</v>
      </c>
      <c r="E27" s="488" t="s">
        <v>42</v>
      </c>
      <c r="F27" s="479"/>
      <c r="G27" s="489"/>
      <c r="H27" s="479"/>
      <c r="I27" s="490"/>
      <c r="J27" s="482"/>
      <c r="K27" s="479"/>
      <c r="L27" s="479"/>
      <c r="M27" s="493"/>
      <c r="N27" s="487"/>
      <c r="O27" s="489"/>
      <c r="P27" s="491"/>
      <c r="Q27" s="491"/>
      <c r="R27" s="491"/>
      <c r="S27" s="491"/>
      <c r="T27" s="491"/>
      <c r="U27" s="491"/>
      <c r="V27" s="491"/>
      <c r="W27" s="491"/>
      <c r="X27" s="299"/>
    </row>
    <row r="28" spans="2:24" ht="12" x14ac:dyDescent="0.15">
      <c r="B28" s="300" t="s">
        <v>65</v>
      </c>
      <c r="C28" s="494"/>
      <c r="D28" s="477" t="s">
        <v>41</v>
      </c>
      <c r="E28" s="488" t="s">
        <v>145</v>
      </c>
      <c r="F28" s="479"/>
      <c r="G28" s="489"/>
      <c r="H28" s="479"/>
      <c r="I28" s="490"/>
      <c r="J28" s="482"/>
      <c r="K28" s="479"/>
      <c r="L28" s="479"/>
      <c r="M28" s="493"/>
      <c r="N28" s="487"/>
      <c r="O28" s="489"/>
      <c r="P28" s="491"/>
      <c r="Q28" s="491"/>
      <c r="R28" s="491"/>
      <c r="S28" s="491"/>
      <c r="T28" s="491"/>
      <c r="U28" s="491"/>
      <c r="V28" s="491"/>
      <c r="W28" s="491"/>
      <c r="X28" s="299"/>
    </row>
    <row r="29" spans="2:24" ht="12" x14ac:dyDescent="0.15">
      <c r="B29" s="300" t="s">
        <v>66</v>
      </c>
      <c r="C29" s="494"/>
      <c r="D29" s="477" t="s">
        <v>41</v>
      </c>
      <c r="E29" s="488" t="s">
        <v>45</v>
      </c>
      <c r="F29" s="479"/>
      <c r="G29" s="489"/>
      <c r="H29" s="479"/>
      <c r="I29" s="490"/>
      <c r="J29" s="482"/>
      <c r="K29" s="479"/>
      <c r="L29" s="479"/>
      <c r="M29" s="493"/>
      <c r="N29" s="487"/>
      <c r="O29" s="489"/>
      <c r="P29" s="491"/>
      <c r="Q29" s="491"/>
      <c r="R29" s="491"/>
      <c r="S29" s="491"/>
      <c r="T29" s="491"/>
      <c r="U29" s="491"/>
      <c r="V29" s="491"/>
      <c r="W29" s="491"/>
      <c r="X29" s="299"/>
    </row>
    <row r="30" spans="2:24" ht="12" x14ac:dyDescent="0.15">
      <c r="B30" s="300" t="s">
        <v>67</v>
      </c>
      <c r="C30" s="494"/>
      <c r="D30" s="477" t="s">
        <v>41</v>
      </c>
      <c r="E30" s="488" t="s">
        <v>146</v>
      </c>
      <c r="F30" s="479"/>
      <c r="G30" s="489"/>
      <c r="H30" s="479"/>
      <c r="I30" s="490"/>
      <c r="J30" s="482"/>
      <c r="K30" s="479"/>
      <c r="L30" s="479"/>
      <c r="M30" s="493"/>
      <c r="N30" s="487"/>
      <c r="O30" s="489"/>
      <c r="P30" s="491"/>
      <c r="Q30" s="491"/>
      <c r="R30" s="491"/>
      <c r="S30" s="491"/>
      <c r="T30" s="491"/>
      <c r="U30" s="491"/>
      <c r="V30" s="491"/>
      <c r="W30" s="491"/>
      <c r="X30" s="299"/>
    </row>
    <row r="31" spans="2:24" ht="12" x14ac:dyDescent="0.15">
      <c r="B31" s="300" t="s">
        <v>68</v>
      </c>
      <c r="C31" s="486"/>
      <c r="D31" s="477" t="s">
        <v>41</v>
      </c>
      <c r="E31" s="488" t="s">
        <v>85</v>
      </c>
      <c r="F31" s="479"/>
      <c r="G31" s="489"/>
      <c r="H31" s="479"/>
      <c r="I31" s="490"/>
      <c r="J31" s="482"/>
      <c r="K31" s="479"/>
      <c r="L31" s="479"/>
      <c r="M31" s="493"/>
      <c r="N31" s="487"/>
      <c r="O31" s="489"/>
      <c r="P31" s="491"/>
      <c r="Q31" s="491"/>
      <c r="R31" s="491"/>
      <c r="S31" s="491"/>
      <c r="T31" s="491"/>
      <c r="U31" s="491"/>
      <c r="V31" s="491"/>
      <c r="W31" s="491"/>
      <c r="X31" s="299"/>
    </row>
    <row r="32" spans="2:24" ht="12" x14ac:dyDescent="0.15">
      <c r="B32" s="300" t="s">
        <v>69</v>
      </c>
      <c r="C32" s="495"/>
      <c r="D32" s="487" t="s">
        <v>41</v>
      </c>
      <c r="E32" s="488"/>
      <c r="F32" s="479"/>
      <c r="G32" s="489"/>
      <c r="H32" s="479"/>
      <c r="I32" s="490"/>
      <c r="J32" s="482"/>
      <c r="K32" s="479"/>
      <c r="L32" s="479"/>
      <c r="M32" s="493"/>
      <c r="N32" s="487"/>
      <c r="O32" s="489"/>
      <c r="P32" s="491"/>
      <c r="Q32" s="491"/>
      <c r="R32" s="491"/>
      <c r="S32" s="491"/>
      <c r="T32" s="491"/>
      <c r="U32" s="491"/>
      <c r="V32" s="491"/>
      <c r="W32" s="491"/>
      <c r="X32" s="299"/>
    </row>
    <row r="33" spans="2:24" ht="12" x14ac:dyDescent="0.15">
      <c r="B33" s="300" t="s">
        <v>70</v>
      </c>
      <c r="C33" s="495"/>
      <c r="D33" s="487" t="s">
        <v>86</v>
      </c>
      <c r="F33" s="479"/>
      <c r="G33" s="489"/>
      <c r="H33" s="479"/>
      <c r="I33" s="490"/>
      <c r="J33" s="487"/>
      <c r="K33" s="479"/>
      <c r="L33" s="479"/>
      <c r="M33" s="496"/>
      <c r="N33" s="487"/>
      <c r="O33" s="489"/>
      <c r="P33" s="491"/>
      <c r="Q33" s="491"/>
      <c r="R33" s="491"/>
      <c r="S33" s="491"/>
      <c r="T33" s="491"/>
      <c r="U33" s="491"/>
      <c r="V33" s="491"/>
      <c r="W33" s="491"/>
      <c r="X33" s="299"/>
    </row>
    <row r="34" spans="2:24" ht="12" x14ac:dyDescent="0.15">
      <c r="B34" s="300" t="s">
        <v>71</v>
      </c>
      <c r="C34" s="495"/>
      <c r="D34" s="487" t="s">
        <v>41</v>
      </c>
      <c r="E34" s="457"/>
      <c r="F34" s="479"/>
      <c r="G34" s="489"/>
      <c r="H34" s="479"/>
      <c r="I34" s="490"/>
      <c r="J34" s="487"/>
      <c r="K34" s="479"/>
      <c r="L34" s="479"/>
      <c r="M34" s="496"/>
      <c r="N34" s="487"/>
      <c r="O34" s="489"/>
      <c r="P34" s="491"/>
      <c r="Q34" s="491"/>
      <c r="R34" s="491"/>
      <c r="S34" s="491"/>
      <c r="T34" s="491"/>
      <c r="U34" s="491"/>
      <c r="V34" s="491"/>
      <c r="W34" s="491"/>
      <c r="X34" s="299"/>
    </row>
    <row r="35" spans="2:24" ht="12" x14ac:dyDescent="0.15">
      <c r="B35" s="300" t="s">
        <v>72</v>
      </c>
      <c r="C35" s="495"/>
      <c r="D35" s="487" t="s">
        <v>41</v>
      </c>
      <c r="E35" s="302"/>
      <c r="F35" s="479"/>
      <c r="G35" s="489"/>
      <c r="H35" s="479"/>
      <c r="I35" s="490"/>
      <c r="J35" s="487"/>
      <c r="K35" s="479"/>
      <c r="L35" s="479"/>
      <c r="M35" s="496"/>
      <c r="N35" s="487"/>
      <c r="O35" s="489"/>
      <c r="P35" s="491"/>
      <c r="Q35" s="491"/>
      <c r="R35" s="491"/>
      <c r="S35" s="491"/>
      <c r="T35" s="491"/>
      <c r="U35" s="491"/>
      <c r="V35" s="491"/>
      <c r="W35" s="491"/>
      <c r="X35" s="299"/>
    </row>
    <row r="36" spans="2:24" ht="12" x14ac:dyDescent="0.15">
      <c r="B36" s="300" t="s">
        <v>73</v>
      </c>
      <c r="C36" s="495"/>
      <c r="D36" s="487" t="s">
        <v>86</v>
      </c>
      <c r="E36" s="302"/>
      <c r="F36" s="479"/>
      <c r="G36" s="489"/>
      <c r="H36" s="479"/>
      <c r="I36" s="490"/>
      <c r="J36" s="487"/>
      <c r="K36" s="479"/>
      <c r="L36" s="479"/>
      <c r="M36" s="496"/>
      <c r="N36" s="487"/>
      <c r="O36" s="489"/>
      <c r="P36" s="491"/>
      <c r="Q36" s="491"/>
      <c r="R36" s="491"/>
      <c r="S36" s="491"/>
      <c r="T36" s="491"/>
      <c r="U36" s="491"/>
      <c r="V36" s="491"/>
      <c r="W36" s="491"/>
      <c r="X36" s="299"/>
    </row>
    <row r="37" spans="2:24" ht="12" x14ac:dyDescent="0.15">
      <c r="B37" s="300" t="s">
        <v>129</v>
      </c>
      <c r="C37" s="495"/>
      <c r="D37" s="487" t="s">
        <v>41</v>
      </c>
      <c r="E37" s="302"/>
      <c r="F37" s="479"/>
      <c r="G37" s="489"/>
      <c r="H37" s="479"/>
      <c r="I37" s="490"/>
      <c r="J37" s="487"/>
      <c r="K37" s="479"/>
      <c r="L37" s="479"/>
      <c r="M37" s="496"/>
      <c r="N37" s="487"/>
      <c r="O37" s="489"/>
      <c r="P37" s="491"/>
      <c r="Q37" s="491"/>
      <c r="R37" s="491"/>
      <c r="S37" s="491"/>
      <c r="T37" s="491"/>
      <c r="U37" s="491"/>
      <c r="V37" s="491"/>
      <c r="W37" s="491"/>
      <c r="X37" s="299"/>
    </row>
    <row r="38" spans="2:24" ht="12" x14ac:dyDescent="0.15">
      <c r="B38" s="300" t="s">
        <v>130</v>
      </c>
      <c r="C38" s="495"/>
      <c r="D38" s="487" t="s">
        <v>41</v>
      </c>
      <c r="E38" s="488"/>
      <c r="F38" s="479"/>
      <c r="G38" s="489"/>
      <c r="H38" s="479"/>
      <c r="I38" s="490"/>
      <c r="J38" s="487"/>
      <c r="K38" s="479"/>
      <c r="L38" s="479"/>
      <c r="M38" s="496"/>
      <c r="N38" s="487"/>
      <c r="O38" s="489"/>
      <c r="P38" s="491"/>
      <c r="Q38" s="491"/>
      <c r="R38" s="491"/>
      <c r="S38" s="491"/>
      <c r="T38" s="491"/>
      <c r="U38" s="491"/>
      <c r="V38" s="491"/>
      <c r="W38" s="491"/>
      <c r="X38" s="299"/>
    </row>
    <row r="39" spans="2:24" ht="12" x14ac:dyDescent="0.15">
      <c r="B39" s="300" t="s">
        <v>131</v>
      </c>
      <c r="C39" s="495"/>
      <c r="D39" s="487" t="s">
        <v>41</v>
      </c>
      <c r="F39" s="479"/>
      <c r="G39" s="489"/>
      <c r="H39" s="479"/>
      <c r="I39" s="490"/>
      <c r="J39" s="487"/>
      <c r="K39" s="479"/>
      <c r="L39" s="479"/>
      <c r="M39" s="496"/>
      <c r="N39" s="487"/>
      <c r="O39" s="489"/>
      <c r="P39" s="491"/>
      <c r="Q39" s="491"/>
      <c r="R39" s="491"/>
      <c r="S39" s="491"/>
      <c r="T39" s="491"/>
      <c r="U39" s="491"/>
      <c r="V39" s="491"/>
      <c r="W39" s="491"/>
      <c r="X39" s="299"/>
    </row>
    <row r="40" spans="2:24" ht="12" x14ac:dyDescent="0.15">
      <c r="B40" s="300" t="s">
        <v>132</v>
      </c>
      <c r="C40" s="495"/>
      <c r="D40" s="487" t="s">
        <v>86</v>
      </c>
      <c r="E40" s="457"/>
      <c r="F40" s="479"/>
      <c r="G40" s="489"/>
      <c r="H40" s="479"/>
      <c r="I40" s="490"/>
      <c r="J40" s="487"/>
      <c r="K40" s="479"/>
      <c r="L40" s="479"/>
      <c r="M40" s="496"/>
      <c r="N40" s="487"/>
      <c r="O40" s="489"/>
      <c r="P40" s="491"/>
      <c r="Q40" s="491"/>
      <c r="R40" s="491"/>
      <c r="S40" s="491"/>
      <c r="T40" s="491"/>
      <c r="U40" s="491"/>
      <c r="V40" s="491"/>
      <c r="W40" s="491"/>
      <c r="X40" s="299"/>
    </row>
    <row r="41" spans="2:24" ht="12" x14ac:dyDescent="0.15">
      <c r="B41" s="300" t="s">
        <v>133</v>
      </c>
      <c r="C41" s="491"/>
      <c r="D41" s="487" t="s">
        <v>86</v>
      </c>
      <c r="E41" s="488"/>
      <c r="F41" s="479"/>
      <c r="G41" s="489"/>
      <c r="H41" s="497"/>
      <c r="I41" s="490"/>
      <c r="J41" s="487"/>
      <c r="K41" s="479"/>
      <c r="L41" s="479"/>
      <c r="M41" s="496"/>
      <c r="N41" s="487"/>
      <c r="O41" s="489"/>
      <c r="P41" s="491"/>
      <c r="Q41" s="491"/>
      <c r="R41" s="491"/>
      <c r="S41" s="491"/>
      <c r="T41" s="491"/>
      <c r="U41" s="491"/>
      <c r="V41" s="491"/>
      <c r="W41" s="491"/>
      <c r="X41" s="299"/>
    </row>
    <row r="42" spans="2:24" ht="12" x14ac:dyDescent="0.15">
      <c r="B42" s="300" t="s">
        <v>134</v>
      </c>
      <c r="C42" s="491"/>
      <c r="D42" s="487" t="s">
        <v>86</v>
      </c>
      <c r="E42" s="488"/>
      <c r="F42" s="479"/>
      <c r="G42" s="489"/>
      <c r="H42" s="497"/>
      <c r="I42" s="490"/>
      <c r="J42" s="487"/>
      <c r="K42" s="479"/>
      <c r="L42" s="479"/>
      <c r="M42" s="496"/>
      <c r="N42" s="487"/>
      <c r="O42" s="489"/>
      <c r="P42" s="491"/>
      <c r="Q42" s="491"/>
      <c r="R42" s="491"/>
      <c r="S42" s="491"/>
      <c r="T42" s="491"/>
      <c r="U42" s="491"/>
      <c r="V42" s="491"/>
      <c r="W42" s="491"/>
      <c r="X42" s="299"/>
    </row>
    <row r="43" spans="2:24" ht="12" x14ac:dyDescent="0.15">
      <c r="B43" s="300" t="s">
        <v>135</v>
      </c>
      <c r="C43" s="491"/>
      <c r="F43" s="479"/>
      <c r="G43" s="489"/>
      <c r="H43" s="497"/>
      <c r="I43" s="490"/>
      <c r="J43" s="487"/>
      <c r="K43" s="479"/>
      <c r="L43" s="479"/>
      <c r="M43" s="496"/>
      <c r="N43" s="487"/>
      <c r="O43" s="489"/>
      <c r="P43" s="491"/>
      <c r="Q43" s="491"/>
      <c r="R43" s="491"/>
      <c r="S43" s="491"/>
      <c r="T43" s="491"/>
      <c r="U43" s="491"/>
      <c r="V43" s="491"/>
      <c r="W43" s="491"/>
      <c r="X43" s="299"/>
    </row>
    <row r="44" spans="2:24" ht="12" x14ac:dyDescent="0.15">
      <c r="B44" s="300" t="s">
        <v>136</v>
      </c>
      <c r="C44" s="305"/>
      <c r="D44" s="457"/>
      <c r="E44" s="457"/>
      <c r="F44" s="456"/>
      <c r="G44" s="458"/>
      <c r="H44" s="461"/>
      <c r="I44" s="459"/>
      <c r="J44" s="457"/>
      <c r="K44" s="456"/>
      <c r="L44" s="456"/>
      <c r="M44" s="460"/>
      <c r="N44" s="457"/>
      <c r="O44" s="458"/>
      <c r="P44" s="305"/>
      <c r="Q44" s="305"/>
      <c r="R44" s="305"/>
      <c r="S44" s="305"/>
      <c r="T44" s="305"/>
      <c r="U44" s="305"/>
      <c r="V44" s="305"/>
      <c r="W44" s="305"/>
      <c r="X44" s="299"/>
    </row>
    <row r="45" spans="2:24" ht="12" x14ac:dyDescent="0.15">
      <c r="B45" s="300" t="s">
        <v>137</v>
      </c>
      <c r="C45" s="305"/>
      <c r="D45" s="302"/>
      <c r="E45" s="302"/>
      <c r="F45" s="301"/>
      <c r="G45" s="303"/>
      <c r="H45" s="306"/>
      <c r="I45" s="304"/>
      <c r="J45" s="302"/>
      <c r="K45" s="301"/>
      <c r="L45" s="301"/>
      <c r="M45" s="307"/>
      <c r="N45" s="302"/>
      <c r="O45" s="303"/>
      <c r="P45" s="305"/>
      <c r="Q45" s="305"/>
      <c r="R45" s="305"/>
      <c r="S45" s="305"/>
      <c r="T45" s="305"/>
      <c r="U45" s="305"/>
      <c r="V45" s="305"/>
      <c r="W45" s="305"/>
      <c r="X45" s="299"/>
    </row>
    <row r="46" spans="2:24" ht="12" x14ac:dyDescent="0.15">
      <c r="B46" s="300" t="s">
        <v>138</v>
      </c>
      <c r="C46" s="305"/>
      <c r="D46" s="302"/>
      <c r="E46" s="302"/>
      <c r="F46" s="301"/>
      <c r="G46" s="303"/>
      <c r="H46" s="306"/>
      <c r="I46" s="304"/>
      <c r="J46" s="302"/>
      <c r="K46" s="301"/>
      <c r="L46" s="301"/>
      <c r="M46" s="307"/>
      <c r="N46" s="302"/>
      <c r="O46" s="303"/>
      <c r="P46" s="305"/>
      <c r="Q46" s="305"/>
      <c r="R46" s="305"/>
      <c r="S46" s="305"/>
      <c r="T46" s="305"/>
      <c r="U46" s="305"/>
      <c r="V46" s="305"/>
      <c r="W46" s="305"/>
      <c r="X46" s="299"/>
    </row>
    <row r="47" spans="2:24" ht="12" x14ac:dyDescent="0.15">
      <c r="B47" s="300" t="s">
        <v>139</v>
      </c>
      <c r="C47" s="305"/>
      <c r="D47" s="302"/>
      <c r="E47" s="302"/>
      <c r="F47" s="301"/>
      <c r="G47" s="303"/>
      <c r="H47" s="306"/>
      <c r="I47" s="304"/>
      <c r="J47" s="302"/>
      <c r="K47" s="301"/>
      <c r="L47" s="301"/>
      <c r="M47" s="307"/>
      <c r="N47" s="302"/>
      <c r="O47" s="303"/>
      <c r="P47" s="305"/>
      <c r="Q47" s="305"/>
      <c r="R47" s="305"/>
      <c r="S47" s="305"/>
      <c r="T47" s="305"/>
      <c r="U47" s="305"/>
      <c r="V47" s="305"/>
      <c r="W47" s="305"/>
      <c r="X47" s="299"/>
    </row>
    <row r="48" spans="2:24" ht="12" x14ac:dyDescent="0.15">
      <c r="B48" s="300" t="s">
        <v>140</v>
      </c>
      <c r="C48" s="305"/>
      <c r="D48" s="302"/>
      <c r="E48" s="302"/>
      <c r="F48" s="301"/>
      <c r="G48" s="303"/>
      <c r="H48" s="306"/>
      <c r="I48" s="304"/>
      <c r="J48" s="302"/>
      <c r="K48" s="301"/>
      <c r="L48" s="301"/>
      <c r="M48" s="307"/>
      <c r="N48" s="302"/>
      <c r="O48" s="303"/>
      <c r="P48" s="305"/>
      <c r="Q48" s="305"/>
      <c r="R48" s="305"/>
      <c r="S48" s="305"/>
      <c r="T48" s="305"/>
      <c r="U48" s="305"/>
      <c r="V48" s="305"/>
      <c r="W48" s="305"/>
      <c r="X48" s="299"/>
    </row>
    <row r="49" spans="2:24" ht="12" x14ac:dyDescent="0.15">
      <c r="B49" s="300" t="s">
        <v>141</v>
      </c>
      <c r="C49" s="305"/>
      <c r="D49" s="302"/>
      <c r="E49" s="302"/>
      <c r="F49" s="301"/>
      <c r="G49" s="303"/>
      <c r="H49" s="306"/>
      <c r="I49" s="304"/>
      <c r="J49" s="302"/>
      <c r="K49" s="301"/>
      <c r="L49" s="301"/>
      <c r="M49" s="307"/>
      <c r="N49" s="302"/>
      <c r="O49" s="303"/>
      <c r="P49" s="305"/>
      <c r="Q49" s="305"/>
      <c r="R49" s="305"/>
      <c r="S49" s="305"/>
      <c r="T49" s="305"/>
      <c r="U49" s="305"/>
      <c r="V49" s="305"/>
      <c r="W49" s="305"/>
      <c r="X49" s="299"/>
    </row>
    <row r="50" spans="2:24" ht="12" x14ac:dyDescent="0.15">
      <c r="B50" s="300" t="s">
        <v>142</v>
      </c>
      <c r="C50" s="305"/>
      <c r="D50" s="302"/>
      <c r="E50" s="302"/>
      <c r="F50" s="301"/>
      <c r="G50" s="303"/>
      <c r="H50" s="306"/>
      <c r="I50" s="304"/>
      <c r="J50" s="302"/>
      <c r="K50" s="301"/>
      <c r="L50" s="301"/>
      <c r="M50" s="307"/>
      <c r="N50" s="302"/>
      <c r="O50" s="303"/>
      <c r="P50" s="305"/>
      <c r="Q50" s="305"/>
      <c r="R50" s="305"/>
      <c r="S50" s="305"/>
      <c r="T50" s="305"/>
      <c r="U50" s="305"/>
      <c r="V50" s="305"/>
      <c r="W50" s="305"/>
      <c r="X50" s="299"/>
    </row>
    <row r="51" spans="2:24" ht="12" x14ac:dyDescent="0.15">
      <c r="B51" s="300" t="s">
        <v>143</v>
      </c>
      <c r="C51" s="305"/>
      <c r="D51" s="302"/>
      <c r="E51" s="302"/>
      <c r="F51" s="301"/>
      <c r="G51" s="303"/>
      <c r="H51" s="306"/>
      <c r="I51" s="304"/>
      <c r="J51" s="302"/>
      <c r="K51" s="301"/>
      <c r="L51" s="301"/>
      <c r="M51" s="307"/>
      <c r="N51" s="302"/>
      <c r="O51" s="303"/>
      <c r="P51" s="305"/>
      <c r="Q51" s="305"/>
      <c r="R51" s="305"/>
      <c r="S51" s="305"/>
      <c r="T51" s="305"/>
      <c r="U51" s="305"/>
      <c r="V51" s="305"/>
      <c r="W51" s="305"/>
      <c r="X51" s="299"/>
    </row>
    <row r="52" spans="2:24" ht="12" x14ac:dyDescent="0.15">
      <c r="B52" s="300" t="s">
        <v>144</v>
      </c>
      <c r="C52" s="305"/>
      <c r="D52" s="302"/>
      <c r="E52" s="302"/>
      <c r="F52" s="306"/>
      <c r="G52" s="302"/>
      <c r="H52" s="306"/>
      <c r="I52" s="302"/>
      <c r="J52" s="302"/>
      <c r="K52" s="302"/>
      <c r="L52" s="302"/>
      <c r="M52" s="307"/>
      <c r="N52" s="302"/>
      <c r="O52" s="303"/>
      <c r="P52" s="305"/>
      <c r="Q52" s="305"/>
      <c r="R52" s="305"/>
      <c r="S52" s="305"/>
      <c r="T52" s="305"/>
      <c r="U52" s="305"/>
      <c r="V52" s="305"/>
      <c r="W52" s="305"/>
      <c r="X52" s="299"/>
    </row>
    <row r="53" spans="2:24" ht="12" x14ac:dyDescent="0.15">
      <c r="B53" s="298"/>
      <c r="C53" s="308" t="s">
        <v>19</v>
      </c>
      <c r="D53" s="309"/>
      <c r="E53" s="309"/>
      <c r="F53" s="309"/>
      <c r="G53" s="310">
        <f>SUM(G5:G52)</f>
        <v>900000</v>
      </c>
      <c r="H53" s="299"/>
      <c r="I53" s="299"/>
      <c r="J53" s="298"/>
      <c r="K53" s="299"/>
      <c r="L53" s="299"/>
      <c r="M53" s="298"/>
      <c r="N53" s="299"/>
      <c r="O53" s="311"/>
      <c r="P53" s="299"/>
      <c r="Q53" s="299"/>
      <c r="R53" s="299"/>
      <c r="S53" s="299"/>
      <c r="T53" s="299"/>
      <c r="U53" s="299"/>
      <c r="V53" s="299"/>
      <c r="W53" s="299"/>
      <c r="X53" s="299"/>
    </row>
    <row r="54" spans="2:24" ht="12" x14ac:dyDescent="0.15">
      <c r="B54" s="298"/>
      <c r="C54" s="312" t="s">
        <v>74</v>
      </c>
      <c r="D54" s="313"/>
      <c r="E54" s="313"/>
      <c r="F54" s="313"/>
      <c r="G54" s="314">
        <f>'Cap Table'!D74</f>
        <v>15000000</v>
      </c>
      <c r="H54" s="299"/>
      <c r="I54" s="299"/>
      <c r="J54" s="298"/>
      <c r="K54" s="299"/>
      <c r="L54" s="299"/>
      <c r="M54" s="298"/>
      <c r="N54" s="299"/>
      <c r="O54" s="311"/>
      <c r="P54" s="299"/>
      <c r="Q54" s="299"/>
      <c r="R54" s="299"/>
      <c r="S54" s="299"/>
      <c r="T54" s="299"/>
      <c r="U54" s="299"/>
      <c r="V54" s="299"/>
      <c r="W54" s="299"/>
      <c r="X54" s="299"/>
    </row>
    <row r="55" spans="2:24" ht="12" x14ac:dyDescent="0.15">
      <c r="B55" s="298"/>
      <c r="C55" s="299"/>
      <c r="D55" s="299"/>
      <c r="E55" s="299"/>
      <c r="F55" s="299"/>
      <c r="G55" s="315">
        <f>G54-G53</f>
        <v>14100000</v>
      </c>
      <c r="H55" s="299"/>
      <c r="I55" s="299"/>
      <c r="J55" s="298"/>
      <c r="K55" s="299"/>
      <c r="L55" s="299"/>
      <c r="M55" s="298"/>
      <c r="N55" s="299"/>
      <c r="O55" s="311"/>
      <c r="P55" s="299"/>
      <c r="Q55" s="299"/>
      <c r="R55" s="299"/>
      <c r="S55" s="299"/>
      <c r="T55" s="299"/>
      <c r="U55" s="299"/>
      <c r="V55" s="299"/>
      <c r="W55" s="299"/>
      <c r="X55" s="299"/>
    </row>
    <row r="56" spans="2:24" ht="12" x14ac:dyDescent="0.15">
      <c r="B56" s="298"/>
      <c r="C56" s="312" t="s">
        <v>19</v>
      </c>
      <c r="D56" s="313"/>
      <c r="E56" s="313"/>
      <c r="F56" s="313"/>
      <c r="G56" s="316">
        <f>G53/G54</f>
        <v>0.06</v>
      </c>
      <c r="H56" s="299"/>
      <c r="I56" s="299"/>
      <c r="J56" s="298"/>
      <c r="K56" s="299"/>
      <c r="L56" s="299"/>
      <c r="M56" s="298"/>
      <c r="N56" s="299"/>
      <c r="O56" s="311"/>
      <c r="P56" s="299"/>
      <c r="Q56" s="299"/>
      <c r="R56" s="299"/>
      <c r="S56" s="299"/>
      <c r="T56" s="299"/>
      <c r="U56" s="299"/>
      <c r="V56" s="299"/>
      <c r="W56" s="299"/>
      <c r="X56" s="299"/>
    </row>
    <row r="57" spans="2:24" ht="12" x14ac:dyDescent="0.15">
      <c r="B57" s="298"/>
      <c r="C57" s="299"/>
      <c r="D57" s="299"/>
      <c r="E57" s="299"/>
      <c r="F57" s="299"/>
      <c r="G57" s="299"/>
      <c r="H57" s="299"/>
      <c r="I57" s="299"/>
      <c r="J57" s="298"/>
      <c r="K57" s="299"/>
      <c r="L57" s="299"/>
      <c r="M57" s="298"/>
      <c r="N57" s="299"/>
      <c r="O57" s="311"/>
      <c r="P57" s="299"/>
      <c r="Q57" s="299"/>
      <c r="R57" s="299"/>
      <c r="S57" s="299"/>
      <c r="T57" s="299"/>
      <c r="U57" s="299"/>
      <c r="V57" s="299"/>
      <c r="W57" s="299"/>
      <c r="X57" s="299"/>
    </row>
    <row r="58" spans="2:24" x14ac:dyDescent="0.15">
      <c r="O58" s="200"/>
    </row>
    <row r="59" spans="2:24" x14ac:dyDescent="0.15">
      <c r="O59" s="200"/>
    </row>
    <row r="60" spans="2:24" x14ac:dyDescent="0.15">
      <c r="O60" s="200"/>
    </row>
    <row r="61" spans="2:24" x14ac:dyDescent="0.15">
      <c r="O61" s="200"/>
    </row>
    <row r="62" spans="2:24" x14ac:dyDescent="0.15">
      <c r="O62" s="200"/>
    </row>
    <row r="63" spans="2:24" x14ac:dyDescent="0.15">
      <c r="O63" s="200"/>
    </row>
    <row r="64" spans="2:24" x14ac:dyDescent="0.15">
      <c r="O64" s="200"/>
    </row>
    <row r="65" spans="15:15" x14ac:dyDescent="0.15">
      <c r="O65" s="200"/>
    </row>
    <row r="66" spans="15:15" x14ac:dyDescent="0.15">
      <c r="O66" s="200"/>
    </row>
    <row r="67" spans="15:15" x14ac:dyDescent="0.15">
      <c r="O67" s="200"/>
    </row>
    <row r="68" spans="15:15" x14ac:dyDescent="0.15">
      <c r="O68" s="200"/>
    </row>
    <row r="69" spans="15:15" x14ac:dyDescent="0.15">
      <c r="O69" s="200"/>
    </row>
    <row r="70" spans="15:15" x14ac:dyDescent="0.15">
      <c r="O70" s="200"/>
    </row>
    <row r="71" spans="15:15" x14ac:dyDescent="0.15">
      <c r="O71" s="200"/>
    </row>
    <row r="72" spans="15:15" x14ac:dyDescent="0.15">
      <c r="O72" s="200"/>
    </row>
    <row r="73" spans="15:15" x14ac:dyDescent="0.15">
      <c r="O73" s="200"/>
    </row>
    <row r="74" spans="15:15" x14ac:dyDescent="0.15">
      <c r="O74" s="200"/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A57"/>
  <sheetViews>
    <sheetView showGridLines="0" zoomScale="154" zoomScaleNormal="154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I50" sqref="I50"/>
    </sheetView>
  </sheetViews>
  <sheetFormatPr baseColWidth="10" defaultColWidth="9.1640625" defaultRowHeight="11" x14ac:dyDescent="0.15"/>
  <cols>
    <col min="1" max="1" width="2.33203125" style="1" customWidth="1"/>
    <col min="2" max="2" width="20.5" style="1" bestFit="1" customWidth="1"/>
    <col min="3" max="3" width="11.1640625" style="163" bestFit="1" customWidth="1"/>
    <col min="4" max="4" width="13.6640625" style="1" bestFit="1" customWidth="1"/>
    <col min="5" max="5" width="7" style="1" bestFit="1" customWidth="1"/>
    <col min="6" max="6" width="6.33203125" style="1" bestFit="1" customWidth="1"/>
    <col min="7" max="7" width="6.6640625" style="1" bestFit="1" customWidth="1"/>
    <col min="8" max="41" width="7" style="1" bestFit="1" customWidth="1"/>
    <col min="42" max="77" width="8.6640625" style="1" bestFit="1" customWidth="1"/>
    <col min="78" max="16384" width="9.1640625" style="1"/>
  </cols>
  <sheetData>
    <row r="1" spans="1:79" ht="12" x14ac:dyDescent="0.15">
      <c r="A1" s="319"/>
      <c r="B1" s="319"/>
      <c r="C1" s="320"/>
      <c r="D1" s="319"/>
      <c r="E1" s="299"/>
      <c r="F1" s="299"/>
      <c r="G1" s="299"/>
      <c r="H1" s="299"/>
      <c r="I1" s="299"/>
      <c r="J1" s="299"/>
      <c r="K1" s="299"/>
      <c r="L1" s="299"/>
      <c r="M1" s="299"/>
      <c r="N1" s="299"/>
      <c r="O1" s="299"/>
      <c r="P1" s="299"/>
      <c r="Q1" s="299"/>
      <c r="R1" s="299"/>
      <c r="S1" s="299"/>
      <c r="T1" s="299"/>
      <c r="U1" s="299"/>
      <c r="V1" s="299"/>
      <c r="W1" s="299"/>
      <c r="X1" s="299"/>
      <c r="Y1" s="299"/>
      <c r="Z1" s="299"/>
      <c r="AA1" s="299"/>
      <c r="AB1" s="299"/>
      <c r="AC1" s="299"/>
      <c r="AD1" s="299"/>
      <c r="AE1" s="299"/>
      <c r="AF1" s="299"/>
      <c r="AG1" s="299"/>
      <c r="AH1" s="299"/>
      <c r="AI1" s="299"/>
      <c r="AJ1" s="299"/>
      <c r="AK1" s="299"/>
      <c r="AL1" s="299"/>
      <c r="AM1" s="299"/>
      <c r="AN1" s="299"/>
      <c r="AO1" s="299"/>
      <c r="AP1" s="299"/>
      <c r="AQ1" s="299"/>
      <c r="AR1" s="299"/>
      <c r="AS1" s="299"/>
      <c r="AT1" s="299"/>
      <c r="AU1" s="299"/>
      <c r="AV1" s="299"/>
      <c r="AW1" s="299"/>
      <c r="AX1" s="299"/>
      <c r="AY1" s="299"/>
      <c r="AZ1" s="299"/>
      <c r="BA1" s="299"/>
      <c r="BB1" s="299"/>
      <c r="BC1" s="299"/>
      <c r="BD1" s="299"/>
      <c r="BE1" s="299"/>
      <c r="BF1" s="299"/>
      <c r="BG1" s="299"/>
      <c r="BH1" s="299"/>
      <c r="BI1" s="299"/>
      <c r="BJ1" s="299"/>
      <c r="BK1" s="299"/>
      <c r="BL1" s="299"/>
      <c r="BM1" s="299"/>
      <c r="BN1" s="299"/>
      <c r="BO1" s="299"/>
      <c r="BP1" s="299"/>
      <c r="BQ1" s="299"/>
      <c r="BR1" s="299"/>
      <c r="BS1" s="299"/>
      <c r="BT1" s="299"/>
      <c r="BU1" s="299"/>
      <c r="BV1" s="299"/>
      <c r="BW1" s="299"/>
      <c r="BX1" s="299"/>
      <c r="BY1" s="299"/>
      <c r="BZ1" s="299"/>
      <c r="CA1" s="299"/>
    </row>
    <row r="2" spans="1:79" ht="12" x14ac:dyDescent="0.15">
      <c r="A2" s="319"/>
      <c r="B2" s="321" t="s">
        <v>17</v>
      </c>
      <c r="C2" s="322"/>
      <c r="D2" s="319"/>
      <c r="E2" s="299"/>
      <c r="F2" s="299"/>
      <c r="G2" s="299"/>
      <c r="H2" s="299"/>
      <c r="I2" s="299"/>
      <c r="J2" s="299"/>
      <c r="K2" s="299"/>
      <c r="L2" s="299"/>
      <c r="M2" s="299"/>
      <c r="N2" s="299"/>
      <c r="O2" s="299"/>
      <c r="P2" s="299"/>
      <c r="Q2" s="299"/>
      <c r="R2" s="299"/>
      <c r="S2" s="299"/>
      <c r="T2" s="299"/>
      <c r="U2" s="299"/>
      <c r="V2" s="299"/>
      <c r="W2" s="299"/>
      <c r="X2" s="299"/>
      <c r="Y2" s="299"/>
      <c r="Z2" s="299"/>
      <c r="AA2" s="299"/>
      <c r="AB2" s="299"/>
      <c r="AC2" s="299"/>
      <c r="AD2" s="299"/>
      <c r="AE2" s="299"/>
      <c r="AF2" s="299"/>
      <c r="AG2" s="299"/>
      <c r="AH2" s="299"/>
      <c r="AI2" s="299"/>
      <c r="AJ2" s="299"/>
      <c r="AK2" s="299"/>
      <c r="AL2" s="299"/>
      <c r="AM2" s="299"/>
      <c r="AN2" s="299"/>
      <c r="AO2" s="299"/>
      <c r="AP2" s="299"/>
      <c r="AQ2" s="299"/>
      <c r="AR2" s="299"/>
      <c r="AS2" s="299"/>
      <c r="AT2" s="299"/>
      <c r="AU2" s="299"/>
      <c r="AV2" s="299"/>
      <c r="AW2" s="299"/>
      <c r="AX2" s="299"/>
      <c r="AY2" s="299"/>
      <c r="AZ2" s="299"/>
      <c r="BA2" s="299"/>
      <c r="BB2" s="299"/>
      <c r="BC2" s="299"/>
      <c r="BD2" s="299"/>
      <c r="BE2" s="299"/>
      <c r="BF2" s="299"/>
      <c r="BG2" s="299"/>
      <c r="BH2" s="299"/>
      <c r="BI2" s="299"/>
      <c r="BJ2" s="299"/>
      <c r="BK2" s="299"/>
      <c r="BL2" s="299"/>
      <c r="BM2" s="299"/>
      <c r="BN2" s="299"/>
      <c r="BO2" s="299"/>
      <c r="BP2" s="299"/>
      <c r="BQ2" s="299"/>
      <c r="BR2" s="299"/>
      <c r="BS2" s="299"/>
      <c r="BT2" s="299"/>
      <c r="BU2" s="299"/>
      <c r="BV2" s="299"/>
      <c r="BW2" s="299"/>
      <c r="BX2" s="299"/>
      <c r="BY2" s="299"/>
      <c r="BZ2" s="299"/>
      <c r="CA2" s="299"/>
    </row>
    <row r="3" spans="1:79" ht="12" x14ac:dyDescent="0.15">
      <c r="A3" s="319"/>
      <c r="B3" s="319"/>
      <c r="C3" s="320"/>
      <c r="D3" s="319"/>
      <c r="E3" s="299"/>
      <c r="F3" s="299"/>
      <c r="G3" s="299"/>
      <c r="H3" s="299"/>
      <c r="I3" s="299"/>
      <c r="J3" s="299"/>
      <c r="K3" s="299"/>
      <c r="L3" s="299"/>
      <c r="M3" s="299"/>
      <c r="N3" s="299"/>
      <c r="O3" s="299"/>
      <c r="P3" s="299"/>
      <c r="Q3" s="299"/>
      <c r="R3" s="299"/>
      <c r="S3" s="299"/>
      <c r="T3" s="299"/>
      <c r="U3" s="299"/>
      <c r="V3" s="299"/>
      <c r="W3" s="299"/>
      <c r="X3" s="299"/>
      <c r="Y3" s="299"/>
      <c r="Z3" s="299"/>
      <c r="AA3" s="299"/>
      <c r="AB3" s="299"/>
      <c r="AC3" s="299"/>
      <c r="AD3" s="299"/>
      <c r="AE3" s="299"/>
      <c r="AF3" s="299"/>
      <c r="AG3" s="299"/>
      <c r="AH3" s="299"/>
      <c r="AI3" s="299"/>
      <c r="AJ3" s="299"/>
      <c r="AK3" s="299"/>
      <c r="AL3" s="299"/>
      <c r="AM3" s="299"/>
      <c r="AN3" s="299"/>
      <c r="AO3" s="299"/>
      <c r="AP3" s="299"/>
      <c r="AQ3" s="299"/>
      <c r="AR3" s="299"/>
      <c r="AS3" s="299"/>
      <c r="AT3" s="299"/>
      <c r="AU3" s="299"/>
      <c r="AV3" s="299"/>
      <c r="AW3" s="299"/>
      <c r="AX3" s="299"/>
      <c r="AY3" s="299"/>
      <c r="AZ3" s="299"/>
      <c r="BA3" s="299" t="s">
        <v>123</v>
      </c>
      <c r="BB3" s="299"/>
      <c r="BC3" s="299"/>
      <c r="BD3" s="299"/>
      <c r="BE3" s="299"/>
      <c r="BF3" s="299"/>
      <c r="BG3" s="299"/>
      <c r="BH3" s="299"/>
      <c r="BI3" s="299"/>
      <c r="BJ3" s="299"/>
      <c r="BK3" s="299"/>
      <c r="BL3" s="299"/>
      <c r="BM3" s="299"/>
      <c r="BN3" s="299"/>
      <c r="BO3" s="299"/>
      <c r="BP3" s="299"/>
      <c r="BQ3" s="299"/>
      <c r="BR3" s="299"/>
      <c r="BS3" s="299"/>
      <c r="BT3" s="299"/>
      <c r="BU3" s="299"/>
      <c r="BV3" s="299"/>
      <c r="BW3" s="299"/>
      <c r="BX3" s="299"/>
      <c r="BY3" s="299"/>
      <c r="BZ3" s="299"/>
      <c r="CA3" s="299"/>
    </row>
    <row r="4" spans="1:79" s="159" customFormat="1" ht="13" x14ac:dyDescent="0.15">
      <c r="A4" s="323"/>
      <c r="B4" s="345" t="s">
        <v>12</v>
      </c>
      <c r="C4" s="324" t="s">
        <v>18</v>
      </c>
      <c r="D4" s="324" t="s">
        <v>19</v>
      </c>
      <c r="E4" s="325">
        <v>45139</v>
      </c>
      <c r="F4" s="325">
        <v>45170</v>
      </c>
      <c r="G4" s="325">
        <v>45200</v>
      </c>
      <c r="H4" s="325">
        <v>45231</v>
      </c>
      <c r="I4" s="325">
        <v>45261</v>
      </c>
      <c r="J4" s="325">
        <v>45292</v>
      </c>
      <c r="K4" s="325">
        <v>45323</v>
      </c>
      <c r="L4" s="325">
        <v>45352</v>
      </c>
      <c r="M4" s="325">
        <v>45383</v>
      </c>
      <c r="N4" s="325">
        <v>45413</v>
      </c>
      <c r="O4" s="325">
        <v>45444</v>
      </c>
      <c r="P4" s="325">
        <v>45474</v>
      </c>
      <c r="Q4" s="325">
        <v>45505</v>
      </c>
      <c r="R4" s="325">
        <v>45536</v>
      </c>
      <c r="S4" s="325">
        <v>45566</v>
      </c>
      <c r="T4" s="325">
        <v>45597</v>
      </c>
      <c r="U4" s="325">
        <v>45627</v>
      </c>
      <c r="V4" s="325">
        <v>45658</v>
      </c>
      <c r="W4" s="325">
        <v>45689</v>
      </c>
      <c r="X4" s="325">
        <v>45717</v>
      </c>
      <c r="Y4" s="325">
        <v>45748</v>
      </c>
      <c r="Z4" s="325">
        <v>45778</v>
      </c>
      <c r="AA4" s="325">
        <v>45809</v>
      </c>
      <c r="AB4" s="325">
        <v>45839</v>
      </c>
      <c r="AC4" s="325">
        <v>45870</v>
      </c>
      <c r="AD4" s="325">
        <v>45901</v>
      </c>
      <c r="AE4" s="325">
        <v>45931</v>
      </c>
      <c r="AF4" s="325">
        <v>45962</v>
      </c>
      <c r="AG4" s="325">
        <v>45992</v>
      </c>
      <c r="AH4" s="325">
        <v>46023</v>
      </c>
      <c r="AI4" s="325">
        <v>46054</v>
      </c>
      <c r="AJ4" s="325">
        <v>46082</v>
      </c>
      <c r="AK4" s="325">
        <v>46113</v>
      </c>
      <c r="AL4" s="325">
        <v>46143</v>
      </c>
      <c r="AM4" s="325">
        <v>46174</v>
      </c>
      <c r="AN4" s="325">
        <v>46204</v>
      </c>
      <c r="AO4" s="325">
        <v>46235</v>
      </c>
      <c r="AP4" s="325">
        <v>46266</v>
      </c>
      <c r="AQ4" s="325">
        <v>46296</v>
      </c>
      <c r="AR4" s="325">
        <v>46327</v>
      </c>
      <c r="AS4" s="325">
        <v>46357</v>
      </c>
      <c r="AT4" s="325">
        <v>46388</v>
      </c>
      <c r="AU4" s="325">
        <v>46419</v>
      </c>
      <c r="AV4" s="325">
        <v>46447</v>
      </c>
      <c r="AW4" s="325">
        <v>46478</v>
      </c>
      <c r="AX4" s="325">
        <v>46508</v>
      </c>
      <c r="AY4" s="325">
        <v>46539</v>
      </c>
      <c r="AZ4" s="325">
        <v>46569</v>
      </c>
      <c r="BA4" s="325">
        <v>46600</v>
      </c>
      <c r="BB4" s="325">
        <v>46631</v>
      </c>
      <c r="BC4" s="325">
        <v>46661</v>
      </c>
      <c r="BD4" s="325">
        <v>46692</v>
      </c>
      <c r="BE4" s="325">
        <v>46722</v>
      </c>
      <c r="BF4" s="325">
        <v>46753</v>
      </c>
      <c r="BG4" s="325">
        <v>46784</v>
      </c>
      <c r="BH4" s="325">
        <v>46813</v>
      </c>
      <c r="BI4" s="325">
        <v>46844</v>
      </c>
      <c r="BJ4" s="325">
        <v>46874</v>
      </c>
      <c r="BK4" s="325">
        <v>46905</v>
      </c>
      <c r="BL4" s="325">
        <v>46935</v>
      </c>
      <c r="BM4" s="325">
        <v>46966</v>
      </c>
      <c r="BN4" s="325">
        <v>46997</v>
      </c>
      <c r="BO4" s="325">
        <v>47027</v>
      </c>
      <c r="BP4" s="325">
        <v>47058</v>
      </c>
      <c r="BQ4" s="325">
        <v>47088</v>
      </c>
      <c r="BR4" s="325">
        <v>47119</v>
      </c>
      <c r="BS4" s="325">
        <v>47150</v>
      </c>
      <c r="BT4" s="325">
        <v>47178</v>
      </c>
      <c r="BU4" s="325">
        <v>47209</v>
      </c>
      <c r="BV4" s="325">
        <v>47239</v>
      </c>
      <c r="BW4" s="325">
        <v>47270</v>
      </c>
      <c r="BX4" s="325">
        <v>47300</v>
      </c>
      <c r="BY4" s="325">
        <v>47331</v>
      </c>
      <c r="BZ4" s="323"/>
      <c r="CA4" s="323"/>
    </row>
    <row r="5" spans="1:79" ht="6" customHeight="1" x14ac:dyDescent="0.15">
      <c r="A5" s="299"/>
      <c r="B5" s="305"/>
      <c r="C5" s="302"/>
      <c r="D5" s="315"/>
      <c r="E5" s="315"/>
      <c r="F5" s="315"/>
      <c r="G5" s="315"/>
      <c r="H5" s="315"/>
      <c r="I5" s="315"/>
      <c r="J5" s="315"/>
      <c r="K5" s="315"/>
      <c r="L5" s="315"/>
      <c r="M5" s="315"/>
      <c r="N5" s="315"/>
      <c r="O5" s="315"/>
      <c r="P5" s="315"/>
      <c r="Q5" s="315"/>
      <c r="R5" s="315"/>
      <c r="S5" s="315"/>
      <c r="T5" s="315"/>
      <c r="U5" s="315"/>
      <c r="V5" s="315"/>
      <c r="W5" s="315"/>
      <c r="X5" s="315"/>
      <c r="Y5" s="315"/>
      <c r="Z5" s="315"/>
      <c r="AA5" s="315"/>
      <c r="AB5" s="315"/>
      <c r="AC5" s="315"/>
      <c r="AD5" s="315"/>
      <c r="AE5" s="315"/>
      <c r="AF5" s="315"/>
      <c r="AG5" s="315"/>
      <c r="AH5" s="315"/>
      <c r="AI5" s="315"/>
      <c r="AJ5" s="315"/>
      <c r="AK5" s="315"/>
      <c r="AL5" s="315"/>
      <c r="AM5" s="315"/>
      <c r="AN5" s="315"/>
      <c r="AO5" s="315"/>
      <c r="AP5" s="315"/>
      <c r="AQ5" s="315"/>
      <c r="AR5" s="315"/>
      <c r="AS5" s="315"/>
      <c r="AT5" s="315"/>
      <c r="AU5" s="315"/>
      <c r="AV5" s="315"/>
      <c r="AW5" s="315"/>
      <c r="AX5" s="315"/>
      <c r="AY5" s="315"/>
      <c r="AZ5" s="315"/>
      <c r="BA5" s="315"/>
      <c r="BB5" s="315"/>
      <c r="BC5" s="315"/>
      <c r="BD5" s="315"/>
      <c r="BE5" s="315"/>
      <c r="BF5" s="315"/>
      <c r="BG5" s="315"/>
      <c r="BH5" s="315"/>
      <c r="BI5" s="315"/>
      <c r="BJ5" s="315"/>
      <c r="BK5" s="315"/>
      <c r="BL5" s="315"/>
      <c r="BM5" s="315"/>
      <c r="BN5" s="315"/>
      <c r="BO5" s="315"/>
      <c r="BP5" s="315"/>
      <c r="BQ5" s="315"/>
      <c r="BR5" s="315"/>
      <c r="BS5" s="315"/>
      <c r="BT5" s="315"/>
      <c r="BU5" s="315"/>
      <c r="BV5" s="315"/>
      <c r="BW5" s="315"/>
      <c r="BX5" s="315"/>
      <c r="BY5" s="315"/>
      <c r="BZ5" s="299"/>
      <c r="CA5" s="299"/>
    </row>
    <row r="6" spans="1:79" s="182" customFormat="1" ht="12" x14ac:dyDescent="0.15">
      <c r="A6" s="319"/>
      <c r="B6" s="467" t="s">
        <v>191</v>
      </c>
      <c r="C6" s="327">
        <v>1</v>
      </c>
      <c r="D6" s="328">
        <v>100000</v>
      </c>
      <c r="E6" s="328">
        <f>D6*0.25</f>
        <v>25000</v>
      </c>
      <c r="F6" s="328">
        <f>$D$6*(1/48)</f>
        <v>2083.333333333333</v>
      </c>
      <c r="G6" s="328">
        <f t="shared" ref="G6:BA6" si="0">$D$6*(1/48)</f>
        <v>2083.333333333333</v>
      </c>
      <c r="H6" s="328">
        <f t="shared" si="0"/>
        <v>2083.333333333333</v>
      </c>
      <c r="I6" s="328">
        <f t="shared" si="0"/>
        <v>2083.333333333333</v>
      </c>
      <c r="J6" s="328">
        <f t="shared" si="0"/>
        <v>2083.333333333333</v>
      </c>
      <c r="K6" s="328">
        <f t="shared" si="0"/>
        <v>2083.333333333333</v>
      </c>
      <c r="L6" s="328">
        <f t="shared" si="0"/>
        <v>2083.333333333333</v>
      </c>
      <c r="M6" s="328">
        <f t="shared" si="0"/>
        <v>2083.333333333333</v>
      </c>
      <c r="N6" s="328">
        <f t="shared" si="0"/>
        <v>2083.333333333333</v>
      </c>
      <c r="O6" s="328">
        <f t="shared" si="0"/>
        <v>2083.333333333333</v>
      </c>
      <c r="P6" s="328">
        <f t="shared" si="0"/>
        <v>2083.333333333333</v>
      </c>
      <c r="Q6" s="328">
        <f t="shared" si="0"/>
        <v>2083.333333333333</v>
      </c>
      <c r="R6" s="328">
        <f t="shared" si="0"/>
        <v>2083.333333333333</v>
      </c>
      <c r="S6" s="328">
        <f t="shared" si="0"/>
        <v>2083.333333333333</v>
      </c>
      <c r="T6" s="328">
        <f t="shared" si="0"/>
        <v>2083.333333333333</v>
      </c>
      <c r="U6" s="328">
        <f t="shared" si="0"/>
        <v>2083.333333333333</v>
      </c>
      <c r="V6" s="328">
        <f t="shared" si="0"/>
        <v>2083.333333333333</v>
      </c>
      <c r="W6" s="328">
        <f t="shared" si="0"/>
        <v>2083.333333333333</v>
      </c>
      <c r="X6" s="328">
        <f t="shared" si="0"/>
        <v>2083.333333333333</v>
      </c>
      <c r="Y6" s="328">
        <f t="shared" si="0"/>
        <v>2083.333333333333</v>
      </c>
      <c r="Z6" s="328">
        <f t="shared" si="0"/>
        <v>2083.333333333333</v>
      </c>
      <c r="AA6" s="328">
        <f t="shared" si="0"/>
        <v>2083.333333333333</v>
      </c>
      <c r="AB6" s="328">
        <f t="shared" si="0"/>
        <v>2083.333333333333</v>
      </c>
      <c r="AC6" s="328">
        <f t="shared" si="0"/>
        <v>2083.333333333333</v>
      </c>
      <c r="AD6" s="328">
        <f t="shared" si="0"/>
        <v>2083.333333333333</v>
      </c>
      <c r="AE6" s="328">
        <f t="shared" si="0"/>
        <v>2083.333333333333</v>
      </c>
      <c r="AF6" s="328">
        <f t="shared" si="0"/>
        <v>2083.333333333333</v>
      </c>
      <c r="AG6" s="328">
        <f t="shared" si="0"/>
        <v>2083.333333333333</v>
      </c>
      <c r="AH6" s="328">
        <f t="shared" si="0"/>
        <v>2083.333333333333</v>
      </c>
      <c r="AI6" s="328">
        <f t="shared" si="0"/>
        <v>2083.333333333333</v>
      </c>
      <c r="AJ6" s="328">
        <f t="shared" si="0"/>
        <v>2083.333333333333</v>
      </c>
      <c r="AK6" s="328">
        <f t="shared" si="0"/>
        <v>2083.333333333333</v>
      </c>
      <c r="AL6" s="328">
        <f t="shared" si="0"/>
        <v>2083.333333333333</v>
      </c>
      <c r="AM6" s="328">
        <f t="shared" si="0"/>
        <v>2083.333333333333</v>
      </c>
      <c r="AN6" s="328">
        <f t="shared" si="0"/>
        <v>2083.333333333333</v>
      </c>
      <c r="AO6" s="328">
        <f t="shared" si="0"/>
        <v>2083.333333333333</v>
      </c>
      <c r="AP6" s="328">
        <f t="shared" si="0"/>
        <v>2083.333333333333</v>
      </c>
      <c r="AQ6" s="328">
        <f t="shared" si="0"/>
        <v>2083.333333333333</v>
      </c>
      <c r="AR6" s="328">
        <f t="shared" si="0"/>
        <v>2083.333333333333</v>
      </c>
      <c r="AS6" s="328">
        <f t="shared" si="0"/>
        <v>2083.333333333333</v>
      </c>
      <c r="AT6" s="328">
        <f t="shared" si="0"/>
        <v>2083.333333333333</v>
      </c>
      <c r="AU6" s="328">
        <f t="shared" si="0"/>
        <v>2083.333333333333</v>
      </c>
      <c r="AV6" s="328">
        <f t="shared" si="0"/>
        <v>2083.333333333333</v>
      </c>
      <c r="AW6" s="328">
        <f t="shared" si="0"/>
        <v>2083.333333333333</v>
      </c>
      <c r="AX6" s="328">
        <f t="shared" si="0"/>
        <v>2083.333333333333</v>
      </c>
      <c r="AY6" s="328">
        <f t="shared" si="0"/>
        <v>2083.333333333333</v>
      </c>
      <c r="AZ6" s="328">
        <f t="shared" si="0"/>
        <v>2083.333333333333</v>
      </c>
      <c r="BA6" s="328">
        <f t="shared" si="0"/>
        <v>2083.333333333333</v>
      </c>
      <c r="BB6" s="328"/>
      <c r="BC6" s="328"/>
      <c r="BD6" s="328"/>
      <c r="BE6" s="328"/>
      <c r="BF6" s="328"/>
      <c r="BG6" s="328"/>
      <c r="BH6" s="328"/>
      <c r="BI6" s="328"/>
      <c r="BJ6" s="328"/>
      <c r="BK6" s="328"/>
      <c r="BL6" s="328"/>
      <c r="BM6" s="328"/>
      <c r="BN6" s="328"/>
      <c r="BO6" s="328"/>
      <c r="BP6" s="328"/>
      <c r="BQ6" s="328"/>
      <c r="BR6" s="328"/>
      <c r="BS6" s="328"/>
      <c r="BT6" s="328"/>
      <c r="BU6" s="328"/>
      <c r="BV6" s="328"/>
      <c r="BW6" s="328"/>
      <c r="BX6" s="328"/>
      <c r="BY6" s="328"/>
      <c r="BZ6" s="319"/>
      <c r="CA6" s="319"/>
    </row>
    <row r="7" spans="1:79" s="182" customFormat="1" ht="12" x14ac:dyDescent="0.15">
      <c r="A7" s="319"/>
      <c r="B7" s="467" t="s">
        <v>192</v>
      </c>
      <c r="C7" s="327">
        <v>2</v>
      </c>
      <c r="D7" s="328">
        <v>100000</v>
      </c>
      <c r="E7" s="328">
        <f t="shared" ref="E7:E13" si="1">D7*0.25</f>
        <v>25000</v>
      </c>
      <c r="F7" s="328">
        <f>$D$7*(1/48)</f>
        <v>2083.333333333333</v>
      </c>
      <c r="G7" s="328">
        <f t="shared" ref="G7:BA7" si="2">$D$7*(1/48)</f>
        <v>2083.333333333333</v>
      </c>
      <c r="H7" s="328">
        <f t="shared" si="2"/>
        <v>2083.333333333333</v>
      </c>
      <c r="I7" s="328">
        <f t="shared" si="2"/>
        <v>2083.333333333333</v>
      </c>
      <c r="J7" s="328">
        <f t="shared" si="2"/>
        <v>2083.333333333333</v>
      </c>
      <c r="K7" s="328">
        <f t="shared" si="2"/>
        <v>2083.333333333333</v>
      </c>
      <c r="L7" s="328">
        <f t="shared" si="2"/>
        <v>2083.333333333333</v>
      </c>
      <c r="M7" s="328">
        <f t="shared" si="2"/>
        <v>2083.333333333333</v>
      </c>
      <c r="N7" s="328">
        <f t="shared" si="2"/>
        <v>2083.333333333333</v>
      </c>
      <c r="O7" s="328">
        <f t="shared" si="2"/>
        <v>2083.333333333333</v>
      </c>
      <c r="P7" s="328">
        <f t="shared" si="2"/>
        <v>2083.333333333333</v>
      </c>
      <c r="Q7" s="328">
        <f t="shared" si="2"/>
        <v>2083.333333333333</v>
      </c>
      <c r="R7" s="328">
        <f t="shared" si="2"/>
        <v>2083.333333333333</v>
      </c>
      <c r="S7" s="328">
        <f t="shared" si="2"/>
        <v>2083.333333333333</v>
      </c>
      <c r="T7" s="328">
        <f t="shared" si="2"/>
        <v>2083.333333333333</v>
      </c>
      <c r="U7" s="328">
        <f t="shared" si="2"/>
        <v>2083.333333333333</v>
      </c>
      <c r="V7" s="328">
        <f t="shared" si="2"/>
        <v>2083.333333333333</v>
      </c>
      <c r="W7" s="328">
        <f t="shared" si="2"/>
        <v>2083.333333333333</v>
      </c>
      <c r="X7" s="328">
        <f t="shared" si="2"/>
        <v>2083.333333333333</v>
      </c>
      <c r="Y7" s="328">
        <f t="shared" si="2"/>
        <v>2083.333333333333</v>
      </c>
      <c r="Z7" s="328">
        <f t="shared" si="2"/>
        <v>2083.333333333333</v>
      </c>
      <c r="AA7" s="328">
        <f t="shared" si="2"/>
        <v>2083.333333333333</v>
      </c>
      <c r="AB7" s="328">
        <f t="shared" si="2"/>
        <v>2083.333333333333</v>
      </c>
      <c r="AC7" s="328">
        <f t="shared" si="2"/>
        <v>2083.333333333333</v>
      </c>
      <c r="AD7" s="328">
        <f t="shared" si="2"/>
        <v>2083.333333333333</v>
      </c>
      <c r="AE7" s="328">
        <f t="shared" si="2"/>
        <v>2083.333333333333</v>
      </c>
      <c r="AF7" s="328">
        <f t="shared" si="2"/>
        <v>2083.333333333333</v>
      </c>
      <c r="AG7" s="328">
        <f t="shared" si="2"/>
        <v>2083.333333333333</v>
      </c>
      <c r="AH7" s="328">
        <f t="shared" si="2"/>
        <v>2083.333333333333</v>
      </c>
      <c r="AI7" s="328">
        <f t="shared" si="2"/>
        <v>2083.333333333333</v>
      </c>
      <c r="AJ7" s="328">
        <f t="shared" si="2"/>
        <v>2083.333333333333</v>
      </c>
      <c r="AK7" s="328">
        <f t="shared" si="2"/>
        <v>2083.333333333333</v>
      </c>
      <c r="AL7" s="328">
        <f t="shared" si="2"/>
        <v>2083.333333333333</v>
      </c>
      <c r="AM7" s="328">
        <f t="shared" si="2"/>
        <v>2083.333333333333</v>
      </c>
      <c r="AN7" s="328">
        <f t="shared" si="2"/>
        <v>2083.333333333333</v>
      </c>
      <c r="AO7" s="328">
        <f t="shared" si="2"/>
        <v>2083.333333333333</v>
      </c>
      <c r="AP7" s="328">
        <f t="shared" si="2"/>
        <v>2083.333333333333</v>
      </c>
      <c r="AQ7" s="328">
        <f t="shared" si="2"/>
        <v>2083.333333333333</v>
      </c>
      <c r="AR7" s="328">
        <f t="shared" si="2"/>
        <v>2083.333333333333</v>
      </c>
      <c r="AS7" s="328">
        <f t="shared" si="2"/>
        <v>2083.333333333333</v>
      </c>
      <c r="AT7" s="328">
        <f t="shared" si="2"/>
        <v>2083.333333333333</v>
      </c>
      <c r="AU7" s="328">
        <f t="shared" si="2"/>
        <v>2083.333333333333</v>
      </c>
      <c r="AV7" s="328">
        <f t="shared" si="2"/>
        <v>2083.333333333333</v>
      </c>
      <c r="AW7" s="328">
        <f t="shared" si="2"/>
        <v>2083.333333333333</v>
      </c>
      <c r="AX7" s="328">
        <f t="shared" si="2"/>
        <v>2083.333333333333</v>
      </c>
      <c r="AY7" s="328">
        <f t="shared" si="2"/>
        <v>2083.333333333333</v>
      </c>
      <c r="AZ7" s="328">
        <f t="shared" si="2"/>
        <v>2083.333333333333</v>
      </c>
      <c r="BA7" s="328">
        <f t="shared" si="2"/>
        <v>2083.333333333333</v>
      </c>
      <c r="BB7" s="328"/>
      <c r="BC7" s="328"/>
      <c r="BD7" s="328"/>
      <c r="BE7" s="328"/>
      <c r="BF7" s="328"/>
      <c r="BG7" s="328"/>
      <c r="BH7" s="328"/>
      <c r="BI7" s="328"/>
      <c r="BJ7" s="328"/>
      <c r="BK7" s="328"/>
      <c r="BL7" s="328"/>
      <c r="BM7" s="328"/>
      <c r="BN7" s="328"/>
      <c r="BO7" s="328"/>
      <c r="BP7" s="328"/>
      <c r="BQ7" s="328"/>
      <c r="BR7" s="328"/>
      <c r="BS7" s="328"/>
      <c r="BT7" s="328"/>
      <c r="BU7" s="328"/>
      <c r="BV7" s="328"/>
      <c r="BW7" s="328"/>
      <c r="BX7" s="328"/>
      <c r="BY7" s="328"/>
      <c r="BZ7" s="319"/>
      <c r="CA7" s="319"/>
    </row>
    <row r="8" spans="1:79" s="182" customFormat="1" ht="12" x14ac:dyDescent="0.15">
      <c r="A8" s="319"/>
      <c r="B8" s="467" t="s">
        <v>201</v>
      </c>
      <c r="C8" s="327">
        <v>3</v>
      </c>
      <c r="D8" s="328">
        <v>100000</v>
      </c>
      <c r="E8" s="328">
        <f t="shared" si="1"/>
        <v>25000</v>
      </c>
      <c r="F8" s="328">
        <f>$D$8*(1/48)</f>
        <v>2083.333333333333</v>
      </c>
      <c r="G8" s="328">
        <f t="shared" ref="G8:BA8" si="3">$D$8*(1/48)</f>
        <v>2083.333333333333</v>
      </c>
      <c r="H8" s="328">
        <f t="shared" si="3"/>
        <v>2083.333333333333</v>
      </c>
      <c r="I8" s="328">
        <f t="shared" si="3"/>
        <v>2083.333333333333</v>
      </c>
      <c r="J8" s="328">
        <f t="shared" si="3"/>
        <v>2083.333333333333</v>
      </c>
      <c r="K8" s="328">
        <f t="shared" si="3"/>
        <v>2083.333333333333</v>
      </c>
      <c r="L8" s="328">
        <f t="shared" si="3"/>
        <v>2083.333333333333</v>
      </c>
      <c r="M8" s="328">
        <f t="shared" si="3"/>
        <v>2083.333333333333</v>
      </c>
      <c r="N8" s="328">
        <f t="shared" si="3"/>
        <v>2083.333333333333</v>
      </c>
      <c r="O8" s="328">
        <f t="shared" si="3"/>
        <v>2083.333333333333</v>
      </c>
      <c r="P8" s="328">
        <f t="shared" si="3"/>
        <v>2083.333333333333</v>
      </c>
      <c r="Q8" s="328">
        <f t="shared" si="3"/>
        <v>2083.333333333333</v>
      </c>
      <c r="R8" s="328">
        <f t="shared" si="3"/>
        <v>2083.333333333333</v>
      </c>
      <c r="S8" s="328">
        <f t="shared" si="3"/>
        <v>2083.333333333333</v>
      </c>
      <c r="T8" s="328">
        <f t="shared" si="3"/>
        <v>2083.333333333333</v>
      </c>
      <c r="U8" s="328">
        <f t="shared" si="3"/>
        <v>2083.333333333333</v>
      </c>
      <c r="V8" s="328">
        <f t="shared" si="3"/>
        <v>2083.333333333333</v>
      </c>
      <c r="W8" s="328">
        <f t="shared" si="3"/>
        <v>2083.333333333333</v>
      </c>
      <c r="X8" s="328">
        <f t="shared" si="3"/>
        <v>2083.333333333333</v>
      </c>
      <c r="Y8" s="328">
        <f t="shared" si="3"/>
        <v>2083.333333333333</v>
      </c>
      <c r="Z8" s="328">
        <f t="shared" si="3"/>
        <v>2083.333333333333</v>
      </c>
      <c r="AA8" s="328">
        <f t="shared" si="3"/>
        <v>2083.333333333333</v>
      </c>
      <c r="AB8" s="328">
        <f t="shared" si="3"/>
        <v>2083.333333333333</v>
      </c>
      <c r="AC8" s="328">
        <f t="shared" si="3"/>
        <v>2083.333333333333</v>
      </c>
      <c r="AD8" s="328">
        <f t="shared" si="3"/>
        <v>2083.333333333333</v>
      </c>
      <c r="AE8" s="328">
        <f t="shared" si="3"/>
        <v>2083.333333333333</v>
      </c>
      <c r="AF8" s="328">
        <f t="shared" si="3"/>
        <v>2083.333333333333</v>
      </c>
      <c r="AG8" s="328">
        <f t="shared" si="3"/>
        <v>2083.333333333333</v>
      </c>
      <c r="AH8" s="328">
        <f t="shared" si="3"/>
        <v>2083.333333333333</v>
      </c>
      <c r="AI8" s="328">
        <f t="shared" si="3"/>
        <v>2083.333333333333</v>
      </c>
      <c r="AJ8" s="328">
        <f t="shared" si="3"/>
        <v>2083.333333333333</v>
      </c>
      <c r="AK8" s="328">
        <f t="shared" si="3"/>
        <v>2083.333333333333</v>
      </c>
      <c r="AL8" s="328">
        <f t="shared" si="3"/>
        <v>2083.333333333333</v>
      </c>
      <c r="AM8" s="328">
        <f t="shared" si="3"/>
        <v>2083.333333333333</v>
      </c>
      <c r="AN8" s="328">
        <f t="shared" si="3"/>
        <v>2083.333333333333</v>
      </c>
      <c r="AO8" s="328">
        <f t="shared" si="3"/>
        <v>2083.333333333333</v>
      </c>
      <c r="AP8" s="328">
        <f t="shared" si="3"/>
        <v>2083.333333333333</v>
      </c>
      <c r="AQ8" s="328">
        <f t="shared" si="3"/>
        <v>2083.333333333333</v>
      </c>
      <c r="AR8" s="328">
        <f t="shared" si="3"/>
        <v>2083.333333333333</v>
      </c>
      <c r="AS8" s="328">
        <f t="shared" si="3"/>
        <v>2083.333333333333</v>
      </c>
      <c r="AT8" s="328">
        <f t="shared" si="3"/>
        <v>2083.333333333333</v>
      </c>
      <c r="AU8" s="328">
        <f t="shared" si="3"/>
        <v>2083.333333333333</v>
      </c>
      <c r="AV8" s="328">
        <f t="shared" si="3"/>
        <v>2083.333333333333</v>
      </c>
      <c r="AW8" s="328">
        <f t="shared" si="3"/>
        <v>2083.333333333333</v>
      </c>
      <c r="AX8" s="328">
        <f t="shared" si="3"/>
        <v>2083.333333333333</v>
      </c>
      <c r="AY8" s="328">
        <f t="shared" si="3"/>
        <v>2083.333333333333</v>
      </c>
      <c r="AZ8" s="328">
        <f t="shared" si="3"/>
        <v>2083.333333333333</v>
      </c>
      <c r="BA8" s="328">
        <f t="shared" si="3"/>
        <v>2083.333333333333</v>
      </c>
      <c r="BB8" s="328"/>
      <c r="BC8" s="328"/>
      <c r="BD8" s="328"/>
      <c r="BE8" s="328"/>
      <c r="BF8" s="328"/>
      <c r="BG8" s="328"/>
      <c r="BH8" s="328"/>
      <c r="BI8" s="328"/>
      <c r="BJ8" s="328"/>
      <c r="BK8" s="328"/>
      <c r="BL8" s="328"/>
      <c r="BM8" s="328"/>
      <c r="BN8" s="328"/>
      <c r="BO8" s="328"/>
      <c r="BP8" s="328"/>
      <c r="BQ8" s="328"/>
      <c r="BR8" s="328"/>
      <c r="BS8" s="328"/>
      <c r="BT8" s="328"/>
      <c r="BU8" s="328"/>
      <c r="BV8" s="328"/>
      <c r="BW8" s="328"/>
      <c r="BX8" s="328"/>
      <c r="BY8" s="328"/>
      <c r="BZ8" s="319"/>
      <c r="CA8" s="319"/>
    </row>
    <row r="9" spans="1:79" s="182" customFormat="1" ht="12" x14ac:dyDescent="0.15">
      <c r="A9" s="319"/>
      <c r="B9" s="467" t="s">
        <v>194</v>
      </c>
      <c r="C9" s="327">
        <v>4</v>
      </c>
      <c r="D9" s="328">
        <v>100000</v>
      </c>
      <c r="E9" s="328">
        <f t="shared" si="1"/>
        <v>25000</v>
      </c>
      <c r="F9" s="328">
        <f>$D$9*(1/48)</f>
        <v>2083.333333333333</v>
      </c>
      <c r="G9" s="328">
        <f t="shared" ref="G9:BA9" si="4">$D$9*(1/48)</f>
        <v>2083.333333333333</v>
      </c>
      <c r="H9" s="328">
        <f t="shared" si="4"/>
        <v>2083.333333333333</v>
      </c>
      <c r="I9" s="328">
        <f t="shared" si="4"/>
        <v>2083.333333333333</v>
      </c>
      <c r="J9" s="328">
        <f t="shared" si="4"/>
        <v>2083.333333333333</v>
      </c>
      <c r="K9" s="328">
        <f t="shared" si="4"/>
        <v>2083.333333333333</v>
      </c>
      <c r="L9" s="328">
        <f t="shared" si="4"/>
        <v>2083.333333333333</v>
      </c>
      <c r="M9" s="328">
        <f t="shared" si="4"/>
        <v>2083.333333333333</v>
      </c>
      <c r="N9" s="328">
        <f t="shared" si="4"/>
        <v>2083.333333333333</v>
      </c>
      <c r="O9" s="328">
        <f t="shared" si="4"/>
        <v>2083.333333333333</v>
      </c>
      <c r="P9" s="328">
        <f t="shared" si="4"/>
        <v>2083.333333333333</v>
      </c>
      <c r="Q9" s="328">
        <f t="shared" si="4"/>
        <v>2083.333333333333</v>
      </c>
      <c r="R9" s="328">
        <f t="shared" si="4"/>
        <v>2083.333333333333</v>
      </c>
      <c r="S9" s="328">
        <f t="shared" si="4"/>
        <v>2083.333333333333</v>
      </c>
      <c r="T9" s="328">
        <f t="shared" si="4"/>
        <v>2083.333333333333</v>
      </c>
      <c r="U9" s="328">
        <f t="shared" si="4"/>
        <v>2083.333333333333</v>
      </c>
      <c r="V9" s="328">
        <f t="shared" si="4"/>
        <v>2083.333333333333</v>
      </c>
      <c r="W9" s="328">
        <f t="shared" si="4"/>
        <v>2083.333333333333</v>
      </c>
      <c r="X9" s="328">
        <f t="shared" si="4"/>
        <v>2083.333333333333</v>
      </c>
      <c r="Y9" s="328">
        <f t="shared" si="4"/>
        <v>2083.333333333333</v>
      </c>
      <c r="Z9" s="328">
        <f t="shared" si="4"/>
        <v>2083.333333333333</v>
      </c>
      <c r="AA9" s="328">
        <f t="shared" si="4"/>
        <v>2083.333333333333</v>
      </c>
      <c r="AB9" s="328">
        <f t="shared" si="4"/>
        <v>2083.333333333333</v>
      </c>
      <c r="AC9" s="328">
        <f t="shared" si="4"/>
        <v>2083.333333333333</v>
      </c>
      <c r="AD9" s="328">
        <f t="shared" si="4"/>
        <v>2083.333333333333</v>
      </c>
      <c r="AE9" s="328">
        <f t="shared" si="4"/>
        <v>2083.333333333333</v>
      </c>
      <c r="AF9" s="328">
        <f t="shared" si="4"/>
        <v>2083.333333333333</v>
      </c>
      <c r="AG9" s="328">
        <f t="shared" si="4"/>
        <v>2083.333333333333</v>
      </c>
      <c r="AH9" s="328">
        <f t="shared" si="4"/>
        <v>2083.333333333333</v>
      </c>
      <c r="AI9" s="328">
        <f t="shared" si="4"/>
        <v>2083.333333333333</v>
      </c>
      <c r="AJ9" s="328">
        <f t="shared" si="4"/>
        <v>2083.333333333333</v>
      </c>
      <c r="AK9" s="328">
        <f t="shared" si="4"/>
        <v>2083.333333333333</v>
      </c>
      <c r="AL9" s="328">
        <f t="shared" si="4"/>
        <v>2083.333333333333</v>
      </c>
      <c r="AM9" s="328">
        <f t="shared" si="4"/>
        <v>2083.333333333333</v>
      </c>
      <c r="AN9" s="328">
        <f t="shared" si="4"/>
        <v>2083.333333333333</v>
      </c>
      <c r="AO9" s="328">
        <f t="shared" si="4"/>
        <v>2083.333333333333</v>
      </c>
      <c r="AP9" s="328">
        <f t="shared" si="4"/>
        <v>2083.333333333333</v>
      </c>
      <c r="AQ9" s="328">
        <f t="shared" si="4"/>
        <v>2083.333333333333</v>
      </c>
      <c r="AR9" s="328">
        <f t="shared" si="4"/>
        <v>2083.333333333333</v>
      </c>
      <c r="AS9" s="328">
        <f t="shared" si="4"/>
        <v>2083.333333333333</v>
      </c>
      <c r="AT9" s="328">
        <f t="shared" si="4"/>
        <v>2083.333333333333</v>
      </c>
      <c r="AU9" s="328">
        <f t="shared" si="4"/>
        <v>2083.333333333333</v>
      </c>
      <c r="AV9" s="328">
        <f t="shared" si="4"/>
        <v>2083.333333333333</v>
      </c>
      <c r="AW9" s="328">
        <f t="shared" si="4"/>
        <v>2083.333333333333</v>
      </c>
      <c r="AX9" s="328">
        <f t="shared" si="4"/>
        <v>2083.333333333333</v>
      </c>
      <c r="AY9" s="328">
        <f t="shared" si="4"/>
        <v>2083.333333333333</v>
      </c>
      <c r="AZ9" s="328">
        <f t="shared" si="4"/>
        <v>2083.333333333333</v>
      </c>
      <c r="BA9" s="328">
        <f t="shared" si="4"/>
        <v>2083.333333333333</v>
      </c>
      <c r="BB9" s="328"/>
      <c r="BC9" s="328"/>
      <c r="BD9" s="328"/>
      <c r="BE9" s="328"/>
      <c r="BF9" s="328"/>
      <c r="BG9" s="328"/>
      <c r="BH9" s="328"/>
      <c r="BI9" s="328"/>
      <c r="BJ9" s="328"/>
      <c r="BK9" s="328"/>
      <c r="BL9" s="328"/>
      <c r="BM9" s="328"/>
      <c r="BN9" s="328"/>
      <c r="BO9" s="328"/>
      <c r="BP9" s="328"/>
      <c r="BQ9" s="328"/>
      <c r="BR9" s="328"/>
      <c r="BS9" s="328"/>
      <c r="BT9" s="328"/>
      <c r="BU9" s="328"/>
      <c r="BV9" s="328"/>
      <c r="BW9" s="328"/>
      <c r="BX9" s="328"/>
      <c r="BY9" s="328"/>
      <c r="BZ9" s="319"/>
      <c r="CA9" s="319"/>
    </row>
    <row r="10" spans="1:79" s="182" customFormat="1" ht="12" x14ac:dyDescent="0.15">
      <c r="A10" s="319"/>
      <c r="B10" s="467" t="s">
        <v>195</v>
      </c>
      <c r="C10" s="327">
        <v>5</v>
      </c>
      <c r="D10" s="328">
        <v>100000</v>
      </c>
      <c r="E10" s="328">
        <f t="shared" si="1"/>
        <v>25000</v>
      </c>
      <c r="F10" s="328">
        <f>$D$10*(1/48)</f>
        <v>2083.333333333333</v>
      </c>
      <c r="G10" s="328">
        <f t="shared" ref="G10:BA10" si="5">$D$10*(1/48)</f>
        <v>2083.333333333333</v>
      </c>
      <c r="H10" s="328">
        <f t="shared" si="5"/>
        <v>2083.333333333333</v>
      </c>
      <c r="I10" s="328">
        <f t="shared" si="5"/>
        <v>2083.333333333333</v>
      </c>
      <c r="J10" s="328">
        <f t="shared" si="5"/>
        <v>2083.333333333333</v>
      </c>
      <c r="K10" s="328">
        <f t="shared" si="5"/>
        <v>2083.333333333333</v>
      </c>
      <c r="L10" s="328">
        <f t="shared" si="5"/>
        <v>2083.333333333333</v>
      </c>
      <c r="M10" s="328">
        <f t="shared" si="5"/>
        <v>2083.333333333333</v>
      </c>
      <c r="N10" s="328">
        <f t="shared" si="5"/>
        <v>2083.333333333333</v>
      </c>
      <c r="O10" s="328">
        <f t="shared" si="5"/>
        <v>2083.333333333333</v>
      </c>
      <c r="P10" s="328">
        <f t="shared" si="5"/>
        <v>2083.333333333333</v>
      </c>
      <c r="Q10" s="328">
        <f t="shared" si="5"/>
        <v>2083.333333333333</v>
      </c>
      <c r="R10" s="328">
        <f t="shared" si="5"/>
        <v>2083.333333333333</v>
      </c>
      <c r="S10" s="328">
        <f t="shared" si="5"/>
        <v>2083.333333333333</v>
      </c>
      <c r="T10" s="328">
        <f t="shared" si="5"/>
        <v>2083.333333333333</v>
      </c>
      <c r="U10" s="328">
        <f t="shared" si="5"/>
        <v>2083.333333333333</v>
      </c>
      <c r="V10" s="328">
        <f t="shared" si="5"/>
        <v>2083.333333333333</v>
      </c>
      <c r="W10" s="328">
        <f t="shared" si="5"/>
        <v>2083.333333333333</v>
      </c>
      <c r="X10" s="328">
        <f t="shared" si="5"/>
        <v>2083.333333333333</v>
      </c>
      <c r="Y10" s="328">
        <f t="shared" si="5"/>
        <v>2083.333333333333</v>
      </c>
      <c r="Z10" s="328">
        <f t="shared" si="5"/>
        <v>2083.333333333333</v>
      </c>
      <c r="AA10" s="328">
        <f t="shared" si="5"/>
        <v>2083.333333333333</v>
      </c>
      <c r="AB10" s="328">
        <f t="shared" si="5"/>
        <v>2083.333333333333</v>
      </c>
      <c r="AC10" s="328">
        <f t="shared" si="5"/>
        <v>2083.333333333333</v>
      </c>
      <c r="AD10" s="328">
        <f t="shared" si="5"/>
        <v>2083.333333333333</v>
      </c>
      <c r="AE10" s="328">
        <f t="shared" si="5"/>
        <v>2083.333333333333</v>
      </c>
      <c r="AF10" s="328">
        <f t="shared" si="5"/>
        <v>2083.333333333333</v>
      </c>
      <c r="AG10" s="328">
        <f t="shared" si="5"/>
        <v>2083.333333333333</v>
      </c>
      <c r="AH10" s="328">
        <f t="shared" si="5"/>
        <v>2083.333333333333</v>
      </c>
      <c r="AI10" s="328">
        <f t="shared" si="5"/>
        <v>2083.333333333333</v>
      </c>
      <c r="AJ10" s="328">
        <f t="shared" si="5"/>
        <v>2083.333333333333</v>
      </c>
      <c r="AK10" s="328">
        <f t="shared" si="5"/>
        <v>2083.333333333333</v>
      </c>
      <c r="AL10" s="328">
        <f t="shared" si="5"/>
        <v>2083.333333333333</v>
      </c>
      <c r="AM10" s="328">
        <f t="shared" si="5"/>
        <v>2083.333333333333</v>
      </c>
      <c r="AN10" s="328">
        <f t="shared" si="5"/>
        <v>2083.333333333333</v>
      </c>
      <c r="AO10" s="328">
        <f t="shared" si="5"/>
        <v>2083.333333333333</v>
      </c>
      <c r="AP10" s="328">
        <f t="shared" si="5"/>
        <v>2083.333333333333</v>
      </c>
      <c r="AQ10" s="328">
        <f t="shared" si="5"/>
        <v>2083.333333333333</v>
      </c>
      <c r="AR10" s="328">
        <f t="shared" si="5"/>
        <v>2083.333333333333</v>
      </c>
      <c r="AS10" s="328">
        <f t="shared" si="5"/>
        <v>2083.333333333333</v>
      </c>
      <c r="AT10" s="328">
        <f t="shared" si="5"/>
        <v>2083.333333333333</v>
      </c>
      <c r="AU10" s="328">
        <f t="shared" si="5"/>
        <v>2083.333333333333</v>
      </c>
      <c r="AV10" s="328">
        <f t="shared" si="5"/>
        <v>2083.333333333333</v>
      </c>
      <c r="AW10" s="328">
        <f t="shared" si="5"/>
        <v>2083.333333333333</v>
      </c>
      <c r="AX10" s="328">
        <f t="shared" si="5"/>
        <v>2083.333333333333</v>
      </c>
      <c r="AY10" s="328">
        <f t="shared" si="5"/>
        <v>2083.333333333333</v>
      </c>
      <c r="AZ10" s="328">
        <f t="shared" si="5"/>
        <v>2083.333333333333</v>
      </c>
      <c r="BA10" s="328">
        <f t="shared" si="5"/>
        <v>2083.333333333333</v>
      </c>
      <c r="BB10" s="328"/>
      <c r="BC10" s="328"/>
      <c r="BD10" s="328"/>
      <c r="BE10" s="328"/>
      <c r="BF10" s="328"/>
      <c r="BG10" s="328"/>
      <c r="BH10" s="328"/>
      <c r="BI10" s="328"/>
      <c r="BJ10" s="328"/>
      <c r="BK10" s="328"/>
      <c r="BL10" s="328"/>
      <c r="BM10" s="328"/>
      <c r="BN10" s="328"/>
      <c r="BO10" s="328"/>
      <c r="BP10" s="328"/>
      <c r="BQ10" s="328"/>
      <c r="BR10" s="328"/>
      <c r="BS10" s="328"/>
      <c r="BT10" s="328"/>
      <c r="BU10" s="328"/>
      <c r="BV10" s="328"/>
      <c r="BW10" s="328"/>
      <c r="BX10" s="328"/>
      <c r="BY10" s="328"/>
      <c r="BZ10" s="319"/>
      <c r="CA10" s="319"/>
    </row>
    <row r="11" spans="1:79" s="182" customFormat="1" ht="12" x14ac:dyDescent="0.15">
      <c r="A11" s="319"/>
      <c r="B11" s="467" t="s">
        <v>196</v>
      </c>
      <c r="C11" s="327">
        <v>7</v>
      </c>
      <c r="D11" s="328">
        <v>100000</v>
      </c>
      <c r="E11" s="328">
        <f t="shared" si="1"/>
        <v>25000</v>
      </c>
      <c r="F11" s="328">
        <f>$D$11*(1/48)</f>
        <v>2083.333333333333</v>
      </c>
      <c r="G11" s="328">
        <f t="shared" ref="G11:BA11" si="6">$D$11*(1/48)</f>
        <v>2083.333333333333</v>
      </c>
      <c r="H11" s="328">
        <f t="shared" si="6"/>
        <v>2083.333333333333</v>
      </c>
      <c r="I11" s="328">
        <f t="shared" si="6"/>
        <v>2083.333333333333</v>
      </c>
      <c r="J11" s="328">
        <f t="shared" si="6"/>
        <v>2083.333333333333</v>
      </c>
      <c r="K11" s="328">
        <f t="shared" si="6"/>
        <v>2083.333333333333</v>
      </c>
      <c r="L11" s="328">
        <f t="shared" si="6"/>
        <v>2083.333333333333</v>
      </c>
      <c r="M11" s="328">
        <f t="shared" si="6"/>
        <v>2083.333333333333</v>
      </c>
      <c r="N11" s="328">
        <f t="shared" si="6"/>
        <v>2083.333333333333</v>
      </c>
      <c r="O11" s="328">
        <f t="shared" si="6"/>
        <v>2083.333333333333</v>
      </c>
      <c r="P11" s="328">
        <f t="shared" si="6"/>
        <v>2083.333333333333</v>
      </c>
      <c r="Q11" s="328">
        <f t="shared" si="6"/>
        <v>2083.333333333333</v>
      </c>
      <c r="R11" s="328">
        <f t="shared" si="6"/>
        <v>2083.333333333333</v>
      </c>
      <c r="S11" s="328">
        <f t="shared" si="6"/>
        <v>2083.333333333333</v>
      </c>
      <c r="T11" s="328">
        <f t="shared" si="6"/>
        <v>2083.333333333333</v>
      </c>
      <c r="U11" s="328">
        <f t="shared" si="6"/>
        <v>2083.333333333333</v>
      </c>
      <c r="V11" s="328">
        <f t="shared" si="6"/>
        <v>2083.333333333333</v>
      </c>
      <c r="W11" s="328">
        <f t="shared" si="6"/>
        <v>2083.333333333333</v>
      </c>
      <c r="X11" s="328">
        <f t="shared" si="6"/>
        <v>2083.333333333333</v>
      </c>
      <c r="Y11" s="328">
        <f t="shared" si="6"/>
        <v>2083.333333333333</v>
      </c>
      <c r="Z11" s="328">
        <f t="shared" si="6"/>
        <v>2083.333333333333</v>
      </c>
      <c r="AA11" s="328">
        <f t="shared" si="6"/>
        <v>2083.333333333333</v>
      </c>
      <c r="AB11" s="328">
        <f t="shared" si="6"/>
        <v>2083.333333333333</v>
      </c>
      <c r="AC11" s="328">
        <f t="shared" si="6"/>
        <v>2083.333333333333</v>
      </c>
      <c r="AD11" s="328">
        <f t="shared" si="6"/>
        <v>2083.333333333333</v>
      </c>
      <c r="AE11" s="328">
        <f t="shared" si="6"/>
        <v>2083.333333333333</v>
      </c>
      <c r="AF11" s="328">
        <f t="shared" si="6"/>
        <v>2083.333333333333</v>
      </c>
      <c r="AG11" s="328">
        <f t="shared" si="6"/>
        <v>2083.333333333333</v>
      </c>
      <c r="AH11" s="328">
        <f t="shared" si="6"/>
        <v>2083.333333333333</v>
      </c>
      <c r="AI11" s="328">
        <f t="shared" si="6"/>
        <v>2083.333333333333</v>
      </c>
      <c r="AJ11" s="328">
        <f t="shared" si="6"/>
        <v>2083.333333333333</v>
      </c>
      <c r="AK11" s="328">
        <f t="shared" si="6"/>
        <v>2083.333333333333</v>
      </c>
      <c r="AL11" s="328">
        <f t="shared" si="6"/>
        <v>2083.333333333333</v>
      </c>
      <c r="AM11" s="328">
        <f t="shared" si="6"/>
        <v>2083.333333333333</v>
      </c>
      <c r="AN11" s="328">
        <f t="shared" si="6"/>
        <v>2083.333333333333</v>
      </c>
      <c r="AO11" s="328">
        <f t="shared" si="6"/>
        <v>2083.333333333333</v>
      </c>
      <c r="AP11" s="328">
        <f t="shared" si="6"/>
        <v>2083.333333333333</v>
      </c>
      <c r="AQ11" s="328">
        <f t="shared" si="6"/>
        <v>2083.333333333333</v>
      </c>
      <c r="AR11" s="328">
        <f t="shared" si="6"/>
        <v>2083.333333333333</v>
      </c>
      <c r="AS11" s="328">
        <f t="shared" si="6"/>
        <v>2083.333333333333</v>
      </c>
      <c r="AT11" s="328">
        <f t="shared" si="6"/>
        <v>2083.333333333333</v>
      </c>
      <c r="AU11" s="328">
        <f t="shared" si="6"/>
        <v>2083.333333333333</v>
      </c>
      <c r="AV11" s="328">
        <f t="shared" si="6"/>
        <v>2083.333333333333</v>
      </c>
      <c r="AW11" s="328">
        <f t="shared" si="6"/>
        <v>2083.333333333333</v>
      </c>
      <c r="AX11" s="328">
        <f t="shared" si="6"/>
        <v>2083.333333333333</v>
      </c>
      <c r="AY11" s="328">
        <f t="shared" si="6"/>
        <v>2083.333333333333</v>
      </c>
      <c r="AZ11" s="328">
        <f t="shared" si="6"/>
        <v>2083.333333333333</v>
      </c>
      <c r="BA11" s="328">
        <f t="shared" si="6"/>
        <v>2083.333333333333</v>
      </c>
      <c r="BB11" s="328"/>
      <c r="BC11" s="328"/>
      <c r="BD11" s="328"/>
      <c r="BE11" s="328"/>
      <c r="BF11" s="328"/>
      <c r="BG11" s="328"/>
      <c r="BH11" s="328"/>
      <c r="BI11" s="328"/>
      <c r="BJ11" s="328"/>
      <c r="BK11" s="328"/>
      <c r="BL11" s="328"/>
      <c r="BM11" s="328"/>
      <c r="BN11" s="328"/>
      <c r="BO11" s="328"/>
      <c r="BP11" s="328"/>
      <c r="BQ11" s="328"/>
      <c r="BR11" s="328"/>
      <c r="BS11" s="328"/>
      <c r="BT11" s="328"/>
      <c r="BU11" s="328"/>
      <c r="BV11" s="328"/>
      <c r="BW11" s="328"/>
      <c r="BX11" s="328"/>
      <c r="BY11" s="328"/>
      <c r="BZ11" s="319"/>
      <c r="CA11" s="319"/>
    </row>
    <row r="12" spans="1:79" s="182" customFormat="1" ht="12" x14ac:dyDescent="0.15">
      <c r="A12" s="319"/>
      <c r="B12" s="467" t="s">
        <v>197</v>
      </c>
      <c r="C12" s="327">
        <v>9</v>
      </c>
      <c r="D12" s="328">
        <v>100000</v>
      </c>
      <c r="E12" s="328">
        <f t="shared" si="1"/>
        <v>25000</v>
      </c>
      <c r="F12" s="328">
        <f>$D$12*(1/48)</f>
        <v>2083.333333333333</v>
      </c>
      <c r="G12" s="328">
        <f t="shared" ref="G12:BA12" si="7">$D$12*(1/48)</f>
        <v>2083.333333333333</v>
      </c>
      <c r="H12" s="328">
        <f t="shared" si="7"/>
        <v>2083.333333333333</v>
      </c>
      <c r="I12" s="328">
        <f t="shared" si="7"/>
        <v>2083.333333333333</v>
      </c>
      <c r="J12" s="328">
        <f t="shared" si="7"/>
        <v>2083.333333333333</v>
      </c>
      <c r="K12" s="328">
        <f t="shared" si="7"/>
        <v>2083.333333333333</v>
      </c>
      <c r="L12" s="328">
        <f t="shared" si="7"/>
        <v>2083.333333333333</v>
      </c>
      <c r="M12" s="328">
        <f t="shared" si="7"/>
        <v>2083.333333333333</v>
      </c>
      <c r="N12" s="328">
        <f t="shared" si="7"/>
        <v>2083.333333333333</v>
      </c>
      <c r="O12" s="328">
        <f t="shared" si="7"/>
        <v>2083.333333333333</v>
      </c>
      <c r="P12" s="328">
        <f t="shared" si="7"/>
        <v>2083.333333333333</v>
      </c>
      <c r="Q12" s="328">
        <f t="shared" si="7"/>
        <v>2083.333333333333</v>
      </c>
      <c r="R12" s="328">
        <f t="shared" si="7"/>
        <v>2083.333333333333</v>
      </c>
      <c r="S12" s="328">
        <f t="shared" si="7"/>
        <v>2083.333333333333</v>
      </c>
      <c r="T12" s="328">
        <f t="shared" si="7"/>
        <v>2083.333333333333</v>
      </c>
      <c r="U12" s="328">
        <f t="shared" si="7"/>
        <v>2083.333333333333</v>
      </c>
      <c r="V12" s="328">
        <f t="shared" si="7"/>
        <v>2083.333333333333</v>
      </c>
      <c r="W12" s="328">
        <f t="shared" si="7"/>
        <v>2083.333333333333</v>
      </c>
      <c r="X12" s="328">
        <f t="shared" si="7"/>
        <v>2083.333333333333</v>
      </c>
      <c r="Y12" s="328">
        <f t="shared" si="7"/>
        <v>2083.333333333333</v>
      </c>
      <c r="Z12" s="328">
        <f t="shared" si="7"/>
        <v>2083.333333333333</v>
      </c>
      <c r="AA12" s="328">
        <f t="shared" si="7"/>
        <v>2083.333333333333</v>
      </c>
      <c r="AB12" s="328">
        <f t="shared" si="7"/>
        <v>2083.333333333333</v>
      </c>
      <c r="AC12" s="328">
        <f t="shared" si="7"/>
        <v>2083.333333333333</v>
      </c>
      <c r="AD12" s="328">
        <f t="shared" si="7"/>
        <v>2083.333333333333</v>
      </c>
      <c r="AE12" s="328">
        <f t="shared" si="7"/>
        <v>2083.333333333333</v>
      </c>
      <c r="AF12" s="328">
        <f t="shared" si="7"/>
        <v>2083.333333333333</v>
      </c>
      <c r="AG12" s="328">
        <f t="shared" si="7"/>
        <v>2083.333333333333</v>
      </c>
      <c r="AH12" s="328">
        <f t="shared" si="7"/>
        <v>2083.333333333333</v>
      </c>
      <c r="AI12" s="328">
        <f t="shared" si="7"/>
        <v>2083.333333333333</v>
      </c>
      <c r="AJ12" s="328">
        <f t="shared" si="7"/>
        <v>2083.333333333333</v>
      </c>
      <c r="AK12" s="328">
        <f t="shared" si="7"/>
        <v>2083.333333333333</v>
      </c>
      <c r="AL12" s="328">
        <f t="shared" si="7"/>
        <v>2083.333333333333</v>
      </c>
      <c r="AM12" s="328">
        <f t="shared" si="7"/>
        <v>2083.333333333333</v>
      </c>
      <c r="AN12" s="328">
        <f t="shared" si="7"/>
        <v>2083.333333333333</v>
      </c>
      <c r="AO12" s="328">
        <f t="shared" si="7"/>
        <v>2083.333333333333</v>
      </c>
      <c r="AP12" s="328">
        <f t="shared" si="7"/>
        <v>2083.333333333333</v>
      </c>
      <c r="AQ12" s="328">
        <f t="shared" si="7"/>
        <v>2083.333333333333</v>
      </c>
      <c r="AR12" s="328">
        <f t="shared" si="7"/>
        <v>2083.333333333333</v>
      </c>
      <c r="AS12" s="328">
        <f t="shared" si="7"/>
        <v>2083.333333333333</v>
      </c>
      <c r="AT12" s="328">
        <f t="shared" si="7"/>
        <v>2083.333333333333</v>
      </c>
      <c r="AU12" s="328">
        <f t="shared" si="7"/>
        <v>2083.333333333333</v>
      </c>
      <c r="AV12" s="328">
        <f t="shared" si="7"/>
        <v>2083.333333333333</v>
      </c>
      <c r="AW12" s="328">
        <f t="shared" si="7"/>
        <v>2083.333333333333</v>
      </c>
      <c r="AX12" s="328">
        <f t="shared" si="7"/>
        <v>2083.333333333333</v>
      </c>
      <c r="AY12" s="328">
        <f t="shared" si="7"/>
        <v>2083.333333333333</v>
      </c>
      <c r="AZ12" s="328">
        <f t="shared" si="7"/>
        <v>2083.333333333333</v>
      </c>
      <c r="BA12" s="328">
        <f t="shared" si="7"/>
        <v>2083.333333333333</v>
      </c>
      <c r="BB12" s="328"/>
      <c r="BC12" s="328"/>
      <c r="BD12" s="328"/>
      <c r="BE12" s="328"/>
      <c r="BF12" s="328"/>
      <c r="BG12" s="328"/>
      <c r="BH12" s="328"/>
      <c r="BI12" s="328"/>
      <c r="BJ12" s="328"/>
      <c r="BK12" s="328"/>
      <c r="BL12" s="328"/>
      <c r="BM12" s="328"/>
      <c r="BN12" s="328"/>
      <c r="BO12" s="328"/>
      <c r="BP12" s="328"/>
      <c r="BQ12" s="328"/>
      <c r="BR12" s="328"/>
      <c r="BS12" s="328"/>
      <c r="BT12" s="328"/>
      <c r="BU12" s="328"/>
      <c r="BV12" s="328"/>
      <c r="BW12" s="328"/>
      <c r="BX12" s="328"/>
      <c r="BY12" s="328"/>
      <c r="BZ12" s="319"/>
      <c r="CA12" s="319"/>
    </row>
    <row r="13" spans="1:79" s="182" customFormat="1" ht="12" x14ac:dyDescent="0.15">
      <c r="A13" s="319"/>
      <c r="B13" s="467" t="s">
        <v>198</v>
      </c>
      <c r="C13" s="327">
        <v>10</v>
      </c>
      <c r="D13" s="328">
        <v>100000</v>
      </c>
      <c r="E13" s="328">
        <f t="shared" si="1"/>
        <v>25000</v>
      </c>
      <c r="F13" s="328">
        <f>$D$13*(1/48)</f>
        <v>2083.333333333333</v>
      </c>
      <c r="G13" s="328">
        <f t="shared" ref="G13:BA13" si="8">$D$13*(1/48)</f>
        <v>2083.333333333333</v>
      </c>
      <c r="H13" s="328">
        <f t="shared" si="8"/>
        <v>2083.333333333333</v>
      </c>
      <c r="I13" s="328">
        <f t="shared" si="8"/>
        <v>2083.333333333333</v>
      </c>
      <c r="J13" s="328">
        <f t="shared" si="8"/>
        <v>2083.333333333333</v>
      </c>
      <c r="K13" s="328">
        <f t="shared" si="8"/>
        <v>2083.333333333333</v>
      </c>
      <c r="L13" s="328">
        <f t="shared" si="8"/>
        <v>2083.333333333333</v>
      </c>
      <c r="M13" s="328">
        <f t="shared" si="8"/>
        <v>2083.333333333333</v>
      </c>
      <c r="N13" s="328">
        <f t="shared" si="8"/>
        <v>2083.333333333333</v>
      </c>
      <c r="O13" s="328">
        <f t="shared" si="8"/>
        <v>2083.333333333333</v>
      </c>
      <c r="P13" s="328">
        <f t="shared" si="8"/>
        <v>2083.333333333333</v>
      </c>
      <c r="Q13" s="328">
        <f t="shared" si="8"/>
        <v>2083.333333333333</v>
      </c>
      <c r="R13" s="328">
        <f t="shared" si="8"/>
        <v>2083.333333333333</v>
      </c>
      <c r="S13" s="328">
        <f t="shared" si="8"/>
        <v>2083.333333333333</v>
      </c>
      <c r="T13" s="328">
        <f t="shared" si="8"/>
        <v>2083.333333333333</v>
      </c>
      <c r="U13" s="328">
        <f t="shared" si="8"/>
        <v>2083.333333333333</v>
      </c>
      <c r="V13" s="328">
        <f t="shared" si="8"/>
        <v>2083.333333333333</v>
      </c>
      <c r="W13" s="328">
        <f t="shared" si="8"/>
        <v>2083.333333333333</v>
      </c>
      <c r="X13" s="328">
        <f t="shared" si="8"/>
        <v>2083.333333333333</v>
      </c>
      <c r="Y13" s="328">
        <f t="shared" si="8"/>
        <v>2083.333333333333</v>
      </c>
      <c r="Z13" s="328">
        <f t="shared" si="8"/>
        <v>2083.333333333333</v>
      </c>
      <c r="AA13" s="328">
        <f t="shared" si="8"/>
        <v>2083.333333333333</v>
      </c>
      <c r="AB13" s="328">
        <f t="shared" si="8"/>
        <v>2083.333333333333</v>
      </c>
      <c r="AC13" s="328">
        <f t="shared" si="8"/>
        <v>2083.333333333333</v>
      </c>
      <c r="AD13" s="328">
        <f t="shared" si="8"/>
        <v>2083.333333333333</v>
      </c>
      <c r="AE13" s="328">
        <f t="shared" si="8"/>
        <v>2083.333333333333</v>
      </c>
      <c r="AF13" s="328">
        <f t="shared" si="8"/>
        <v>2083.333333333333</v>
      </c>
      <c r="AG13" s="328">
        <f t="shared" si="8"/>
        <v>2083.333333333333</v>
      </c>
      <c r="AH13" s="328">
        <f t="shared" si="8"/>
        <v>2083.333333333333</v>
      </c>
      <c r="AI13" s="328">
        <f t="shared" si="8"/>
        <v>2083.333333333333</v>
      </c>
      <c r="AJ13" s="328">
        <f t="shared" si="8"/>
        <v>2083.333333333333</v>
      </c>
      <c r="AK13" s="328">
        <f t="shared" si="8"/>
        <v>2083.333333333333</v>
      </c>
      <c r="AL13" s="328">
        <f t="shared" si="8"/>
        <v>2083.333333333333</v>
      </c>
      <c r="AM13" s="328">
        <f t="shared" si="8"/>
        <v>2083.333333333333</v>
      </c>
      <c r="AN13" s="328">
        <f t="shared" si="8"/>
        <v>2083.333333333333</v>
      </c>
      <c r="AO13" s="328">
        <f t="shared" si="8"/>
        <v>2083.333333333333</v>
      </c>
      <c r="AP13" s="328">
        <f t="shared" si="8"/>
        <v>2083.333333333333</v>
      </c>
      <c r="AQ13" s="328">
        <f t="shared" si="8"/>
        <v>2083.333333333333</v>
      </c>
      <c r="AR13" s="328">
        <f t="shared" si="8"/>
        <v>2083.333333333333</v>
      </c>
      <c r="AS13" s="328">
        <f t="shared" si="8"/>
        <v>2083.333333333333</v>
      </c>
      <c r="AT13" s="328">
        <f t="shared" si="8"/>
        <v>2083.333333333333</v>
      </c>
      <c r="AU13" s="328">
        <f t="shared" si="8"/>
        <v>2083.333333333333</v>
      </c>
      <c r="AV13" s="328">
        <f t="shared" si="8"/>
        <v>2083.333333333333</v>
      </c>
      <c r="AW13" s="328">
        <f t="shared" si="8"/>
        <v>2083.333333333333</v>
      </c>
      <c r="AX13" s="328">
        <f t="shared" si="8"/>
        <v>2083.333333333333</v>
      </c>
      <c r="AY13" s="328">
        <f t="shared" si="8"/>
        <v>2083.333333333333</v>
      </c>
      <c r="AZ13" s="328">
        <f t="shared" si="8"/>
        <v>2083.333333333333</v>
      </c>
      <c r="BA13" s="328">
        <f t="shared" si="8"/>
        <v>2083.333333333333</v>
      </c>
      <c r="BB13" s="328"/>
      <c r="BC13" s="328"/>
      <c r="BD13" s="328"/>
      <c r="BE13" s="328"/>
      <c r="BF13" s="328"/>
      <c r="BG13" s="328"/>
      <c r="BH13" s="328"/>
      <c r="BI13" s="328"/>
      <c r="BJ13" s="328"/>
      <c r="BK13" s="328"/>
      <c r="BL13" s="328"/>
      <c r="BM13" s="328"/>
      <c r="BN13" s="328"/>
      <c r="BO13" s="328"/>
      <c r="BP13" s="328"/>
      <c r="BQ13" s="328"/>
      <c r="BR13" s="328"/>
      <c r="BS13" s="328"/>
      <c r="BT13" s="328"/>
      <c r="BU13" s="328"/>
      <c r="BV13" s="328"/>
      <c r="BW13" s="328"/>
      <c r="BX13" s="328"/>
      <c r="BY13" s="328"/>
      <c r="BZ13" s="319"/>
      <c r="CA13" s="319"/>
    </row>
    <row r="14" spans="1:79" s="182" customFormat="1" ht="12" x14ac:dyDescent="0.15">
      <c r="A14" s="319"/>
      <c r="B14" s="326"/>
      <c r="C14" s="327"/>
      <c r="D14" s="328"/>
      <c r="E14" s="328"/>
      <c r="F14" s="328"/>
      <c r="G14" s="328"/>
      <c r="H14" s="328"/>
      <c r="I14" s="328"/>
      <c r="J14" s="328"/>
      <c r="K14" s="328"/>
      <c r="L14" s="328"/>
      <c r="M14" s="328"/>
      <c r="N14" s="328"/>
      <c r="O14" s="328"/>
      <c r="P14" s="328"/>
      <c r="Q14" s="328"/>
      <c r="R14" s="328"/>
      <c r="S14" s="328"/>
      <c r="T14" s="328"/>
      <c r="U14" s="328"/>
      <c r="V14" s="328"/>
      <c r="W14" s="328"/>
      <c r="X14" s="328"/>
      <c r="Y14" s="328"/>
      <c r="Z14" s="328"/>
      <c r="AA14" s="328"/>
      <c r="AB14" s="328"/>
      <c r="AC14" s="328"/>
      <c r="AD14" s="328"/>
      <c r="AE14" s="328"/>
      <c r="AF14" s="328"/>
      <c r="AG14" s="328"/>
      <c r="AH14" s="328"/>
      <c r="AI14" s="328"/>
      <c r="AJ14" s="328"/>
      <c r="AK14" s="328"/>
      <c r="AL14" s="328"/>
      <c r="AM14" s="328"/>
      <c r="AN14" s="328"/>
      <c r="AO14" s="328"/>
      <c r="AP14" s="328"/>
      <c r="AQ14" s="328"/>
      <c r="AR14" s="328"/>
      <c r="AS14" s="328"/>
      <c r="AT14" s="328"/>
      <c r="AU14" s="328"/>
      <c r="AV14" s="328"/>
      <c r="AW14" s="328"/>
      <c r="AX14" s="328"/>
      <c r="AY14" s="328"/>
      <c r="AZ14" s="328"/>
      <c r="BA14" s="328"/>
      <c r="BB14" s="328"/>
      <c r="BC14" s="328"/>
      <c r="BD14" s="328"/>
      <c r="BE14" s="328"/>
      <c r="BF14" s="328"/>
      <c r="BG14" s="328"/>
      <c r="BH14" s="328"/>
      <c r="BI14" s="328"/>
      <c r="BJ14" s="328"/>
      <c r="BK14" s="328"/>
      <c r="BL14" s="328"/>
      <c r="BM14" s="328"/>
      <c r="BN14" s="328"/>
      <c r="BO14" s="328"/>
      <c r="BP14" s="328"/>
      <c r="BQ14" s="328"/>
      <c r="BR14" s="328"/>
      <c r="BS14" s="328"/>
      <c r="BT14" s="328"/>
      <c r="BU14" s="328"/>
      <c r="BV14" s="328"/>
      <c r="BW14" s="328"/>
      <c r="BX14" s="328"/>
      <c r="BY14" s="328"/>
      <c r="BZ14" s="319"/>
      <c r="CA14" s="319"/>
    </row>
    <row r="15" spans="1:79" s="182" customFormat="1" ht="12" x14ac:dyDescent="0.15">
      <c r="A15" s="319"/>
      <c r="B15" s="326"/>
      <c r="C15" s="327"/>
      <c r="D15" s="328"/>
      <c r="E15" s="328"/>
      <c r="F15" s="328"/>
      <c r="G15" s="328"/>
      <c r="H15" s="328"/>
      <c r="I15" s="328"/>
      <c r="J15" s="328"/>
      <c r="K15" s="328"/>
      <c r="L15" s="328"/>
      <c r="M15" s="328"/>
      <c r="N15" s="328"/>
      <c r="O15" s="328"/>
      <c r="P15" s="328"/>
      <c r="Q15" s="328"/>
      <c r="R15" s="328"/>
      <c r="S15" s="328"/>
      <c r="T15" s="328"/>
      <c r="U15" s="328"/>
      <c r="V15" s="328"/>
      <c r="W15" s="328"/>
      <c r="X15" s="328"/>
      <c r="Y15" s="328"/>
      <c r="Z15" s="328"/>
      <c r="AA15" s="328"/>
      <c r="AB15" s="328"/>
      <c r="AC15" s="328"/>
      <c r="AD15" s="328"/>
      <c r="AE15" s="328"/>
      <c r="AF15" s="328"/>
      <c r="AG15" s="328"/>
      <c r="AH15" s="328"/>
      <c r="AI15" s="328"/>
      <c r="AJ15" s="328"/>
      <c r="AK15" s="328"/>
      <c r="AL15" s="328"/>
      <c r="AM15" s="328"/>
      <c r="AN15" s="328"/>
      <c r="AO15" s="328"/>
      <c r="AP15" s="328"/>
      <c r="AQ15" s="328"/>
      <c r="AR15" s="328"/>
      <c r="AS15" s="328"/>
      <c r="AT15" s="328"/>
      <c r="AU15" s="328"/>
      <c r="AV15" s="328"/>
      <c r="AW15" s="328"/>
      <c r="AX15" s="328"/>
      <c r="AY15" s="328"/>
      <c r="AZ15" s="328"/>
      <c r="BA15" s="328"/>
      <c r="BB15" s="328"/>
      <c r="BC15" s="328"/>
      <c r="BD15" s="328"/>
      <c r="BE15" s="328"/>
      <c r="BF15" s="328"/>
      <c r="BG15" s="328"/>
      <c r="BH15" s="328"/>
      <c r="BI15" s="328"/>
      <c r="BJ15" s="328"/>
      <c r="BK15" s="328"/>
      <c r="BL15" s="328"/>
      <c r="BM15" s="328"/>
      <c r="BN15" s="328"/>
      <c r="BO15" s="328"/>
      <c r="BP15" s="328"/>
      <c r="BQ15" s="328"/>
      <c r="BR15" s="328"/>
      <c r="BS15" s="328"/>
      <c r="BT15" s="328"/>
      <c r="BU15" s="328"/>
      <c r="BV15" s="328"/>
      <c r="BW15" s="328"/>
      <c r="BX15" s="328"/>
      <c r="BY15" s="328"/>
      <c r="BZ15" s="319"/>
      <c r="CA15" s="319"/>
    </row>
    <row r="16" spans="1:79" s="182" customFormat="1" ht="12" x14ac:dyDescent="0.15">
      <c r="A16" s="319"/>
      <c r="B16" s="326"/>
      <c r="C16" s="327"/>
      <c r="D16" s="328"/>
      <c r="E16" s="328"/>
      <c r="F16" s="328"/>
      <c r="G16" s="328"/>
      <c r="H16" s="328"/>
      <c r="I16" s="328"/>
      <c r="J16" s="328"/>
      <c r="K16" s="328"/>
      <c r="L16" s="328"/>
      <c r="M16" s="328"/>
      <c r="N16" s="328"/>
      <c r="O16" s="328"/>
      <c r="P16" s="328"/>
      <c r="Q16" s="328"/>
      <c r="R16" s="328"/>
      <c r="S16" s="328"/>
      <c r="T16" s="328"/>
      <c r="U16" s="328"/>
      <c r="V16" s="328"/>
      <c r="W16" s="328"/>
      <c r="X16" s="328"/>
      <c r="Y16" s="328"/>
      <c r="Z16" s="328"/>
      <c r="AA16" s="328"/>
      <c r="AB16" s="328"/>
      <c r="AC16" s="328"/>
      <c r="AD16" s="328"/>
      <c r="AE16" s="328"/>
      <c r="AF16" s="328"/>
      <c r="AG16" s="328"/>
      <c r="AH16" s="328"/>
      <c r="AI16" s="328"/>
      <c r="AJ16" s="328"/>
      <c r="AK16" s="328"/>
      <c r="AL16" s="328"/>
      <c r="AM16" s="328"/>
      <c r="AN16" s="328"/>
      <c r="AO16" s="328"/>
      <c r="AP16" s="328"/>
      <c r="AQ16" s="328"/>
      <c r="AR16" s="328"/>
      <c r="AS16" s="328"/>
      <c r="AT16" s="328"/>
      <c r="AU16" s="328"/>
      <c r="AV16" s="328"/>
      <c r="AW16" s="328"/>
      <c r="AX16" s="328"/>
      <c r="AY16" s="328"/>
      <c r="AZ16" s="328"/>
      <c r="BA16" s="328"/>
      <c r="BB16" s="328"/>
      <c r="BC16" s="328"/>
      <c r="BD16" s="328"/>
      <c r="BE16" s="328"/>
      <c r="BF16" s="328"/>
      <c r="BG16" s="328"/>
      <c r="BH16" s="328"/>
      <c r="BI16" s="328"/>
      <c r="BJ16" s="328"/>
      <c r="BK16" s="328"/>
      <c r="BL16" s="328"/>
      <c r="BM16" s="328"/>
      <c r="BN16" s="328"/>
      <c r="BO16" s="328"/>
      <c r="BP16" s="328"/>
      <c r="BQ16" s="328"/>
      <c r="BR16" s="328"/>
      <c r="BS16" s="328"/>
      <c r="BT16" s="328"/>
      <c r="BU16" s="328"/>
      <c r="BV16" s="328"/>
      <c r="BW16" s="328"/>
      <c r="BX16" s="328"/>
      <c r="BY16" s="328"/>
      <c r="BZ16" s="319"/>
      <c r="CA16" s="319"/>
    </row>
    <row r="17" spans="1:79" s="182" customFormat="1" ht="12" x14ac:dyDescent="0.15">
      <c r="A17" s="319"/>
      <c r="B17" s="326"/>
      <c r="C17" s="327"/>
      <c r="D17" s="328"/>
      <c r="E17" s="328"/>
      <c r="F17" s="328"/>
      <c r="G17" s="328"/>
      <c r="H17" s="328"/>
      <c r="I17" s="328"/>
      <c r="J17" s="328"/>
      <c r="K17" s="328"/>
      <c r="L17" s="328"/>
      <c r="M17" s="328"/>
      <c r="N17" s="328"/>
      <c r="O17" s="328"/>
      <c r="P17" s="328"/>
      <c r="Q17" s="328"/>
      <c r="R17" s="328"/>
      <c r="S17" s="328"/>
      <c r="T17" s="328"/>
      <c r="U17" s="328"/>
      <c r="V17" s="328"/>
      <c r="W17" s="328"/>
      <c r="X17" s="328"/>
      <c r="Y17" s="328"/>
      <c r="Z17" s="328"/>
      <c r="AA17" s="328"/>
      <c r="AB17" s="328"/>
      <c r="AC17" s="328"/>
      <c r="AD17" s="328"/>
      <c r="AE17" s="328"/>
      <c r="AF17" s="328"/>
      <c r="AG17" s="328"/>
      <c r="AH17" s="328"/>
      <c r="AI17" s="328"/>
      <c r="AJ17" s="328"/>
      <c r="AK17" s="328"/>
      <c r="AL17" s="328"/>
      <c r="AM17" s="328"/>
      <c r="AN17" s="328"/>
      <c r="AO17" s="328"/>
      <c r="AP17" s="328"/>
      <c r="AQ17" s="328"/>
      <c r="AR17" s="328"/>
      <c r="AS17" s="328"/>
      <c r="AT17" s="328"/>
      <c r="AU17" s="328"/>
      <c r="AV17" s="328"/>
      <c r="AW17" s="328"/>
      <c r="AX17" s="328"/>
      <c r="AY17" s="328"/>
      <c r="AZ17" s="328"/>
      <c r="BA17" s="328"/>
      <c r="BB17" s="328"/>
      <c r="BC17" s="328"/>
      <c r="BD17" s="328"/>
      <c r="BE17" s="328"/>
      <c r="BF17" s="328"/>
      <c r="BG17" s="328"/>
      <c r="BH17" s="328"/>
      <c r="BI17" s="328"/>
      <c r="BJ17" s="328"/>
      <c r="BK17" s="328"/>
      <c r="BL17" s="328"/>
      <c r="BM17" s="328"/>
      <c r="BN17" s="328"/>
      <c r="BO17" s="328"/>
      <c r="BP17" s="328"/>
      <c r="BQ17" s="328"/>
      <c r="BR17" s="328"/>
      <c r="BS17" s="328"/>
      <c r="BT17" s="328"/>
      <c r="BU17" s="328"/>
      <c r="BV17" s="328"/>
      <c r="BW17" s="328"/>
      <c r="BX17" s="328"/>
      <c r="BY17" s="328"/>
      <c r="BZ17" s="319"/>
      <c r="CA17" s="319"/>
    </row>
    <row r="18" spans="1:79" s="182" customFormat="1" ht="12" x14ac:dyDescent="0.15">
      <c r="A18" s="319"/>
      <c r="B18" s="326"/>
      <c r="C18" s="327"/>
      <c r="D18" s="328"/>
      <c r="E18" s="328"/>
      <c r="F18" s="328"/>
      <c r="G18" s="328"/>
      <c r="H18" s="328"/>
      <c r="I18" s="328"/>
      <c r="J18" s="328"/>
      <c r="K18" s="328"/>
      <c r="L18" s="328"/>
      <c r="M18" s="328"/>
      <c r="N18" s="328"/>
      <c r="O18" s="328"/>
      <c r="P18" s="328"/>
      <c r="Q18" s="328"/>
      <c r="R18" s="328"/>
      <c r="S18" s="328"/>
      <c r="T18" s="328"/>
      <c r="U18" s="328"/>
      <c r="V18" s="328"/>
      <c r="W18" s="328"/>
      <c r="X18" s="328"/>
      <c r="Y18" s="328"/>
      <c r="Z18" s="328"/>
      <c r="AA18" s="328"/>
      <c r="AB18" s="328"/>
      <c r="AC18" s="328"/>
      <c r="AD18" s="328"/>
      <c r="AE18" s="328"/>
      <c r="AF18" s="328"/>
      <c r="AG18" s="328"/>
      <c r="AH18" s="328"/>
      <c r="AI18" s="328"/>
      <c r="AJ18" s="328"/>
      <c r="AK18" s="328"/>
      <c r="AL18" s="328"/>
      <c r="AM18" s="328"/>
      <c r="AN18" s="328"/>
      <c r="AO18" s="328"/>
      <c r="AP18" s="328"/>
      <c r="AQ18" s="328"/>
      <c r="AR18" s="328"/>
      <c r="AS18" s="328"/>
      <c r="AT18" s="328"/>
      <c r="AU18" s="328"/>
      <c r="AV18" s="328"/>
      <c r="AW18" s="328"/>
      <c r="AX18" s="328"/>
      <c r="AY18" s="328"/>
      <c r="AZ18" s="328"/>
      <c r="BA18" s="328"/>
      <c r="BB18" s="328"/>
      <c r="BC18" s="328"/>
      <c r="BD18" s="328"/>
      <c r="BE18" s="328"/>
      <c r="BF18" s="328"/>
      <c r="BG18" s="328"/>
      <c r="BH18" s="328"/>
      <c r="BI18" s="328"/>
      <c r="BJ18" s="328"/>
      <c r="BK18" s="328"/>
      <c r="BL18" s="328"/>
      <c r="BM18" s="328"/>
      <c r="BN18" s="328"/>
      <c r="BO18" s="328"/>
      <c r="BP18" s="328"/>
      <c r="BQ18" s="328"/>
      <c r="BR18" s="328"/>
      <c r="BS18" s="328"/>
      <c r="BT18" s="328"/>
      <c r="BU18" s="328"/>
      <c r="BV18" s="328"/>
      <c r="BW18" s="328"/>
      <c r="BX18" s="328"/>
      <c r="BY18" s="328"/>
      <c r="BZ18" s="319"/>
      <c r="CA18" s="319"/>
    </row>
    <row r="19" spans="1:79" s="182" customFormat="1" ht="12" x14ac:dyDescent="0.15">
      <c r="A19" s="319"/>
      <c r="B19" s="326"/>
      <c r="C19" s="327"/>
      <c r="D19" s="328"/>
      <c r="E19" s="328"/>
      <c r="F19" s="328"/>
      <c r="G19" s="328"/>
      <c r="H19" s="328"/>
      <c r="I19" s="328"/>
      <c r="J19" s="328"/>
      <c r="K19" s="328"/>
      <c r="L19" s="328"/>
      <c r="M19" s="328"/>
      <c r="N19" s="328"/>
      <c r="O19" s="328"/>
      <c r="P19" s="328"/>
      <c r="Q19" s="328"/>
      <c r="R19" s="328"/>
      <c r="S19" s="328"/>
      <c r="T19" s="328"/>
      <c r="U19" s="328"/>
      <c r="V19" s="328"/>
      <c r="W19" s="328"/>
      <c r="X19" s="328"/>
      <c r="Y19" s="328"/>
      <c r="Z19" s="328"/>
      <c r="AA19" s="328"/>
      <c r="AB19" s="328"/>
      <c r="AC19" s="328"/>
      <c r="AD19" s="328"/>
      <c r="AE19" s="328"/>
      <c r="AF19" s="328"/>
      <c r="AG19" s="328"/>
      <c r="AH19" s="328"/>
      <c r="AI19" s="328"/>
      <c r="AJ19" s="328"/>
      <c r="AK19" s="328"/>
      <c r="AL19" s="328"/>
      <c r="AM19" s="328"/>
      <c r="AN19" s="328"/>
      <c r="AO19" s="328"/>
      <c r="AP19" s="328"/>
      <c r="AQ19" s="328"/>
      <c r="AR19" s="328"/>
      <c r="AS19" s="328"/>
      <c r="AT19" s="328"/>
      <c r="AU19" s="328"/>
      <c r="AV19" s="328"/>
      <c r="AW19" s="328"/>
      <c r="AX19" s="328"/>
      <c r="AY19" s="328"/>
      <c r="AZ19" s="328"/>
      <c r="BA19" s="328"/>
      <c r="BB19" s="328"/>
      <c r="BC19" s="328"/>
      <c r="BD19" s="328"/>
      <c r="BE19" s="328"/>
      <c r="BF19" s="328"/>
      <c r="BG19" s="328"/>
      <c r="BH19" s="328"/>
      <c r="BI19" s="328"/>
      <c r="BJ19" s="328"/>
      <c r="BK19" s="328"/>
      <c r="BL19" s="328"/>
      <c r="BM19" s="328"/>
      <c r="BN19" s="328"/>
      <c r="BO19" s="328"/>
      <c r="BP19" s="328"/>
      <c r="BQ19" s="328"/>
      <c r="BR19" s="328"/>
      <c r="BS19" s="328"/>
      <c r="BT19" s="328"/>
      <c r="BU19" s="328"/>
      <c r="BV19" s="328"/>
      <c r="BW19" s="328"/>
      <c r="BX19" s="328"/>
      <c r="BY19" s="328"/>
      <c r="BZ19" s="319"/>
      <c r="CA19" s="319"/>
    </row>
    <row r="20" spans="1:79" s="182" customFormat="1" ht="12" x14ac:dyDescent="0.15">
      <c r="A20" s="319"/>
      <c r="B20" s="326"/>
      <c r="C20" s="327"/>
      <c r="D20" s="328"/>
      <c r="E20" s="328"/>
      <c r="F20" s="328"/>
      <c r="G20" s="328"/>
      <c r="H20" s="328"/>
      <c r="I20" s="328"/>
      <c r="J20" s="328"/>
      <c r="K20" s="328"/>
      <c r="L20" s="328"/>
      <c r="M20" s="328"/>
      <c r="N20" s="328"/>
      <c r="O20" s="328"/>
      <c r="P20" s="328"/>
      <c r="Q20" s="328"/>
      <c r="R20" s="328"/>
      <c r="S20" s="328"/>
      <c r="T20" s="328"/>
      <c r="U20" s="328"/>
      <c r="V20" s="328"/>
      <c r="W20" s="328"/>
      <c r="X20" s="328"/>
      <c r="Y20" s="328"/>
      <c r="Z20" s="328"/>
      <c r="AA20" s="328"/>
      <c r="AB20" s="328"/>
      <c r="AC20" s="328"/>
      <c r="AD20" s="328"/>
      <c r="AE20" s="328"/>
      <c r="AF20" s="328"/>
      <c r="AG20" s="328"/>
      <c r="AH20" s="328"/>
      <c r="AI20" s="328"/>
      <c r="AJ20" s="328"/>
      <c r="AK20" s="328"/>
      <c r="AL20" s="328"/>
      <c r="AM20" s="328"/>
      <c r="AN20" s="328"/>
      <c r="AO20" s="328"/>
      <c r="AP20" s="328"/>
      <c r="AQ20" s="328"/>
      <c r="AR20" s="328"/>
      <c r="AS20" s="328"/>
      <c r="AT20" s="328"/>
      <c r="AU20" s="328"/>
      <c r="AV20" s="328"/>
      <c r="AW20" s="328"/>
      <c r="AX20" s="328"/>
      <c r="AY20" s="328"/>
      <c r="AZ20" s="328"/>
      <c r="BA20" s="328"/>
      <c r="BB20" s="328"/>
      <c r="BC20" s="328"/>
      <c r="BD20" s="328"/>
      <c r="BE20" s="328"/>
      <c r="BF20" s="328"/>
      <c r="BG20" s="328"/>
      <c r="BH20" s="328"/>
      <c r="BI20" s="328"/>
      <c r="BJ20" s="328"/>
      <c r="BK20" s="328"/>
      <c r="BL20" s="328"/>
      <c r="BM20" s="328"/>
      <c r="BN20" s="328"/>
      <c r="BO20" s="328"/>
      <c r="BP20" s="328"/>
      <c r="BQ20" s="328"/>
      <c r="BR20" s="328"/>
      <c r="BS20" s="328"/>
      <c r="BT20" s="328"/>
      <c r="BU20" s="328"/>
      <c r="BV20" s="328"/>
      <c r="BW20" s="328"/>
      <c r="BX20" s="328"/>
      <c r="BY20" s="328"/>
      <c r="BZ20" s="319"/>
      <c r="CA20" s="319"/>
    </row>
    <row r="21" spans="1:79" s="182" customFormat="1" ht="12" x14ac:dyDescent="0.15">
      <c r="A21" s="319"/>
      <c r="B21" s="326"/>
      <c r="C21" s="327"/>
      <c r="D21" s="328"/>
      <c r="E21" s="328"/>
      <c r="F21" s="328"/>
      <c r="G21" s="328"/>
      <c r="H21" s="328"/>
      <c r="I21" s="328"/>
      <c r="J21" s="328"/>
      <c r="K21" s="328"/>
      <c r="L21" s="328"/>
      <c r="M21" s="328"/>
      <c r="N21" s="328"/>
      <c r="O21" s="328"/>
      <c r="P21" s="328"/>
      <c r="Q21" s="328"/>
      <c r="R21" s="328"/>
      <c r="S21" s="328"/>
      <c r="T21" s="328"/>
      <c r="U21" s="328"/>
      <c r="V21" s="328"/>
      <c r="W21" s="328"/>
      <c r="X21" s="328"/>
      <c r="Y21" s="328"/>
      <c r="Z21" s="328"/>
      <c r="AA21" s="328"/>
      <c r="AB21" s="328"/>
      <c r="AC21" s="328"/>
      <c r="AD21" s="328"/>
      <c r="AE21" s="328"/>
      <c r="AF21" s="328"/>
      <c r="AG21" s="328"/>
      <c r="AH21" s="328"/>
      <c r="AI21" s="328"/>
      <c r="AJ21" s="328"/>
      <c r="AK21" s="328"/>
      <c r="AL21" s="328"/>
      <c r="AM21" s="328"/>
      <c r="AN21" s="328"/>
      <c r="AO21" s="328"/>
      <c r="AP21" s="328"/>
      <c r="AQ21" s="328"/>
      <c r="AR21" s="328"/>
      <c r="AS21" s="328"/>
      <c r="AT21" s="328"/>
      <c r="AU21" s="328"/>
      <c r="AV21" s="328"/>
      <c r="AW21" s="328"/>
      <c r="AX21" s="328"/>
      <c r="AY21" s="328"/>
      <c r="AZ21" s="328"/>
      <c r="BA21" s="328"/>
      <c r="BB21" s="328"/>
      <c r="BC21" s="328"/>
      <c r="BD21" s="328"/>
      <c r="BE21" s="328"/>
      <c r="BF21" s="328"/>
      <c r="BG21" s="328"/>
      <c r="BH21" s="328"/>
      <c r="BI21" s="328"/>
      <c r="BJ21" s="328"/>
      <c r="BK21" s="328"/>
      <c r="BL21" s="328"/>
      <c r="BM21" s="328"/>
      <c r="BN21" s="328"/>
      <c r="BO21" s="328"/>
      <c r="BP21" s="328"/>
      <c r="BQ21" s="328"/>
      <c r="BR21" s="328"/>
      <c r="BS21" s="328"/>
      <c r="BT21" s="328"/>
      <c r="BU21" s="328"/>
      <c r="BV21" s="328"/>
      <c r="BW21" s="328"/>
      <c r="BX21" s="328"/>
      <c r="BY21" s="328"/>
      <c r="BZ21" s="319"/>
      <c r="CA21" s="319"/>
    </row>
    <row r="22" spans="1:79" s="182" customFormat="1" ht="12" x14ac:dyDescent="0.15">
      <c r="A22" s="319"/>
      <c r="B22" s="329"/>
      <c r="C22" s="330"/>
      <c r="D22" s="328"/>
      <c r="E22" s="328"/>
      <c r="F22" s="328"/>
      <c r="G22" s="328"/>
      <c r="H22" s="328"/>
      <c r="I22" s="328"/>
      <c r="J22" s="328"/>
      <c r="K22" s="328"/>
      <c r="L22" s="328"/>
      <c r="M22" s="328"/>
      <c r="N22" s="328"/>
      <c r="O22" s="328"/>
      <c r="P22" s="328"/>
      <c r="Q22" s="328"/>
      <c r="R22" s="328"/>
      <c r="S22" s="328"/>
      <c r="T22" s="328"/>
      <c r="U22" s="328"/>
      <c r="V22" s="328"/>
      <c r="W22" s="328"/>
      <c r="X22" s="328"/>
      <c r="Y22" s="328"/>
      <c r="Z22" s="328"/>
      <c r="AA22" s="328"/>
      <c r="AB22" s="328"/>
      <c r="AC22" s="328"/>
      <c r="AD22" s="328"/>
      <c r="AE22" s="328"/>
      <c r="AF22" s="328"/>
      <c r="AG22" s="328"/>
      <c r="AH22" s="328"/>
      <c r="AI22" s="328"/>
      <c r="AJ22" s="328"/>
      <c r="AK22" s="328"/>
      <c r="AL22" s="328"/>
      <c r="AM22" s="328"/>
      <c r="AN22" s="328"/>
      <c r="AO22" s="328"/>
      <c r="AP22" s="328"/>
      <c r="AQ22" s="328"/>
      <c r="AR22" s="328"/>
      <c r="AS22" s="328"/>
      <c r="AT22" s="328"/>
      <c r="AU22" s="328"/>
      <c r="AV22" s="328"/>
      <c r="AW22" s="328"/>
      <c r="AX22" s="328"/>
      <c r="AY22" s="328"/>
      <c r="AZ22" s="328"/>
      <c r="BA22" s="328"/>
      <c r="BB22" s="328"/>
      <c r="BC22" s="328"/>
      <c r="BD22" s="328"/>
      <c r="BE22" s="328"/>
      <c r="BF22" s="328"/>
      <c r="BG22" s="328"/>
      <c r="BH22" s="328"/>
      <c r="BI22" s="328"/>
      <c r="BJ22" s="328"/>
      <c r="BK22" s="328"/>
      <c r="BL22" s="328"/>
      <c r="BM22" s="328"/>
      <c r="BN22" s="328"/>
      <c r="BO22" s="328"/>
      <c r="BP22" s="328"/>
      <c r="BQ22" s="328"/>
      <c r="BR22" s="328"/>
      <c r="BS22" s="328"/>
      <c r="BT22" s="328"/>
      <c r="BU22" s="328"/>
      <c r="BV22" s="328"/>
      <c r="BW22" s="328"/>
      <c r="BX22" s="328"/>
      <c r="BY22" s="328"/>
      <c r="BZ22" s="319"/>
      <c r="CA22" s="319"/>
    </row>
    <row r="23" spans="1:79" s="182" customFormat="1" ht="12" x14ac:dyDescent="0.15">
      <c r="A23" s="319"/>
      <c r="B23" s="331"/>
      <c r="C23" s="330"/>
      <c r="D23" s="328"/>
      <c r="E23" s="328"/>
      <c r="F23" s="328"/>
      <c r="G23" s="328"/>
      <c r="H23" s="328"/>
      <c r="I23" s="328"/>
      <c r="J23" s="328"/>
      <c r="K23" s="328"/>
      <c r="L23" s="328"/>
      <c r="M23" s="328"/>
      <c r="N23" s="328"/>
      <c r="O23" s="328"/>
      <c r="P23" s="328"/>
      <c r="Q23" s="328"/>
      <c r="R23" s="328"/>
      <c r="S23" s="328"/>
      <c r="T23" s="328"/>
      <c r="U23" s="328"/>
      <c r="V23" s="328"/>
      <c r="W23" s="328"/>
      <c r="X23" s="328"/>
      <c r="Y23" s="328"/>
      <c r="Z23" s="328"/>
      <c r="AA23" s="328"/>
      <c r="AB23" s="328"/>
      <c r="AC23" s="328"/>
      <c r="AD23" s="328"/>
      <c r="AE23" s="328"/>
      <c r="AF23" s="328"/>
      <c r="AG23" s="328"/>
      <c r="AH23" s="328"/>
      <c r="AI23" s="328"/>
      <c r="AJ23" s="328"/>
      <c r="AK23" s="328"/>
      <c r="AL23" s="328"/>
      <c r="AM23" s="328"/>
      <c r="AN23" s="328"/>
      <c r="AO23" s="328"/>
      <c r="AP23" s="328"/>
      <c r="AQ23" s="328"/>
      <c r="AR23" s="328"/>
      <c r="AS23" s="328"/>
      <c r="AT23" s="328"/>
      <c r="AU23" s="328"/>
      <c r="AV23" s="328"/>
      <c r="AW23" s="328"/>
      <c r="AX23" s="328"/>
      <c r="AY23" s="328"/>
      <c r="AZ23" s="328"/>
      <c r="BA23" s="328"/>
      <c r="BB23" s="328"/>
      <c r="BC23" s="328"/>
      <c r="BD23" s="328"/>
      <c r="BE23" s="328"/>
      <c r="BF23" s="328"/>
      <c r="BG23" s="328"/>
      <c r="BH23" s="328"/>
      <c r="BI23" s="328"/>
      <c r="BJ23" s="328"/>
      <c r="BK23" s="328"/>
      <c r="BL23" s="328"/>
      <c r="BM23" s="328"/>
      <c r="BN23" s="328"/>
      <c r="BO23" s="328"/>
      <c r="BP23" s="328"/>
      <c r="BQ23" s="328"/>
      <c r="BR23" s="328"/>
      <c r="BS23" s="328"/>
      <c r="BT23" s="328"/>
      <c r="BU23" s="328"/>
      <c r="BV23" s="328"/>
      <c r="BW23" s="328"/>
      <c r="BX23" s="328"/>
      <c r="BY23" s="328"/>
      <c r="BZ23" s="319"/>
      <c r="CA23" s="319"/>
    </row>
    <row r="24" spans="1:79" s="182" customFormat="1" ht="12" x14ac:dyDescent="0.15">
      <c r="A24" s="319"/>
      <c r="B24" s="331"/>
      <c r="C24" s="330"/>
      <c r="D24" s="328"/>
      <c r="E24" s="328"/>
      <c r="F24" s="328"/>
      <c r="G24" s="328"/>
      <c r="H24" s="328"/>
      <c r="I24" s="328"/>
      <c r="J24" s="328"/>
      <c r="K24" s="328"/>
      <c r="L24" s="328"/>
      <c r="M24" s="328"/>
      <c r="N24" s="328"/>
      <c r="O24" s="328"/>
      <c r="P24" s="328"/>
      <c r="Q24" s="328"/>
      <c r="R24" s="328"/>
      <c r="S24" s="328"/>
      <c r="T24" s="328"/>
      <c r="U24" s="328"/>
      <c r="V24" s="328"/>
      <c r="W24" s="328"/>
      <c r="X24" s="328"/>
      <c r="Y24" s="328"/>
      <c r="Z24" s="328"/>
      <c r="AA24" s="328"/>
      <c r="AB24" s="328"/>
      <c r="AC24" s="328"/>
      <c r="AD24" s="328"/>
      <c r="AE24" s="328"/>
      <c r="AF24" s="328"/>
      <c r="AG24" s="328"/>
      <c r="AH24" s="328"/>
      <c r="AI24" s="328"/>
      <c r="AJ24" s="328"/>
      <c r="AK24" s="328"/>
      <c r="AL24" s="328"/>
      <c r="AM24" s="328"/>
      <c r="AN24" s="328"/>
      <c r="AO24" s="328"/>
      <c r="AP24" s="328"/>
      <c r="AQ24" s="328"/>
      <c r="AR24" s="328"/>
      <c r="AS24" s="328"/>
      <c r="AT24" s="328"/>
      <c r="AU24" s="328"/>
      <c r="AV24" s="328"/>
      <c r="AW24" s="328"/>
      <c r="AX24" s="328"/>
      <c r="AY24" s="328"/>
      <c r="AZ24" s="328"/>
      <c r="BA24" s="328"/>
      <c r="BB24" s="328"/>
      <c r="BC24" s="328"/>
      <c r="BD24" s="328"/>
      <c r="BE24" s="328"/>
      <c r="BF24" s="328"/>
      <c r="BG24" s="328"/>
      <c r="BH24" s="328"/>
      <c r="BI24" s="328"/>
      <c r="BJ24" s="328"/>
      <c r="BK24" s="328"/>
      <c r="BL24" s="328"/>
      <c r="BM24" s="328"/>
      <c r="BN24" s="328"/>
      <c r="BO24" s="328"/>
      <c r="BP24" s="328"/>
      <c r="BQ24" s="328"/>
      <c r="BR24" s="328"/>
      <c r="BS24" s="328"/>
      <c r="BT24" s="328"/>
      <c r="BU24" s="328"/>
      <c r="BV24" s="328"/>
      <c r="BW24" s="328"/>
      <c r="BX24" s="328"/>
      <c r="BY24" s="328"/>
      <c r="BZ24" s="319"/>
      <c r="CA24" s="319"/>
    </row>
    <row r="25" spans="1:79" s="182" customFormat="1" ht="12" x14ac:dyDescent="0.15">
      <c r="A25" s="319"/>
      <c r="B25" s="331"/>
      <c r="C25" s="330"/>
      <c r="D25" s="328"/>
      <c r="E25" s="328"/>
      <c r="F25" s="328"/>
      <c r="G25" s="328"/>
      <c r="H25" s="328"/>
      <c r="I25" s="328"/>
      <c r="J25" s="328"/>
      <c r="K25" s="328"/>
      <c r="L25" s="328"/>
      <c r="M25" s="328"/>
      <c r="N25" s="328"/>
      <c r="O25" s="328"/>
      <c r="P25" s="328"/>
      <c r="Q25" s="328"/>
      <c r="R25" s="328"/>
      <c r="S25" s="328"/>
      <c r="T25" s="328"/>
      <c r="U25" s="328"/>
      <c r="V25" s="328"/>
      <c r="W25" s="328"/>
      <c r="X25" s="328"/>
      <c r="Y25" s="328"/>
      <c r="Z25" s="328"/>
      <c r="AA25" s="328"/>
      <c r="AB25" s="328"/>
      <c r="AC25" s="328"/>
      <c r="AD25" s="328"/>
      <c r="AE25" s="328"/>
      <c r="AF25" s="328"/>
      <c r="AG25" s="328"/>
      <c r="AH25" s="328"/>
      <c r="AI25" s="328"/>
      <c r="AJ25" s="328"/>
      <c r="AK25" s="328"/>
      <c r="AL25" s="328"/>
      <c r="AM25" s="328"/>
      <c r="AN25" s="328"/>
      <c r="AO25" s="328"/>
      <c r="AP25" s="328"/>
      <c r="AQ25" s="328"/>
      <c r="AR25" s="328"/>
      <c r="AS25" s="328"/>
      <c r="AT25" s="328"/>
      <c r="AU25" s="328"/>
      <c r="AV25" s="328"/>
      <c r="AW25" s="328"/>
      <c r="AX25" s="328"/>
      <c r="AY25" s="328"/>
      <c r="AZ25" s="328"/>
      <c r="BA25" s="328"/>
      <c r="BB25" s="328"/>
      <c r="BC25" s="328"/>
      <c r="BD25" s="328"/>
      <c r="BE25" s="328"/>
      <c r="BF25" s="328"/>
      <c r="BG25" s="328"/>
      <c r="BH25" s="328"/>
      <c r="BI25" s="328"/>
      <c r="BJ25" s="328"/>
      <c r="BK25" s="328"/>
      <c r="BL25" s="328"/>
      <c r="BM25" s="328"/>
      <c r="BN25" s="328"/>
      <c r="BO25" s="328"/>
      <c r="BP25" s="328"/>
      <c r="BQ25" s="328"/>
      <c r="BR25" s="328"/>
      <c r="BS25" s="328"/>
      <c r="BT25" s="328"/>
      <c r="BU25" s="328"/>
      <c r="BV25" s="328"/>
      <c r="BW25" s="328"/>
      <c r="BX25" s="328"/>
      <c r="BY25" s="328"/>
      <c r="BZ25" s="319"/>
      <c r="CA25" s="319"/>
    </row>
    <row r="26" spans="1:79" s="182" customFormat="1" ht="12" x14ac:dyDescent="0.15">
      <c r="A26" s="319"/>
      <c r="B26" s="332"/>
      <c r="C26" s="327"/>
      <c r="D26" s="328"/>
      <c r="E26" s="328"/>
      <c r="F26" s="328"/>
      <c r="G26" s="328"/>
      <c r="H26" s="328"/>
      <c r="I26" s="328"/>
      <c r="J26" s="328"/>
      <c r="K26" s="328"/>
      <c r="L26" s="328"/>
      <c r="M26" s="328"/>
      <c r="N26" s="328"/>
      <c r="O26" s="328"/>
      <c r="P26" s="328"/>
      <c r="Q26" s="328"/>
      <c r="R26" s="328"/>
      <c r="S26" s="328"/>
      <c r="T26" s="328"/>
      <c r="U26" s="328"/>
      <c r="V26" s="328"/>
      <c r="W26" s="328"/>
      <c r="X26" s="328"/>
      <c r="Y26" s="328"/>
      <c r="Z26" s="328"/>
      <c r="AA26" s="328"/>
      <c r="AB26" s="328"/>
      <c r="AC26" s="328"/>
      <c r="AD26" s="328"/>
      <c r="AE26" s="328"/>
      <c r="AF26" s="328"/>
      <c r="AG26" s="328"/>
      <c r="AH26" s="328"/>
      <c r="AI26" s="328"/>
      <c r="AJ26" s="328"/>
      <c r="AK26" s="328"/>
      <c r="AL26" s="328"/>
      <c r="AM26" s="328"/>
      <c r="AN26" s="328"/>
      <c r="AO26" s="328"/>
      <c r="AP26" s="328"/>
      <c r="AQ26" s="328"/>
      <c r="AR26" s="328"/>
      <c r="AS26" s="328"/>
      <c r="AT26" s="328"/>
      <c r="AU26" s="328"/>
      <c r="AV26" s="328"/>
      <c r="AW26" s="328"/>
      <c r="AX26" s="328"/>
      <c r="AY26" s="328"/>
      <c r="AZ26" s="328"/>
      <c r="BA26" s="328"/>
      <c r="BB26" s="328"/>
      <c r="BC26" s="328"/>
      <c r="BD26" s="328"/>
      <c r="BE26" s="328"/>
      <c r="BF26" s="328"/>
      <c r="BG26" s="328"/>
      <c r="BH26" s="328"/>
      <c r="BI26" s="328"/>
      <c r="BJ26" s="328"/>
      <c r="BK26" s="328"/>
      <c r="BL26" s="328"/>
      <c r="BM26" s="328"/>
      <c r="BN26" s="328"/>
      <c r="BO26" s="328"/>
      <c r="BP26" s="328"/>
      <c r="BQ26" s="328"/>
      <c r="BR26" s="328"/>
      <c r="BS26" s="328"/>
      <c r="BT26" s="328"/>
      <c r="BU26" s="328"/>
      <c r="BV26" s="328"/>
      <c r="BW26" s="328"/>
      <c r="BX26" s="328"/>
      <c r="BY26" s="328"/>
      <c r="BZ26" s="319"/>
      <c r="CA26" s="319"/>
    </row>
    <row r="27" spans="1:79" s="182" customFormat="1" ht="12" x14ac:dyDescent="0.15">
      <c r="A27" s="319"/>
      <c r="B27" s="326"/>
      <c r="C27" s="333"/>
      <c r="D27" s="328"/>
      <c r="E27" s="328"/>
      <c r="F27" s="328"/>
      <c r="G27" s="328"/>
      <c r="H27" s="328"/>
      <c r="I27" s="328"/>
      <c r="J27" s="328"/>
      <c r="K27" s="328"/>
      <c r="L27" s="328"/>
      <c r="M27" s="328"/>
      <c r="N27" s="328"/>
      <c r="O27" s="328"/>
      <c r="P27" s="328"/>
      <c r="Q27" s="328"/>
      <c r="R27" s="328"/>
      <c r="S27" s="328"/>
      <c r="T27" s="328"/>
      <c r="U27" s="328"/>
      <c r="V27" s="328"/>
      <c r="W27" s="328"/>
      <c r="X27" s="328"/>
      <c r="Y27" s="328"/>
      <c r="Z27" s="328"/>
      <c r="AA27" s="328"/>
      <c r="AB27" s="328"/>
      <c r="AC27" s="328"/>
      <c r="AD27" s="328"/>
      <c r="AE27" s="328"/>
      <c r="AF27" s="328"/>
      <c r="AG27" s="328"/>
      <c r="AH27" s="328"/>
      <c r="AI27" s="328"/>
      <c r="AJ27" s="328"/>
      <c r="AK27" s="328"/>
      <c r="AL27" s="328"/>
      <c r="AM27" s="328"/>
      <c r="AN27" s="328"/>
      <c r="AO27" s="328"/>
      <c r="AP27" s="328"/>
      <c r="AQ27" s="328"/>
      <c r="AR27" s="328"/>
      <c r="AS27" s="328"/>
      <c r="AT27" s="328"/>
      <c r="AU27" s="328"/>
      <c r="AV27" s="328"/>
      <c r="AW27" s="328"/>
      <c r="AX27" s="328"/>
      <c r="AY27" s="328"/>
      <c r="AZ27" s="328"/>
      <c r="BA27" s="328"/>
      <c r="BB27" s="328"/>
      <c r="BC27" s="328"/>
      <c r="BD27" s="328"/>
      <c r="BE27" s="328"/>
      <c r="BF27" s="328"/>
      <c r="BG27" s="328"/>
      <c r="BH27" s="328"/>
      <c r="BI27" s="328"/>
      <c r="BJ27" s="328"/>
      <c r="BK27" s="328"/>
      <c r="BL27" s="328"/>
      <c r="BM27" s="328"/>
      <c r="BN27" s="328"/>
      <c r="BO27" s="328"/>
      <c r="BP27" s="328"/>
      <c r="BQ27" s="328"/>
      <c r="BR27" s="328"/>
      <c r="BS27" s="328"/>
      <c r="BT27" s="328"/>
      <c r="BU27" s="328"/>
      <c r="BV27" s="328"/>
      <c r="BW27" s="328"/>
      <c r="BX27" s="328"/>
      <c r="BY27" s="328"/>
      <c r="BZ27" s="319"/>
      <c r="CA27" s="319"/>
    </row>
    <row r="28" spans="1:79" s="182" customFormat="1" ht="12" x14ac:dyDescent="0.15">
      <c r="A28" s="319"/>
      <c r="B28" s="326"/>
      <c r="C28" s="334"/>
      <c r="D28" s="328"/>
      <c r="E28" s="328"/>
      <c r="F28" s="328"/>
      <c r="G28" s="328"/>
      <c r="H28" s="328"/>
      <c r="I28" s="328"/>
      <c r="J28" s="328"/>
      <c r="K28" s="328"/>
      <c r="L28" s="328"/>
      <c r="M28" s="328"/>
      <c r="N28" s="328"/>
      <c r="O28" s="328"/>
      <c r="P28" s="328"/>
      <c r="Q28" s="328"/>
      <c r="R28" s="328"/>
      <c r="S28" s="328"/>
      <c r="T28" s="328"/>
      <c r="U28" s="328"/>
      <c r="V28" s="328"/>
      <c r="W28" s="328"/>
      <c r="X28" s="328"/>
      <c r="Y28" s="328"/>
      <c r="Z28" s="328"/>
      <c r="AA28" s="328"/>
      <c r="AB28" s="328"/>
      <c r="AC28" s="328"/>
      <c r="AD28" s="328"/>
      <c r="AE28" s="328"/>
      <c r="AF28" s="328"/>
      <c r="AG28" s="328"/>
      <c r="AH28" s="328"/>
      <c r="AI28" s="328"/>
      <c r="AJ28" s="328"/>
      <c r="AK28" s="328"/>
      <c r="AL28" s="328"/>
      <c r="AM28" s="328"/>
      <c r="AN28" s="328"/>
      <c r="AO28" s="328"/>
      <c r="AP28" s="328"/>
      <c r="AQ28" s="328"/>
      <c r="AR28" s="328"/>
      <c r="AS28" s="328"/>
      <c r="AT28" s="328"/>
      <c r="AU28" s="328"/>
      <c r="AV28" s="328"/>
      <c r="AW28" s="328"/>
      <c r="AX28" s="328"/>
      <c r="AY28" s="328"/>
      <c r="AZ28" s="328"/>
      <c r="BA28" s="328"/>
      <c r="BB28" s="328"/>
      <c r="BC28" s="328"/>
      <c r="BD28" s="328"/>
      <c r="BE28" s="328"/>
      <c r="BF28" s="328"/>
      <c r="BG28" s="328"/>
      <c r="BH28" s="328"/>
      <c r="BI28" s="328"/>
      <c r="BJ28" s="328"/>
      <c r="BK28" s="328"/>
      <c r="BL28" s="328"/>
      <c r="BM28" s="328"/>
      <c r="BN28" s="328"/>
      <c r="BO28" s="328"/>
      <c r="BP28" s="328"/>
      <c r="BQ28" s="328"/>
      <c r="BR28" s="328"/>
      <c r="BS28" s="328"/>
      <c r="BT28" s="328"/>
      <c r="BU28" s="328"/>
      <c r="BV28" s="328"/>
      <c r="BW28" s="328"/>
      <c r="BX28" s="328"/>
      <c r="BY28" s="328"/>
      <c r="BZ28" s="319"/>
      <c r="CA28" s="319"/>
    </row>
    <row r="29" spans="1:79" s="182" customFormat="1" ht="12" x14ac:dyDescent="0.15">
      <c r="A29" s="319"/>
      <c r="B29" s="326"/>
      <c r="C29" s="334"/>
      <c r="D29" s="328"/>
      <c r="E29" s="328"/>
      <c r="F29" s="328"/>
      <c r="G29" s="328"/>
      <c r="H29" s="328"/>
      <c r="I29" s="328"/>
      <c r="J29" s="328"/>
      <c r="K29" s="328"/>
      <c r="L29" s="328"/>
      <c r="M29" s="328"/>
      <c r="N29" s="328"/>
      <c r="O29" s="328"/>
      <c r="P29" s="328"/>
      <c r="Q29" s="328"/>
      <c r="R29" s="328"/>
      <c r="S29" s="328"/>
      <c r="T29" s="328"/>
      <c r="U29" s="328"/>
      <c r="V29" s="328"/>
      <c r="W29" s="328"/>
      <c r="X29" s="328"/>
      <c r="Y29" s="328"/>
      <c r="Z29" s="328"/>
      <c r="AA29" s="328"/>
      <c r="AB29" s="328"/>
      <c r="AC29" s="328"/>
      <c r="AD29" s="328"/>
      <c r="AE29" s="328"/>
      <c r="AF29" s="328"/>
      <c r="AG29" s="328"/>
      <c r="AH29" s="328"/>
      <c r="AI29" s="328"/>
      <c r="AJ29" s="328"/>
      <c r="AK29" s="328"/>
      <c r="AL29" s="328"/>
      <c r="AM29" s="328"/>
      <c r="AN29" s="328"/>
      <c r="AO29" s="328"/>
      <c r="AP29" s="328"/>
      <c r="AQ29" s="328"/>
      <c r="AR29" s="328"/>
      <c r="AS29" s="328"/>
      <c r="AT29" s="328"/>
      <c r="AU29" s="328"/>
      <c r="AV29" s="328"/>
      <c r="AW29" s="328"/>
      <c r="AX29" s="328"/>
      <c r="AY29" s="328"/>
      <c r="AZ29" s="328"/>
      <c r="BA29" s="328"/>
      <c r="BB29" s="328"/>
      <c r="BC29" s="328"/>
      <c r="BD29" s="328"/>
      <c r="BE29" s="328"/>
      <c r="BF29" s="328"/>
      <c r="BG29" s="328"/>
      <c r="BH29" s="328"/>
      <c r="BI29" s="328"/>
      <c r="BJ29" s="328"/>
      <c r="BK29" s="328"/>
      <c r="BL29" s="328"/>
      <c r="BM29" s="328"/>
      <c r="BN29" s="328"/>
      <c r="BO29" s="328"/>
      <c r="BP29" s="328"/>
      <c r="BQ29" s="328"/>
      <c r="BR29" s="328"/>
      <c r="BS29" s="328"/>
      <c r="BT29" s="328"/>
      <c r="BU29" s="328"/>
      <c r="BV29" s="328"/>
      <c r="BW29" s="328"/>
      <c r="BX29" s="328"/>
      <c r="BY29" s="328"/>
      <c r="BZ29" s="319"/>
      <c r="CA29" s="319"/>
    </row>
    <row r="30" spans="1:79" s="182" customFormat="1" ht="12" x14ac:dyDescent="0.15">
      <c r="A30" s="319"/>
      <c r="B30" s="326"/>
      <c r="C30" s="327"/>
      <c r="D30" s="328"/>
      <c r="E30" s="328"/>
      <c r="F30" s="328"/>
      <c r="G30" s="328"/>
      <c r="H30" s="328"/>
      <c r="I30" s="328"/>
      <c r="J30" s="328"/>
      <c r="K30" s="328"/>
      <c r="L30" s="328"/>
      <c r="M30" s="328"/>
      <c r="N30" s="328"/>
      <c r="O30" s="328"/>
      <c r="P30" s="328"/>
      <c r="Q30" s="328"/>
      <c r="R30" s="328"/>
      <c r="S30" s="328"/>
      <c r="T30" s="328"/>
      <c r="U30" s="328"/>
      <c r="V30" s="328"/>
      <c r="W30" s="328"/>
      <c r="X30" s="328"/>
      <c r="Y30" s="328"/>
      <c r="Z30" s="328"/>
      <c r="AA30" s="328"/>
      <c r="AB30" s="328"/>
      <c r="AC30" s="335"/>
      <c r="AD30" s="335"/>
      <c r="AE30" s="335"/>
      <c r="AF30" s="328"/>
      <c r="AG30" s="328"/>
      <c r="AH30" s="328"/>
      <c r="AI30" s="328"/>
      <c r="AJ30" s="328"/>
      <c r="AK30" s="328"/>
      <c r="AL30" s="328"/>
      <c r="AM30" s="328"/>
      <c r="AN30" s="328"/>
      <c r="AO30" s="328"/>
      <c r="AP30" s="328"/>
      <c r="AQ30" s="328"/>
      <c r="AR30" s="328"/>
      <c r="AS30" s="328"/>
      <c r="AT30" s="328"/>
      <c r="AU30" s="328"/>
      <c r="AV30" s="328"/>
      <c r="AW30" s="328"/>
      <c r="AX30" s="328"/>
      <c r="AY30" s="328"/>
      <c r="AZ30" s="328"/>
      <c r="BA30" s="328"/>
      <c r="BB30" s="328"/>
      <c r="BC30" s="328"/>
      <c r="BD30" s="328"/>
      <c r="BE30" s="328"/>
      <c r="BF30" s="328"/>
      <c r="BG30" s="328"/>
      <c r="BH30" s="328"/>
      <c r="BI30" s="328"/>
      <c r="BJ30" s="328"/>
      <c r="BK30" s="328"/>
      <c r="BL30" s="328"/>
      <c r="BM30" s="328"/>
      <c r="BN30" s="328"/>
      <c r="BO30" s="328"/>
      <c r="BP30" s="328"/>
      <c r="BQ30" s="328"/>
      <c r="BR30" s="328"/>
      <c r="BS30" s="328"/>
      <c r="BT30" s="328"/>
      <c r="BU30" s="328"/>
      <c r="BV30" s="328"/>
      <c r="BW30" s="328"/>
      <c r="BX30" s="328"/>
      <c r="BY30" s="328"/>
      <c r="BZ30" s="319"/>
      <c r="CA30" s="319"/>
    </row>
    <row r="31" spans="1:79" s="182" customFormat="1" ht="12" x14ac:dyDescent="0.15">
      <c r="A31" s="319"/>
      <c r="B31" s="326"/>
      <c r="C31" s="333"/>
      <c r="D31" s="328"/>
      <c r="E31" s="328"/>
      <c r="F31" s="328"/>
      <c r="G31" s="328"/>
      <c r="H31" s="328"/>
      <c r="I31" s="328"/>
      <c r="J31" s="328"/>
      <c r="K31" s="328"/>
      <c r="L31" s="328"/>
      <c r="M31" s="328"/>
      <c r="N31" s="328"/>
      <c r="O31" s="328"/>
      <c r="P31" s="328"/>
      <c r="Q31" s="328"/>
      <c r="R31" s="328"/>
      <c r="S31" s="328"/>
      <c r="T31" s="328"/>
      <c r="U31" s="328"/>
      <c r="V31" s="328"/>
      <c r="W31" s="328"/>
      <c r="X31" s="328"/>
      <c r="Y31" s="328"/>
      <c r="Z31" s="335"/>
      <c r="AA31" s="328"/>
      <c r="AB31" s="328"/>
      <c r="AC31" s="328"/>
      <c r="AD31" s="328"/>
      <c r="AE31" s="328"/>
      <c r="AF31" s="328"/>
      <c r="AG31" s="328"/>
      <c r="AH31" s="328"/>
      <c r="AI31" s="328"/>
      <c r="AJ31" s="328"/>
      <c r="AK31" s="328"/>
      <c r="AL31" s="328"/>
      <c r="AM31" s="328"/>
      <c r="AN31" s="328"/>
      <c r="AO31" s="328"/>
      <c r="AP31" s="328"/>
      <c r="AQ31" s="328"/>
      <c r="AR31" s="328"/>
      <c r="AS31" s="328"/>
      <c r="AT31" s="328"/>
      <c r="AU31" s="328"/>
      <c r="AV31" s="328"/>
      <c r="AW31" s="328"/>
      <c r="AX31" s="328"/>
      <c r="AY31" s="328"/>
      <c r="AZ31" s="328"/>
      <c r="BA31" s="328"/>
      <c r="BB31" s="328"/>
      <c r="BC31" s="328"/>
      <c r="BD31" s="328"/>
      <c r="BE31" s="328"/>
      <c r="BF31" s="328"/>
      <c r="BG31" s="328"/>
      <c r="BH31" s="328"/>
      <c r="BI31" s="328"/>
      <c r="BJ31" s="328"/>
      <c r="BK31" s="328"/>
      <c r="BL31" s="328"/>
      <c r="BM31" s="328"/>
      <c r="BN31" s="328"/>
      <c r="BO31" s="328"/>
      <c r="BP31" s="328"/>
      <c r="BQ31" s="328"/>
      <c r="BR31" s="328"/>
      <c r="BS31" s="328"/>
      <c r="BT31" s="328"/>
      <c r="BU31" s="328"/>
      <c r="BV31" s="328"/>
      <c r="BW31" s="328"/>
      <c r="BX31" s="328"/>
      <c r="BY31" s="328"/>
      <c r="BZ31" s="319"/>
      <c r="CA31" s="319"/>
    </row>
    <row r="32" spans="1:79" s="182" customFormat="1" ht="12" x14ac:dyDescent="0.15">
      <c r="A32" s="319"/>
      <c r="B32" s="326"/>
      <c r="C32" s="334"/>
      <c r="D32" s="328"/>
      <c r="E32" s="328"/>
      <c r="F32" s="328"/>
      <c r="G32" s="328"/>
      <c r="H32" s="328"/>
      <c r="I32" s="328"/>
      <c r="J32" s="328"/>
      <c r="K32" s="328"/>
      <c r="L32" s="328"/>
      <c r="M32" s="328"/>
      <c r="N32" s="328"/>
      <c r="O32" s="328"/>
      <c r="P32" s="328"/>
      <c r="Q32" s="328"/>
      <c r="R32" s="328"/>
      <c r="S32" s="328"/>
      <c r="T32" s="328"/>
      <c r="U32" s="328"/>
      <c r="V32" s="328"/>
      <c r="W32" s="328"/>
      <c r="X32" s="328"/>
      <c r="Y32" s="328"/>
      <c r="Z32" s="335"/>
      <c r="AA32" s="328"/>
      <c r="AB32" s="328"/>
      <c r="AC32" s="328"/>
      <c r="AD32" s="328"/>
      <c r="AE32" s="328"/>
      <c r="AF32" s="328"/>
      <c r="AG32" s="328"/>
      <c r="AH32" s="328"/>
      <c r="AI32" s="328"/>
      <c r="AJ32" s="328"/>
      <c r="AK32" s="328"/>
      <c r="AL32" s="328"/>
      <c r="AM32" s="328"/>
      <c r="AN32" s="328"/>
      <c r="AO32" s="328"/>
      <c r="AP32" s="328"/>
      <c r="AQ32" s="328"/>
      <c r="AR32" s="328"/>
      <c r="AS32" s="328"/>
      <c r="AT32" s="328"/>
      <c r="AU32" s="328"/>
      <c r="AV32" s="328"/>
      <c r="AW32" s="328"/>
      <c r="AX32" s="328"/>
      <c r="AY32" s="328"/>
      <c r="AZ32" s="328"/>
      <c r="BA32" s="328"/>
      <c r="BB32" s="328"/>
      <c r="BC32" s="328"/>
      <c r="BD32" s="328"/>
      <c r="BE32" s="328"/>
      <c r="BF32" s="328"/>
      <c r="BG32" s="328"/>
      <c r="BH32" s="328"/>
      <c r="BI32" s="328"/>
      <c r="BJ32" s="328"/>
      <c r="BK32" s="328"/>
      <c r="BL32" s="328"/>
      <c r="BM32" s="328"/>
      <c r="BN32" s="328"/>
      <c r="BO32" s="328"/>
      <c r="BP32" s="328"/>
      <c r="BQ32" s="328"/>
      <c r="BR32" s="328"/>
      <c r="BS32" s="328"/>
      <c r="BT32" s="328"/>
      <c r="BU32" s="328"/>
      <c r="BV32" s="328"/>
      <c r="BW32" s="328"/>
      <c r="BX32" s="328"/>
      <c r="BY32" s="328"/>
      <c r="BZ32" s="319"/>
      <c r="CA32" s="319"/>
    </row>
    <row r="33" spans="1:79" s="182" customFormat="1" ht="12" x14ac:dyDescent="0.15">
      <c r="A33" s="319"/>
      <c r="B33" s="336"/>
      <c r="C33" s="334"/>
      <c r="D33" s="328"/>
      <c r="E33" s="335"/>
      <c r="F33" s="335"/>
      <c r="G33" s="335"/>
      <c r="H33" s="335"/>
      <c r="I33" s="335"/>
      <c r="J33" s="335"/>
      <c r="K33" s="335"/>
      <c r="L33" s="335"/>
      <c r="M33" s="335"/>
      <c r="N33" s="335"/>
      <c r="O33" s="335"/>
      <c r="P33" s="335"/>
      <c r="Q33" s="335"/>
      <c r="R33" s="335"/>
      <c r="S33" s="335"/>
      <c r="T33" s="335"/>
      <c r="U33" s="335"/>
      <c r="V33" s="335"/>
      <c r="W33" s="335"/>
      <c r="X33" s="335"/>
      <c r="Y33" s="335"/>
      <c r="Z33" s="335"/>
      <c r="AA33" s="335"/>
      <c r="AB33" s="335"/>
      <c r="AC33" s="328"/>
      <c r="AD33" s="335"/>
      <c r="AE33" s="335"/>
      <c r="AF33" s="335"/>
      <c r="AG33" s="335"/>
      <c r="AH33" s="335"/>
      <c r="AI33" s="335"/>
      <c r="AJ33" s="335"/>
      <c r="AK33" s="335"/>
      <c r="AL33" s="335"/>
      <c r="AM33" s="335"/>
      <c r="AN33" s="335"/>
      <c r="AO33" s="328"/>
      <c r="AP33" s="335"/>
      <c r="AQ33" s="335"/>
      <c r="AR33" s="335"/>
      <c r="AS33" s="335"/>
      <c r="AT33" s="335"/>
      <c r="AU33" s="335"/>
      <c r="AV33" s="335"/>
      <c r="AW33" s="335"/>
      <c r="AX33" s="335"/>
      <c r="AY33" s="335"/>
      <c r="AZ33" s="335"/>
      <c r="BA33" s="328"/>
      <c r="BB33" s="335"/>
      <c r="BC33" s="335"/>
      <c r="BD33" s="335"/>
      <c r="BE33" s="335"/>
      <c r="BF33" s="335"/>
      <c r="BG33" s="335"/>
      <c r="BH33" s="335"/>
      <c r="BI33" s="335"/>
      <c r="BJ33" s="335"/>
      <c r="BK33" s="335"/>
      <c r="BL33" s="335"/>
      <c r="BM33" s="328"/>
      <c r="BN33" s="335"/>
      <c r="BO33" s="335"/>
      <c r="BP33" s="335"/>
      <c r="BQ33" s="335"/>
      <c r="BR33" s="335"/>
      <c r="BS33" s="335"/>
      <c r="BT33" s="335"/>
      <c r="BU33" s="335"/>
      <c r="BV33" s="335"/>
      <c r="BW33" s="335"/>
      <c r="BX33" s="335"/>
      <c r="BY33" s="335"/>
      <c r="BZ33" s="319"/>
      <c r="CA33" s="319"/>
    </row>
    <row r="34" spans="1:79" s="182" customFormat="1" ht="12" x14ac:dyDescent="0.15">
      <c r="A34" s="319"/>
      <c r="B34" s="305"/>
      <c r="C34" s="337"/>
      <c r="D34" s="328"/>
      <c r="E34" s="335"/>
      <c r="F34" s="335"/>
      <c r="G34" s="335"/>
      <c r="H34" s="335"/>
      <c r="I34" s="335"/>
      <c r="J34" s="335"/>
      <c r="K34" s="335"/>
      <c r="L34" s="335"/>
      <c r="M34" s="335"/>
      <c r="N34" s="335"/>
      <c r="O34" s="335"/>
      <c r="P34" s="335"/>
      <c r="Q34" s="335"/>
      <c r="R34" s="335"/>
      <c r="S34" s="335"/>
      <c r="T34" s="335"/>
      <c r="U34" s="335"/>
      <c r="V34" s="335"/>
      <c r="W34" s="335"/>
      <c r="X34" s="335"/>
      <c r="Y34" s="335"/>
      <c r="Z34" s="335"/>
      <c r="AA34" s="335"/>
      <c r="AB34" s="335"/>
      <c r="AC34" s="328"/>
      <c r="AD34" s="335"/>
      <c r="AE34" s="335"/>
      <c r="AF34" s="335"/>
      <c r="AG34" s="335"/>
      <c r="AH34" s="335"/>
      <c r="AI34" s="335"/>
      <c r="AJ34" s="335"/>
      <c r="AK34" s="335"/>
      <c r="AL34" s="335"/>
      <c r="AM34" s="335"/>
      <c r="AN34" s="335"/>
      <c r="AO34" s="328"/>
      <c r="AP34" s="335"/>
      <c r="AQ34" s="335"/>
      <c r="AR34" s="335"/>
      <c r="AS34" s="335"/>
      <c r="AT34" s="335"/>
      <c r="AU34" s="335"/>
      <c r="AV34" s="335"/>
      <c r="AW34" s="335"/>
      <c r="AX34" s="335"/>
      <c r="AY34" s="335"/>
      <c r="AZ34" s="335"/>
      <c r="BA34" s="328"/>
      <c r="BB34" s="335"/>
      <c r="BC34" s="335"/>
      <c r="BD34" s="335"/>
      <c r="BE34" s="335"/>
      <c r="BF34" s="335"/>
      <c r="BG34" s="335"/>
      <c r="BH34" s="335"/>
      <c r="BI34" s="335"/>
      <c r="BJ34" s="335"/>
      <c r="BK34" s="335"/>
      <c r="BL34" s="335"/>
      <c r="BM34" s="328"/>
      <c r="BN34" s="335"/>
      <c r="BO34" s="335"/>
      <c r="BP34" s="335"/>
      <c r="BQ34" s="335"/>
      <c r="BR34" s="335"/>
      <c r="BS34" s="335"/>
      <c r="BT34" s="335"/>
      <c r="BU34" s="335"/>
      <c r="BV34" s="335"/>
      <c r="BW34" s="335"/>
      <c r="BX34" s="335"/>
      <c r="BY34" s="335"/>
      <c r="BZ34" s="319"/>
      <c r="CA34" s="319"/>
    </row>
    <row r="35" spans="1:79" s="182" customFormat="1" ht="12" x14ac:dyDescent="0.15">
      <c r="A35" s="319"/>
      <c r="B35" s="305"/>
      <c r="C35" s="337"/>
      <c r="D35" s="328"/>
      <c r="E35" s="335"/>
      <c r="F35" s="335"/>
      <c r="G35" s="335"/>
      <c r="H35" s="335"/>
      <c r="I35" s="335"/>
      <c r="J35" s="335"/>
      <c r="K35" s="335"/>
      <c r="L35" s="335"/>
      <c r="M35" s="335"/>
      <c r="N35" s="335"/>
      <c r="O35" s="335"/>
      <c r="P35" s="335"/>
      <c r="Q35" s="335"/>
      <c r="R35" s="335"/>
      <c r="S35" s="335"/>
      <c r="T35" s="335"/>
      <c r="U35" s="335"/>
      <c r="V35" s="335"/>
      <c r="W35" s="335"/>
      <c r="X35" s="335"/>
      <c r="Y35" s="335"/>
      <c r="Z35" s="335"/>
      <c r="AA35" s="335"/>
      <c r="AB35" s="335"/>
      <c r="AC35" s="328"/>
      <c r="AD35" s="335"/>
      <c r="AE35" s="335"/>
      <c r="AF35" s="335"/>
      <c r="AG35" s="335"/>
      <c r="AH35" s="335"/>
      <c r="AI35" s="335"/>
      <c r="AJ35" s="335"/>
      <c r="AK35" s="335"/>
      <c r="AL35" s="335"/>
      <c r="AM35" s="335"/>
      <c r="AN35" s="335"/>
      <c r="AO35" s="335"/>
      <c r="AP35" s="335"/>
      <c r="AQ35" s="335"/>
      <c r="AR35" s="335"/>
      <c r="AS35" s="335"/>
      <c r="AT35" s="335"/>
      <c r="AU35" s="335"/>
      <c r="AV35" s="335"/>
      <c r="AW35" s="335"/>
      <c r="AX35" s="335"/>
      <c r="AY35" s="335"/>
      <c r="AZ35" s="335"/>
      <c r="BA35" s="335"/>
      <c r="BB35" s="335"/>
      <c r="BC35" s="335"/>
      <c r="BD35" s="335"/>
      <c r="BE35" s="335"/>
      <c r="BF35" s="335"/>
      <c r="BG35" s="335"/>
      <c r="BH35" s="335"/>
      <c r="BI35" s="335"/>
      <c r="BJ35" s="335"/>
      <c r="BK35" s="335"/>
      <c r="BL35" s="335"/>
      <c r="BM35" s="335"/>
      <c r="BN35" s="335"/>
      <c r="BO35" s="335"/>
      <c r="BP35" s="335"/>
      <c r="BQ35" s="335"/>
      <c r="BR35" s="335"/>
      <c r="BS35" s="335"/>
      <c r="BT35" s="335"/>
      <c r="BU35" s="335"/>
      <c r="BV35" s="335"/>
      <c r="BW35" s="335"/>
      <c r="BX35" s="335"/>
      <c r="BY35" s="335"/>
      <c r="BZ35" s="319"/>
      <c r="CA35" s="319"/>
    </row>
    <row r="36" spans="1:79" s="182" customFormat="1" ht="12" x14ac:dyDescent="0.15">
      <c r="A36" s="319"/>
      <c r="B36" s="305"/>
      <c r="C36" s="337"/>
      <c r="D36" s="328"/>
      <c r="E36" s="335"/>
      <c r="F36" s="335"/>
      <c r="G36" s="335"/>
      <c r="H36" s="335"/>
      <c r="I36" s="335"/>
      <c r="J36" s="335"/>
      <c r="K36" s="335"/>
      <c r="L36" s="335"/>
      <c r="M36" s="335"/>
      <c r="N36" s="335"/>
      <c r="O36" s="335"/>
      <c r="P36" s="335"/>
      <c r="Q36" s="335"/>
      <c r="R36" s="335"/>
      <c r="S36" s="335"/>
      <c r="T36" s="335"/>
      <c r="U36" s="335"/>
      <c r="V36" s="335"/>
      <c r="W36" s="335"/>
      <c r="X36" s="335"/>
      <c r="Y36" s="335"/>
      <c r="Z36" s="335"/>
      <c r="AA36" s="335"/>
      <c r="AB36" s="335"/>
      <c r="AC36" s="335"/>
      <c r="AD36" s="335"/>
      <c r="AE36" s="335"/>
      <c r="AF36" s="335"/>
      <c r="AG36" s="335"/>
      <c r="AH36" s="335"/>
      <c r="AI36" s="335"/>
      <c r="AJ36" s="335"/>
      <c r="AK36" s="335"/>
      <c r="AL36" s="335"/>
      <c r="AM36" s="335"/>
      <c r="AN36" s="335"/>
      <c r="AO36" s="335"/>
      <c r="AP36" s="335"/>
      <c r="AQ36" s="335"/>
      <c r="AR36" s="335"/>
      <c r="AS36" s="335"/>
      <c r="AT36" s="335"/>
      <c r="AU36" s="335"/>
      <c r="AV36" s="335"/>
      <c r="AW36" s="335"/>
      <c r="AX36" s="335"/>
      <c r="AY36" s="335"/>
      <c r="AZ36" s="335"/>
      <c r="BA36" s="335"/>
      <c r="BB36" s="335"/>
      <c r="BC36" s="335"/>
      <c r="BD36" s="335"/>
      <c r="BE36" s="335"/>
      <c r="BF36" s="335"/>
      <c r="BG36" s="335"/>
      <c r="BH36" s="335"/>
      <c r="BI36" s="335"/>
      <c r="BJ36" s="335"/>
      <c r="BK36" s="335"/>
      <c r="BL36" s="335"/>
      <c r="BM36" s="335"/>
      <c r="BN36" s="335"/>
      <c r="BO36" s="335"/>
      <c r="BP36" s="335"/>
      <c r="BQ36" s="335"/>
      <c r="BR36" s="335"/>
      <c r="BS36" s="335"/>
      <c r="BT36" s="335"/>
      <c r="BU36" s="335"/>
      <c r="BV36" s="335"/>
      <c r="BW36" s="335"/>
      <c r="BX36" s="335"/>
      <c r="BY36" s="335"/>
      <c r="BZ36" s="319"/>
      <c r="CA36" s="319"/>
    </row>
    <row r="37" spans="1:79" s="182" customFormat="1" ht="12" x14ac:dyDescent="0.15">
      <c r="A37" s="319"/>
      <c r="B37" s="305"/>
      <c r="C37" s="337"/>
      <c r="D37" s="328"/>
      <c r="E37" s="335"/>
      <c r="F37" s="335"/>
      <c r="G37" s="335"/>
      <c r="H37" s="335"/>
      <c r="I37" s="335"/>
      <c r="J37" s="335"/>
      <c r="K37" s="335"/>
      <c r="L37" s="335"/>
      <c r="M37" s="335"/>
      <c r="N37" s="335"/>
      <c r="O37" s="335"/>
      <c r="P37" s="335"/>
      <c r="Q37" s="335"/>
      <c r="R37" s="335"/>
      <c r="S37" s="335"/>
      <c r="T37" s="335"/>
      <c r="U37" s="335"/>
      <c r="V37" s="335"/>
      <c r="W37" s="335"/>
      <c r="X37" s="335"/>
      <c r="Y37" s="335"/>
      <c r="Z37" s="335"/>
      <c r="AA37" s="335"/>
      <c r="AB37" s="335"/>
      <c r="AC37" s="335"/>
      <c r="AD37" s="335"/>
      <c r="AE37" s="335"/>
      <c r="AF37" s="335"/>
      <c r="AG37" s="335"/>
      <c r="AH37" s="335"/>
      <c r="AI37" s="335"/>
      <c r="AJ37" s="335"/>
      <c r="AK37" s="335"/>
      <c r="AL37" s="335"/>
      <c r="AM37" s="335"/>
      <c r="AN37" s="335"/>
      <c r="AO37" s="335"/>
      <c r="AP37" s="335"/>
      <c r="AQ37" s="335"/>
      <c r="AR37" s="335"/>
      <c r="AS37" s="335"/>
      <c r="AT37" s="335"/>
      <c r="AU37" s="335"/>
      <c r="AV37" s="335"/>
      <c r="AW37" s="335"/>
      <c r="AX37" s="335"/>
      <c r="AY37" s="335"/>
      <c r="AZ37" s="335"/>
      <c r="BA37" s="335"/>
      <c r="BB37" s="335"/>
      <c r="BC37" s="335"/>
      <c r="BD37" s="335"/>
      <c r="BE37" s="335"/>
      <c r="BF37" s="335"/>
      <c r="BG37" s="335"/>
      <c r="BH37" s="335"/>
      <c r="BI37" s="335"/>
      <c r="BJ37" s="335"/>
      <c r="BK37" s="335"/>
      <c r="BL37" s="335"/>
      <c r="BM37" s="335"/>
      <c r="BN37" s="335"/>
      <c r="BO37" s="335"/>
      <c r="BP37" s="335"/>
      <c r="BQ37" s="335"/>
      <c r="BR37" s="335"/>
      <c r="BS37" s="335"/>
      <c r="BT37" s="335"/>
      <c r="BU37" s="335"/>
      <c r="BV37" s="335"/>
      <c r="BW37" s="335"/>
      <c r="BX37" s="335"/>
      <c r="BY37" s="335"/>
      <c r="BZ37" s="319"/>
      <c r="CA37" s="319"/>
    </row>
    <row r="38" spans="1:79" s="182" customFormat="1" ht="12" x14ac:dyDescent="0.15">
      <c r="A38" s="319"/>
      <c r="B38" s="305"/>
      <c r="C38" s="337"/>
      <c r="D38" s="328"/>
      <c r="E38" s="335"/>
      <c r="F38" s="335"/>
      <c r="G38" s="335"/>
      <c r="H38" s="335"/>
      <c r="I38" s="335"/>
      <c r="J38" s="335"/>
      <c r="K38" s="335"/>
      <c r="L38" s="335"/>
      <c r="M38" s="335"/>
      <c r="N38" s="335"/>
      <c r="O38" s="335"/>
      <c r="P38" s="335"/>
      <c r="Q38" s="335"/>
      <c r="R38" s="335"/>
      <c r="S38" s="335"/>
      <c r="T38" s="335"/>
      <c r="U38" s="335"/>
      <c r="V38" s="335"/>
      <c r="W38" s="335"/>
      <c r="X38" s="335"/>
      <c r="Y38" s="335"/>
      <c r="Z38" s="335"/>
      <c r="AA38" s="335"/>
      <c r="AB38" s="335"/>
      <c r="AC38" s="335"/>
      <c r="AD38" s="335"/>
      <c r="AE38" s="335"/>
      <c r="AF38" s="335"/>
      <c r="AG38" s="335"/>
      <c r="AH38" s="335"/>
      <c r="AI38" s="335"/>
      <c r="AJ38" s="335"/>
      <c r="AK38" s="335"/>
      <c r="AL38" s="335"/>
      <c r="AM38" s="335"/>
      <c r="AN38" s="335"/>
      <c r="AO38" s="335"/>
      <c r="AP38" s="335"/>
      <c r="AQ38" s="335"/>
      <c r="AR38" s="335"/>
      <c r="AS38" s="335"/>
      <c r="AT38" s="335"/>
      <c r="AU38" s="335"/>
      <c r="AV38" s="335"/>
      <c r="AW38" s="335"/>
      <c r="AX38" s="335"/>
      <c r="AY38" s="335"/>
      <c r="AZ38" s="335"/>
      <c r="BA38" s="335"/>
      <c r="BB38" s="335"/>
      <c r="BC38" s="335"/>
      <c r="BD38" s="335"/>
      <c r="BE38" s="335"/>
      <c r="BF38" s="335"/>
      <c r="BG38" s="335"/>
      <c r="BH38" s="335"/>
      <c r="BI38" s="335"/>
      <c r="BJ38" s="335"/>
      <c r="BK38" s="335"/>
      <c r="BL38" s="335"/>
      <c r="BM38" s="335"/>
      <c r="BN38" s="335"/>
      <c r="BO38" s="335"/>
      <c r="BP38" s="335"/>
      <c r="BQ38" s="335"/>
      <c r="BR38" s="335"/>
      <c r="BS38" s="335"/>
      <c r="BT38" s="335"/>
      <c r="BU38" s="335"/>
      <c r="BV38" s="335"/>
      <c r="BW38" s="335"/>
      <c r="BX38" s="335"/>
      <c r="BY38" s="335"/>
      <c r="BZ38" s="319"/>
      <c r="CA38" s="319"/>
    </row>
    <row r="39" spans="1:79" s="182" customFormat="1" ht="12" x14ac:dyDescent="0.15">
      <c r="A39" s="319"/>
      <c r="B39" s="336"/>
      <c r="C39" s="337"/>
      <c r="D39" s="328"/>
      <c r="E39" s="335"/>
      <c r="F39" s="335"/>
      <c r="G39" s="335"/>
      <c r="H39" s="335"/>
      <c r="I39" s="335"/>
      <c r="J39" s="335"/>
      <c r="K39" s="335"/>
      <c r="L39" s="335"/>
      <c r="M39" s="335"/>
      <c r="N39" s="335"/>
      <c r="O39" s="335"/>
      <c r="P39" s="335"/>
      <c r="Q39" s="335"/>
      <c r="R39" s="335"/>
      <c r="S39" s="335"/>
      <c r="T39" s="335"/>
      <c r="U39" s="335"/>
      <c r="V39" s="335"/>
      <c r="W39" s="335"/>
      <c r="X39" s="335"/>
      <c r="Y39" s="335"/>
      <c r="Z39" s="335"/>
      <c r="AA39" s="335"/>
      <c r="AB39" s="335"/>
      <c r="AC39" s="335"/>
      <c r="AD39" s="335"/>
      <c r="AE39" s="335"/>
      <c r="AF39" s="335"/>
      <c r="AG39" s="335"/>
      <c r="AH39" s="335"/>
      <c r="AI39" s="335"/>
      <c r="AJ39" s="335"/>
      <c r="AK39" s="335"/>
      <c r="AL39" s="335"/>
      <c r="AM39" s="335"/>
      <c r="AN39" s="335"/>
      <c r="AO39" s="335"/>
      <c r="AP39" s="335"/>
      <c r="AQ39" s="335"/>
      <c r="AR39" s="335"/>
      <c r="AS39" s="335"/>
      <c r="AT39" s="335"/>
      <c r="AU39" s="335"/>
      <c r="AV39" s="335"/>
      <c r="AW39" s="335"/>
      <c r="AX39" s="335"/>
      <c r="AY39" s="335"/>
      <c r="AZ39" s="335"/>
      <c r="BA39" s="335"/>
      <c r="BB39" s="335"/>
      <c r="BC39" s="335"/>
      <c r="BD39" s="335"/>
      <c r="BE39" s="335"/>
      <c r="BF39" s="335"/>
      <c r="BG39" s="335"/>
      <c r="BH39" s="335"/>
      <c r="BI39" s="335"/>
      <c r="BJ39" s="335"/>
      <c r="BK39" s="335"/>
      <c r="BL39" s="335"/>
      <c r="BM39" s="335"/>
      <c r="BN39" s="335"/>
      <c r="BO39" s="335"/>
      <c r="BP39" s="335"/>
      <c r="BQ39" s="335"/>
      <c r="BR39" s="335"/>
      <c r="BS39" s="335"/>
      <c r="BT39" s="335"/>
      <c r="BU39" s="335"/>
      <c r="BV39" s="335"/>
      <c r="BW39" s="335"/>
      <c r="BX39" s="335"/>
      <c r="BY39" s="335"/>
      <c r="BZ39" s="319"/>
      <c r="CA39" s="319"/>
    </row>
    <row r="40" spans="1:79" s="182" customFormat="1" ht="12" x14ac:dyDescent="0.15">
      <c r="A40" s="319"/>
      <c r="B40" s="336"/>
      <c r="C40" s="337"/>
      <c r="D40" s="328"/>
      <c r="E40" s="335"/>
      <c r="F40" s="335"/>
      <c r="G40" s="335"/>
      <c r="H40" s="335"/>
      <c r="I40" s="335"/>
      <c r="J40" s="335"/>
      <c r="K40" s="335"/>
      <c r="L40" s="335"/>
      <c r="M40" s="335"/>
      <c r="N40" s="335"/>
      <c r="O40" s="335"/>
      <c r="P40" s="335"/>
      <c r="Q40" s="335"/>
      <c r="R40" s="335"/>
      <c r="S40" s="335"/>
      <c r="T40" s="335"/>
      <c r="U40" s="335"/>
      <c r="V40" s="335"/>
      <c r="W40" s="335"/>
      <c r="X40" s="335"/>
      <c r="Y40" s="335"/>
      <c r="Z40" s="335"/>
      <c r="AA40" s="335"/>
      <c r="AB40" s="335"/>
      <c r="AC40" s="335"/>
      <c r="AD40" s="335"/>
      <c r="AE40" s="335"/>
      <c r="AF40" s="335"/>
      <c r="AG40" s="335"/>
      <c r="AH40" s="335"/>
      <c r="AI40" s="335"/>
      <c r="AJ40" s="335"/>
      <c r="AK40" s="335"/>
      <c r="AL40" s="335"/>
      <c r="AM40" s="335"/>
      <c r="AN40" s="335"/>
      <c r="AO40" s="335"/>
      <c r="AP40" s="335"/>
      <c r="AQ40" s="335"/>
      <c r="AR40" s="335"/>
      <c r="AS40" s="335"/>
      <c r="AT40" s="335"/>
      <c r="AU40" s="335"/>
      <c r="AV40" s="335"/>
      <c r="AW40" s="335"/>
      <c r="AX40" s="335"/>
      <c r="AY40" s="335"/>
      <c r="AZ40" s="335"/>
      <c r="BA40" s="335"/>
      <c r="BB40" s="335"/>
      <c r="BC40" s="335"/>
      <c r="BD40" s="335"/>
      <c r="BE40" s="335"/>
      <c r="BF40" s="335"/>
      <c r="BG40" s="335"/>
      <c r="BH40" s="335"/>
      <c r="BI40" s="335"/>
      <c r="BJ40" s="335"/>
      <c r="BK40" s="335"/>
      <c r="BL40" s="335"/>
      <c r="BM40" s="335"/>
      <c r="BN40" s="335"/>
      <c r="BO40" s="335"/>
      <c r="BP40" s="335"/>
      <c r="BQ40" s="335"/>
      <c r="BR40" s="335"/>
      <c r="BS40" s="335"/>
      <c r="BT40" s="335"/>
      <c r="BU40" s="335"/>
      <c r="BV40" s="335"/>
      <c r="BW40" s="335"/>
      <c r="BX40" s="335"/>
      <c r="BY40" s="335"/>
      <c r="BZ40" s="319"/>
      <c r="CA40" s="319"/>
    </row>
    <row r="41" spans="1:79" s="182" customFormat="1" ht="12" x14ac:dyDescent="0.15">
      <c r="A41" s="319"/>
      <c r="B41" s="336"/>
      <c r="C41" s="337"/>
      <c r="D41" s="328"/>
      <c r="E41" s="335"/>
      <c r="F41" s="335"/>
      <c r="G41" s="335"/>
      <c r="H41" s="335"/>
      <c r="I41" s="335"/>
      <c r="J41" s="335"/>
      <c r="K41" s="335"/>
      <c r="L41" s="335"/>
      <c r="M41" s="335"/>
      <c r="N41" s="335"/>
      <c r="O41" s="335"/>
      <c r="P41" s="335"/>
      <c r="Q41" s="335"/>
      <c r="R41" s="335"/>
      <c r="S41" s="335"/>
      <c r="T41" s="335"/>
      <c r="U41" s="335"/>
      <c r="V41" s="335"/>
      <c r="W41" s="335"/>
      <c r="X41" s="335"/>
      <c r="Y41" s="335"/>
      <c r="Z41" s="335"/>
      <c r="AA41" s="335"/>
      <c r="AB41" s="335"/>
      <c r="AC41" s="335"/>
      <c r="AD41" s="335"/>
      <c r="AE41" s="335"/>
      <c r="AF41" s="335"/>
      <c r="AG41" s="335"/>
      <c r="AH41" s="335"/>
      <c r="AI41" s="335"/>
      <c r="AJ41" s="335"/>
      <c r="AK41" s="335"/>
      <c r="AL41" s="335"/>
      <c r="AM41" s="335"/>
      <c r="AN41" s="335"/>
      <c r="AO41" s="335"/>
      <c r="AP41" s="335"/>
      <c r="AQ41" s="335"/>
      <c r="AR41" s="335"/>
      <c r="AS41" s="335"/>
      <c r="AT41" s="335"/>
      <c r="AU41" s="335"/>
      <c r="AV41" s="335"/>
      <c r="AW41" s="335"/>
      <c r="AX41" s="335"/>
      <c r="AY41" s="335"/>
      <c r="AZ41" s="335"/>
      <c r="BA41" s="335"/>
      <c r="BB41" s="335"/>
      <c r="BC41" s="335"/>
      <c r="BD41" s="335"/>
      <c r="BE41" s="335"/>
      <c r="BF41" s="335"/>
      <c r="BG41" s="335"/>
      <c r="BH41" s="335"/>
      <c r="BI41" s="335"/>
      <c r="BJ41" s="335"/>
      <c r="BK41" s="335"/>
      <c r="BL41" s="335"/>
      <c r="BM41" s="335"/>
      <c r="BN41" s="335"/>
      <c r="BO41" s="335"/>
      <c r="BP41" s="335"/>
      <c r="BQ41" s="335"/>
      <c r="BR41" s="335"/>
      <c r="BS41" s="335"/>
      <c r="BT41" s="335"/>
      <c r="BU41" s="335"/>
      <c r="BV41" s="335"/>
      <c r="BW41" s="335"/>
      <c r="BX41" s="335"/>
      <c r="BY41" s="335"/>
      <c r="BZ41" s="319"/>
      <c r="CA41" s="319"/>
    </row>
    <row r="42" spans="1:79" s="182" customFormat="1" ht="12" x14ac:dyDescent="0.15">
      <c r="A42" s="319"/>
      <c r="B42" s="336"/>
      <c r="C42" s="337"/>
      <c r="D42" s="328"/>
      <c r="E42" s="335"/>
      <c r="F42" s="335"/>
      <c r="G42" s="335"/>
      <c r="H42" s="335"/>
      <c r="I42" s="335"/>
      <c r="J42" s="335"/>
      <c r="K42" s="335"/>
      <c r="L42" s="335"/>
      <c r="M42" s="335"/>
      <c r="N42" s="335"/>
      <c r="O42" s="335"/>
      <c r="P42" s="335"/>
      <c r="Q42" s="335"/>
      <c r="R42" s="335"/>
      <c r="S42" s="335"/>
      <c r="T42" s="335"/>
      <c r="U42" s="335"/>
      <c r="V42" s="335"/>
      <c r="W42" s="335"/>
      <c r="X42" s="335"/>
      <c r="Y42" s="335"/>
      <c r="Z42" s="335"/>
      <c r="AA42" s="335"/>
      <c r="AB42" s="335"/>
      <c r="AC42" s="335"/>
      <c r="AD42" s="335"/>
      <c r="AE42" s="335"/>
      <c r="AF42" s="335"/>
      <c r="AG42" s="335"/>
      <c r="AH42" s="335"/>
      <c r="AI42" s="335"/>
      <c r="AJ42" s="335"/>
      <c r="AK42" s="335"/>
      <c r="AL42" s="335"/>
      <c r="AM42" s="335"/>
      <c r="AN42" s="335"/>
      <c r="AO42" s="335"/>
      <c r="AP42" s="335"/>
      <c r="AQ42" s="335"/>
      <c r="AR42" s="335"/>
      <c r="AS42" s="335"/>
      <c r="AT42" s="335"/>
      <c r="AU42" s="335"/>
      <c r="AV42" s="335"/>
      <c r="AW42" s="335"/>
      <c r="AX42" s="335"/>
      <c r="AY42" s="335"/>
      <c r="AZ42" s="335"/>
      <c r="BA42" s="335"/>
      <c r="BB42" s="335"/>
      <c r="BC42" s="335"/>
      <c r="BD42" s="335"/>
      <c r="BE42" s="335"/>
      <c r="BF42" s="335"/>
      <c r="BG42" s="335"/>
      <c r="BH42" s="335"/>
      <c r="BI42" s="335"/>
      <c r="BJ42" s="335"/>
      <c r="BK42" s="335"/>
      <c r="BL42" s="335"/>
      <c r="BM42" s="335"/>
      <c r="BN42" s="335"/>
      <c r="BO42" s="335"/>
      <c r="BP42" s="335"/>
      <c r="BQ42" s="335"/>
      <c r="BR42" s="335"/>
      <c r="BS42" s="335"/>
      <c r="BT42" s="335"/>
      <c r="BU42" s="335"/>
      <c r="BV42" s="335"/>
      <c r="BW42" s="335"/>
      <c r="BX42" s="335"/>
      <c r="BY42" s="335"/>
      <c r="BZ42" s="319"/>
      <c r="CA42" s="319"/>
    </row>
    <row r="43" spans="1:79" ht="13" thickBot="1" x14ac:dyDescent="0.2">
      <c r="A43" s="299"/>
      <c r="B43" s="338"/>
      <c r="C43" s="339"/>
      <c r="D43" s="315"/>
      <c r="E43" s="340"/>
      <c r="F43" s="340"/>
      <c r="G43" s="340"/>
      <c r="H43" s="340"/>
      <c r="I43" s="340"/>
      <c r="J43" s="340"/>
      <c r="K43" s="340"/>
      <c r="L43" s="340"/>
      <c r="M43" s="340"/>
      <c r="N43" s="340"/>
      <c r="O43" s="340"/>
      <c r="P43" s="340"/>
      <c r="Q43" s="340"/>
      <c r="R43" s="340"/>
      <c r="S43" s="340"/>
      <c r="T43" s="340"/>
      <c r="U43" s="340"/>
      <c r="V43" s="340"/>
      <c r="W43" s="340"/>
      <c r="X43" s="340"/>
      <c r="Y43" s="340"/>
      <c r="Z43" s="340"/>
      <c r="AA43" s="340"/>
      <c r="AB43" s="340"/>
      <c r="AC43" s="340"/>
      <c r="AD43" s="340"/>
      <c r="AE43" s="340"/>
      <c r="AF43" s="340"/>
      <c r="AG43" s="340"/>
      <c r="AH43" s="340"/>
      <c r="AI43" s="340"/>
      <c r="AJ43" s="340"/>
      <c r="AK43" s="340"/>
      <c r="AL43" s="340"/>
      <c r="AM43" s="340"/>
      <c r="AN43" s="340"/>
      <c r="AO43" s="340"/>
      <c r="AP43" s="340"/>
      <c r="AQ43" s="340"/>
      <c r="AR43" s="340"/>
      <c r="AS43" s="340"/>
      <c r="AT43" s="340"/>
      <c r="AU43" s="340"/>
      <c r="AV43" s="340"/>
      <c r="AW43" s="340"/>
      <c r="AX43" s="340"/>
      <c r="AY43" s="340"/>
      <c r="AZ43" s="340"/>
      <c r="BA43" s="340"/>
      <c r="BB43" s="340"/>
      <c r="BC43" s="340"/>
      <c r="BD43" s="340"/>
      <c r="BE43" s="340"/>
      <c r="BF43" s="340"/>
      <c r="BG43" s="340"/>
      <c r="BH43" s="340"/>
      <c r="BI43" s="340"/>
      <c r="BJ43" s="340"/>
      <c r="BK43" s="340"/>
      <c r="BL43" s="340"/>
      <c r="BM43" s="340"/>
      <c r="BN43" s="340"/>
      <c r="BO43" s="340"/>
      <c r="BP43" s="340"/>
      <c r="BQ43" s="340"/>
      <c r="BR43" s="340"/>
      <c r="BS43" s="340"/>
      <c r="BT43" s="340"/>
      <c r="BU43" s="340"/>
      <c r="BV43" s="340"/>
      <c r="BW43" s="340"/>
      <c r="BX43" s="340"/>
      <c r="BY43" s="340"/>
      <c r="BZ43" s="299"/>
      <c r="CA43" s="299"/>
    </row>
    <row r="44" spans="1:79" ht="13" thickTop="1" x14ac:dyDescent="0.15">
      <c r="A44" s="299"/>
      <c r="B44" s="341" t="s">
        <v>25</v>
      </c>
      <c r="C44" s="342"/>
      <c r="D44" s="343">
        <f>SUM(D6:D43)</f>
        <v>800000</v>
      </c>
      <c r="E44" s="343">
        <f>SUM(E6:E43)</f>
        <v>200000</v>
      </c>
      <c r="F44" s="343">
        <f>SUM(F6:F43)</f>
        <v>16666.666666666661</v>
      </c>
      <c r="G44" s="343">
        <f t="shared" ref="G44:AL44" si="9">SUM(G6:G43)+F44</f>
        <v>33333.333333333321</v>
      </c>
      <c r="H44" s="343">
        <f t="shared" si="9"/>
        <v>49999.999999999985</v>
      </c>
      <c r="I44" s="343">
        <f t="shared" si="9"/>
        <v>66666.666666666642</v>
      </c>
      <c r="J44" s="343">
        <f t="shared" si="9"/>
        <v>83333.333333333299</v>
      </c>
      <c r="K44" s="343">
        <f t="shared" si="9"/>
        <v>99999.999999999956</v>
      </c>
      <c r="L44" s="343">
        <f t="shared" si="9"/>
        <v>116666.66666666661</v>
      </c>
      <c r="M44" s="343">
        <f t="shared" si="9"/>
        <v>133333.33333333328</v>
      </c>
      <c r="N44" s="343">
        <f t="shared" si="9"/>
        <v>149999.99999999994</v>
      </c>
      <c r="O44" s="343">
        <f t="shared" si="9"/>
        <v>166666.6666666666</v>
      </c>
      <c r="P44" s="343">
        <f t="shared" si="9"/>
        <v>183333.33333333326</v>
      </c>
      <c r="Q44" s="343">
        <f t="shared" si="9"/>
        <v>199999.99999999991</v>
      </c>
      <c r="R44" s="343">
        <f t="shared" si="9"/>
        <v>216666.66666666657</v>
      </c>
      <c r="S44" s="343">
        <f t="shared" si="9"/>
        <v>233333.33333333323</v>
      </c>
      <c r="T44" s="343">
        <f t="shared" si="9"/>
        <v>249999.99999999988</v>
      </c>
      <c r="U44" s="343">
        <f t="shared" si="9"/>
        <v>266666.66666666657</v>
      </c>
      <c r="V44" s="343">
        <f t="shared" si="9"/>
        <v>283333.33333333326</v>
      </c>
      <c r="W44" s="343">
        <f t="shared" si="9"/>
        <v>299999.99999999994</v>
      </c>
      <c r="X44" s="343">
        <f t="shared" si="9"/>
        <v>316666.66666666663</v>
      </c>
      <c r="Y44" s="343">
        <f t="shared" si="9"/>
        <v>333333.33333333331</v>
      </c>
      <c r="Z44" s="343">
        <f t="shared" si="9"/>
        <v>350000</v>
      </c>
      <c r="AA44" s="343">
        <f t="shared" si="9"/>
        <v>366666.66666666669</v>
      </c>
      <c r="AB44" s="343">
        <f t="shared" si="9"/>
        <v>383333.33333333337</v>
      </c>
      <c r="AC44" s="343">
        <f t="shared" si="9"/>
        <v>400000.00000000006</v>
      </c>
      <c r="AD44" s="343">
        <f t="shared" si="9"/>
        <v>416666.66666666674</v>
      </c>
      <c r="AE44" s="343">
        <f t="shared" si="9"/>
        <v>433333.33333333343</v>
      </c>
      <c r="AF44" s="343">
        <f t="shared" si="9"/>
        <v>450000.00000000012</v>
      </c>
      <c r="AG44" s="343">
        <f t="shared" si="9"/>
        <v>466666.6666666668</v>
      </c>
      <c r="AH44" s="343">
        <f t="shared" si="9"/>
        <v>483333.33333333349</v>
      </c>
      <c r="AI44" s="343">
        <f t="shared" si="9"/>
        <v>500000.00000000017</v>
      </c>
      <c r="AJ44" s="343">
        <f t="shared" si="9"/>
        <v>516666.66666666686</v>
      </c>
      <c r="AK44" s="343">
        <f t="shared" si="9"/>
        <v>533333.33333333349</v>
      </c>
      <c r="AL44" s="343">
        <f t="shared" si="9"/>
        <v>550000.00000000012</v>
      </c>
      <c r="AM44" s="343">
        <f t="shared" ref="AM44:BR44" si="10">SUM(AM6:AM43)+AL44</f>
        <v>566666.66666666674</v>
      </c>
      <c r="AN44" s="343">
        <f t="shared" si="10"/>
        <v>583333.33333333337</v>
      </c>
      <c r="AO44" s="343">
        <f t="shared" si="10"/>
        <v>600000</v>
      </c>
      <c r="AP44" s="343">
        <f t="shared" si="10"/>
        <v>616666.66666666663</v>
      </c>
      <c r="AQ44" s="343">
        <f t="shared" si="10"/>
        <v>633333.33333333326</v>
      </c>
      <c r="AR44" s="343">
        <f t="shared" si="10"/>
        <v>649999.99999999988</v>
      </c>
      <c r="AS44" s="343">
        <f t="shared" si="10"/>
        <v>666666.66666666651</v>
      </c>
      <c r="AT44" s="343">
        <f t="shared" si="10"/>
        <v>683333.33333333314</v>
      </c>
      <c r="AU44" s="343">
        <f t="shared" si="10"/>
        <v>699999.99999999977</v>
      </c>
      <c r="AV44" s="343">
        <f t="shared" si="10"/>
        <v>716666.6666666664</v>
      </c>
      <c r="AW44" s="343">
        <f t="shared" si="10"/>
        <v>733333.33333333302</v>
      </c>
      <c r="AX44" s="343">
        <f t="shared" si="10"/>
        <v>749999.99999999965</v>
      </c>
      <c r="AY44" s="343">
        <f t="shared" si="10"/>
        <v>766666.66666666628</v>
      </c>
      <c r="AZ44" s="343">
        <f t="shared" si="10"/>
        <v>783333.33333333291</v>
      </c>
      <c r="BA44" s="343">
        <f t="shared" si="10"/>
        <v>799999.99999999953</v>
      </c>
      <c r="BB44" s="343">
        <f t="shared" si="10"/>
        <v>799999.99999999953</v>
      </c>
      <c r="BC44" s="343">
        <f t="shared" si="10"/>
        <v>799999.99999999953</v>
      </c>
      <c r="BD44" s="343">
        <f t="shared" si="10"/>
        <v>799999.99999999953</v>
      </c>
      <c r="BE44" s="343">
        <f t="shared" si="10"/>
        <v>799999.99999999953</v>
      </c>
      <c r="BF44" s="343">
        <f t="shared" si="10"/>
        <v>799999.99999999953</v>
      </c>
      <c r="BG44" s="343">
        <f t="shared" si="10"/>
        <v>799999.99999999953</v>
      </c>
      <c r="BH44" s="343">
        <f t="shared" si="10"/>
        <v>799999.99999999953</v>
      </c>
      <c r="BI44" s="343">
        <f t="shared" si="10"/>
        <v>799999.99999999953</v>
      </c>
      <c r="BJ44" s="343">
        <f t="shared" si="10"/>
        <v>799999.99999999953</v>
      </c>
      <c r="BK44" s="343">
        <f t="shared" si="10"/>
        <v>799999.99999999953</v>
      </c>
      <c r="BL44" s="343">
        <f t="shared" si="10"/>
        <v>799999.99999999953</v>
      </c>
      <c r="BM44" s="343">
        <f t="shared" si="10"/>
        <v>799999.99999999953</v>
      </c>
      <c r="BN44" s="343">
        <f t="shared" si="10"/>
        <v>799999.99999999953</v>
      </c>
      <c r="BO44" s="343">
        <f t="shared" si="10"/>
        <v>799999.99999999953</v>
      </c>
      <c r="BP44" s="343">
        <f t="shared" si="10"/>
        <v>799999.99999999953</v>
      </c>
      <c r="BQ44" s="343">
        <f t="shared" si="10"/>
        <v>799999.99999999953</v>
      </c>
      <c r="BR44" s="343">
        <f t="shared" si="10"/>
        <v>799999.99999999953</v>
      </c>
      <c r="BS44" s="343">
        <f t="shared" ref="BS44:BY44" si="11">SUM(BS6:BS43)+BR44</f>
        <v>799999.99999999953</v>
      </c>
      <c r="BT44" s="343">
        <f t="shared" si="11"/>
        <v>799999.99999999953</v>
      </c>
      <c r="BU44" s="343">
        <f t="shared" si="11"/>
        <v>799999.99999999953</v>
      </c>
      <c r="BV44" s="343">
        <f t="shared" si="11"/>
        <v>799999.99999999953</v>
      </c>
      <c r="BW44" s="343">
        <f t="shared" si="11"/>
        <v>799999.99999999953</v>
      </c>
      <c r="BX44" s="343">
        <f t="shared" si="11"/>
        <v>799999.99999999953</v>
      </c>
      <c r="BY44" s="343">
        <f t="shared" si="11"/>
        <v>799999.99999999953</v>
      </c>
      <c r="BZ44" s="299"/>
      <c r="CA44" s="299"/>
    </row>
    <row r="45" spans="1:79" ht="12" x14ac:dyDescent="0.15">
      <c r="A45" s="299"/>
      <c r="B45" s="299"/>
      <c r="C45" s="298"/>
      <c r="D45" s="311"/>
      <c r="E45" s="344">
        <f>E44/$D$44</f>
        <v>0.25</v>
      </c>
      <c r="F45" s="344">
        <f>F44/$D$44</f>
        <v>2.0833333333333325E-2</v>
      </c>
      <c r="G45" s="344">
        <f t="shared" ref="G45:BR45" si="12">G44/$D$44</f>
        <v>4.166666666666665E-2</v>
      </c>
      <c r="H45" s="344">
        <f t="shared" si="12"/>
        <v>6.2499999999999979E-2</v>
      </c>
      <c r="I45" s="344">
        <f t="shared" si="12"/>
        <v>8.3333333333333301E-2</v>
      </c>
      <c r="J45" s="344">
        <f t="shared" si="12"/>
        <v>0.10416666666666663</v>
      </c>
      <c r="K45" s="344">
        <f t="shared" si="12"/>
        <v>0.12499999999999994</v>
      </c>
      <c r="L45" s="344">
        <f t="shared" si="12"/>
        <v>0.14583333333333326</v>
      </c>
      <c r="M45" s="344">
        <f t="shared" si="12"/>
        <v>0.1666666666666666</v>
      </c>
      <c r="N45" s="344">
        <f t="shared" si="12"/>
        <v>0.18749999999999992</v>
      </c>
      <c r="O45" s="344">
        <f t="shared" si="12"/>
        <v>0.20833333333333326</v>
      </c>
      <c r="P45" s="344">
        <f t="shared" si="12"/>
        <v>0.22916666666666657</v>
      </c>
      <c r="Q45" s="344">
        <f t="shared" si="12"/>
        <v>0.24999999999999989</v>
      </c>
      <c r="R45" s="344">
        <f t="shared" si="12"/>
        <v>0.2708333333333332</v>
      </c>
      <c r="S45" s="344">
        <f t="shared" si="12"/>
        <v>0.29166666666666652</v>
      </c>
      <c r="T45" s="344">
        <f t="shared" si="12"/>
        <v>0.31249999999999983</v>
      </c>
      <c r="U45" s="344">
        <f t="shared" si="12"/>
        <v>0.3333333333333332</v>
      </c>
      <c r="V45" s="344">
        <f t="shared" si="12"/>
        <v>0.35416666666666657</v>
      </c>
      <c r="W45" s="344">
        <f t="shared" si="12"/>
        <v>0.37499999999999994</v>
      </c>
      <c r="X45" s="344">
        <f t="shared" si="12"/>
        <v>0.39583333333333326</v>
      </c>
      <c r="Y45" s="344">
        <f t="shared" si="12"/>
        <v>0.41666666666666663</v>
      </c>
      <c r="Z45" s="344">
        <f t="shared" si="12"/>
        <v>0.4375</v>
      </c>
      <c r="AA45" s="344">
        <f t="shared" si="12"/>
        <v>0.45833333333333337</v>
      </c>
      <c r="AB45" s="344">
        <f t="shared" si="12"/>
        <v>0.47916666666666674</v>
      </c>
      <c r="AC45" s="344">
        <f t="shared" si="12"/>
        <v>0.50000000000000011</v>
      </c>
      <c r="AD45" s="344">
        <f t="shared" si="12"/>
        <v>0.52083333333333348</v>
      </c>
      <c r="AE45" s="344">
        <f t="shared" si="12"/>
        <v>0.54166666666666674</v>
      </c>
      <c r="AF45" s="344">
        <f t="shared" si="12"/>
        <v>0.56250000000000011</v>
      </c>
      <c r="AG45" s="344">
        <f t="shared" si="12"/>
        <v>0.58333333333333348</v>
      </c>
      <c r="AH45" s="344">
        <f t="shared" si="12"/>
        <v>0.60416666666666685</v>
      </c>
      <c r="AI45" s="344">
        <f t="shared" si="12"/>
        <v>0.62500000000000022</v>
      </c>
      <c r="AJ45" s="344">
        <f t="shared" si="12"/>
        <v>0.64583333333333359</v>
      </c>
      <c r="AK45" s="344">
        <f t="shared" si="12"/>
        <v>0.66666666666666685</v>
      </c>
      <c r="AL45" s="344">
        <f t="shared" si="12"/>
        <v>0.68750000000000011</v>
      </c>
      <c r="AM45" s="344">
        <f t="shared" si="12"/>
        <v>0.70833333333333348</v>
      </c>
      <c r="AN45" s="344">
        <f t="shared" si="12"/>
        <v>0.72916666666666674</v>
      </c>
      <c r="AO45" s="344">
        <f t="shared" si="12"/>
        <v>0.75</v>
      </c>
      <c r="AP45" s="344">
        <f t="shared" si="12"/>
        <v>0.77083333333333326</v>
      </c>
      <c r="AQ45" s="344">
        <f t="shared" si="12"/>
        <v>0.79166666666666652</v>
      </c>
      <c r="AR45" s="344">
        <f t="shared" si="12"/>
        <v>0.81249999999999989</v>
      </c>
      <c r="AS45" s="344">
        <f t="shared" si="12"/>
        <v>0.83333333333333315</v>
      </c>
      <c r="AT45" s="344">
        <f t="shared" si="12"/>
        <v>0.85416666666666641</v>
      </c>
      <c r="AU45" s="344">
        <f t="shared" si="12"/>
        <v>0.87499999999999967</v>
      </c>
      <c r="AV45" s="344">
        <f t="shared" si="12"/>
        <v>0.89583333333333304</v>
      </c>
      <c r="AW45" s="344">
        <f t="shared" si="12"/>
        <v>0.9166666666666663</v>
      </c>
      <c r="AX45" s="344">
        <f t="shared" si="12"/>
        <v>0.93749999999999956</v>
      </c>
      <c r="AY45" s="344">
        <f t="shared" si="12"/>
        <v>0.95833333333333282</v>
      </c>
      <c r="AZ45" s="344">
        <f t="shared" si="12"/>
        <v>0.97916666666666619</v>
      </c>
      <c r="BA45" s="344">
        <f t="shared" si="12"/>
        <v>0.99999999999999944</v>
      </c>
      <c r="BB45" s="344">
        <f t="shared" si="12"/>
        <v>0.99999999999999944</v>
      </c>
      <c r="BC45" s="344">
        <f t="shared" si="12"/>
        <v>0.99999999999999944</v>
      </c>
      <c r="BD45" s="344">
        <f t="shared" si="12"/>
        <v>0.99999999999999944</v>
      </c>
      <c r="BE45" s="344">
        <f t="shared" si="12"/>
        <v>0.99999999999999944</v>
      </c>
      <c r="BF45" s="344">
        <f t="shared" si="12"/>
        <v>0.99999999999999944</v>
      </c>
      <c r="BG45" s="344">
        <f t="shared" si="12"/>
        <v>0.99999999999999944</v>
      </c>
      <c r="BH45" s="344">
        <f t="shared" si="12"/>
        <v>0.99999999999999944</v>
      </c>
      <c r="BI45" s="344">
        <f t="shared" si="12"/>
        <v>0.99999999999999944</v>
      </c>
      <c r="BJ45" s="344">
        <f t="shared" si="12"/>
        <v>0.99999999999999944</v>
      </c>
      <c r="BK45" s="344">
        <f t="shared" si="12"/>
        <v>0.99999999999999944</v>
      </c>
      <c r="BL45" s="344">
        <f t="shared" si="12"/>
        <v>0.99999999999999944</v>
      </c>
      <c r="BM45" s="344">
        <f t="shared" si="12"/>
        <v>0.99999999999999944</v>
      </c>
      <c r="BN45" s="344">
        <f t="shared" si="12"/>
        <v>0.99999999999999944</v>
      </c>
      <c r="BO45" s="344">
        <f t="shared" si="12"/>
        <v>0.99999999999999944</v>
      </c>
      <c r="BP45" s="344">
        <f t="shared" si="12"/>
        <v>0.99999999999999944</v>
      </c>
      <c r="BQ45" s="344">
        <f t="shared" si="12"/>
        <v>0.99999999999999944</v>
      </c>
      <c r="BR45" s="344">
        <f t="shared" si="12"/>
        <v>0.99999999999999944</v>
      </c>
      <c r="BS45" s="344">
        <f t="shared" ref="BS45:BY45" si="13">BS44/$D$44</f>
        <v>0.99999999999999944</v>
      </c>
      <c r="BT45" s="344">
        <f t="shared" si="13"/>
        <v>0.99999999999999944</v>
      </c>
      <c r="BU45" s="344">
        <f t="shared" si="13"/>
        <v>0.99999999999999944</v>
      </c>
      <c r="BV45" s="344">
        <f t="shared" si="13"/>
        <v>0.99999999999999944</v>
      </c>
      <c r="BW45" s="344">
        <f t="shared" si="13"/>
        <v>0.99999999999999944</v>
      </c>
      <c r="BX45" s="344">
        <f t="shared" si="13"/>
        <v>0.99999999999999944</v>
      </c>
      <c r="BY45" s="344">
        <f t="shared" si="13"/>
        <v>0.99999999999999944</v>
      </c>
      <c r="BZ45" s="299"/>
      <c r="CA45" s="299"/>
    </row>
    <row r="46" spans="1:79" ht="12" x14ac:dyDescent="0.15">
      <c r="A46" s="299"/>
      <c r="B46" s="299"/>
      <c r="C46" s="298"/>
      <c r="D46" s="311"/>
      <c r="E46" s="311"/>
      <c r="F46" s="311"/>
      <c r="G46" s="311"/>
      <c r="H46" s="311"/>
      <c r="I46" s="311"/>
      <c r="J46" s="311"/>
      <c r="K46" s="311"/>
      <c r="L46" s="311"/>
      <c r="M46" s="311"/>
      <c r="N46" s="311"/>
      <c r="O46" s="311"/>
      <c r="P46" s="311"/>
      <c r="Q46" s="311"/>
      <c r="R46" s="311"/>
      <c r="S46" s="311"/>
      <c r="T46" s="311"/>
      <c r="U46" s="311"/>
      <c r="V46" s="311"/>
      <c r="W46" s="311"/>
      <c r="X46" s="311"/>
      <c r="Y46" s="311"/>
      <c r="Z46" s="311"/>
      <c r="AA46" s="311"/>
      <c r="AB46" s="299"/>
      <c r="AC46" s="299"/>
      <c r="AD46" s="299"/>
      <c r="AE46" s="299"/>
      <c r="AF46" s="299"/>
      <c r="AG46" s="299"/>
      <c r="AH46" s="299"/>
      <c r="AI46" s="299"/>
      <c r="AJ46" s="299"/>
      <c r="AK46" s="299"/>
      <c r="AL46" s="299"/>
      <c r="AM46" s="299"/>
      <c r="AN46" s="299"/>
      <c r="AO46" s="299"/>
      <c r="AP46" s="299"/>
      <c r="AQ46" s="299"/>
      <c r="AR46" s="299"/>
      <c r="AS46" s="299"/>
      <c r="AT46" s="299"/>
      <c r="AU46" s="299"/>
      <c r="AV46" s="299"/>
      <c r="AW46" s="299"/>
      <c r="AX46" s="299"/>
      <c r="AY46" s="299"/>
      <c r="AZ46" s="299"/>
      <c r="BA46" s="299"/>
      <c r="BB46" s="299"/>
      <c r="BC46" s="299"/>
      <c r="BD46" s="299"/>
      <c r="BE46" s="299"/>
      <c r="BF46" s="299"/>
      <c r="BG46" s="299"/>
      <c r="BH46" s="299"/>
      <c r="BI46" s="299"/>
      <c r="BJ46" s="299"/>
      <c r="BK46" s="299"/>
      <c r="BL46" s="299"/>
      <c r="BM46" s="299"/>
      <c r="BN46" s="299"/>
      <c r="BO46" s="299"/>
      <c r="BP46" s="299"/>
      <c r="BQ46" s="299"/>
      <c r="BR46" s="299"/>
      <c r="BS46" s="299"/>
      <c r="BT46" s="299"/>
      <c r="BU46" s="299"/>
      <c r="BV46" s="299"/>
      <c r="BW46" s="299"/>
      <c r="BX46" s="299"/>
      <c r="BY46" s="299"/>
      <c r="BZ46" s="299"/>
      <c r="CA46" s="299"/>
    </row>
    <row r="47" spans="1:79" ht="12" x14ac:dyDescent="0.15">
      <c r="A47" s="299"/>
      <c r="B47" s="299"/>
      <c r="C47" s="298"/>
      <c r="D47" s="311"/>
      <c r="E47" s="311"/>
      <c r="F47" s="311"/>
      <c r="G47" s="311"/>
      <c r="H47" s="311"/>
      <c r="I47" s="311"/>
      <c r="J47" s="311"/>
      <c r="K47" s="311"/>
      <c r="L47" s="311"/>
      <c r="M47" s="311"/>
      <c r="N47" s="311"/>
      <c r="O47" s="311"/>
      <c r="P47" s="311"/>
      <c r="Q47" s="311"/>
      <c r="R47" s="311"/>
      <c r="S47" s="311"/>
      <c r="T47" s="311"/>
      <c r="U47" s="311"/>
      <c r="V47" s="311"/>
      <c r="W47" s="311"/>
      <c r="X47" s="311"/>
      <c r="Y47" s="311"/>
      <c r="Z47" s="311"/>
      <c r="AA47" s="311"/>
      <c r="AB47" s="299"/>
      <c r="AC47" s="299"/>
      <c r="AD47" s="299"/>
      <c r="AE47" s="299"/>
      <c r="AF47" s="299"/>
      <c r="AG47" s="299"/>
      <c r="AH47" s="299"/>
      <c r="AI47" s="299"/>
      <c r="AJ47" s="299"/>
      <c r="AK47" s="299"/>
      <c r="AL47" s="299"/>
      <c r="AM47" s="299"/>
      <c r="AN47" s="299"/>
      <c r="AO47" s="299"/>
      <c r="AP47" s="299"/>
      <c r="AQ47" s="299"/>
      <c r="AR47" s="299"/>
      <c r="AS47" s="299"/>
      <c r="AT47" s="299"/>
      <c r="AU47" s="299"/>
      <c r="AV47" s="299"/>
      <c r="AW47" s="299"/>
      <c r="AX47" s="299"/>
      <c r="AY47" s="299"/>
      <c r="AZ47" s="299"/>
      <c r="BA47" s="299"/>
      <c r="BB47" s="299"/>
      <c r="BC47" s="299"/>
      <c r="BD47" s="299"/>
      <c r="BE47" s="299"/>
      <c r="BF47" s="299"/>
      <c r="BG47" s="299"/>
      <c r="BH47" s="299"/>
      <c r="BI47" s="299"/>
      <c r="BJ47" s="299"/>
      <c r="BK47" s="299"/>
      <c r="BL47" s="299"/>
      <c r="BM47" s="299"/>
      <c r="BN47" s="299"/>
      <c r="BO47" s="299"/>
      <c r="BP47" s="299"/>
      <c r="BQ47" s="299"/>
      <c r="BR47" s="299"/>
      <c r="BS47" s="299"/>
      <c r="BT47" s="299"/>
      <c r="BU47" s="299"/>
      <c r="BV47" s="299"/>
      <c r="BW47" s="299"/>
      <c r="BX47" s="299"/>
      <c r="BY47" s="299"/>
      <c r="BZ47" s="299"/>
      <c r="CA47" s="299"/>
    </row>
    <row r="48" spans="1:79" ht="12" x14ac:dyDescent="0.15">
      <c r="A48" s="299"/>
      <c r="B48" s="299"/>
      <c r="C48" s="298"/>
      <c r="D48" s="311"/>
      <c r="E48" s="311"/>
      <c r="F48" s="311"/>
      <c r="G48" s="311"/>
      <c r="H48" s="311"/>
      <c r="I48" s="311"/>
      <c r="J48" s="311"/>
      <c r="K48" s="311"/>
      <c r="L48" s="311"/>
      <c r="M48" s="311"/>
      <c r="N48" s="311"/>
      <c r="O48" s="311"/>
      <c r="P48" s="311"/>
      <c r="Q48" s="311"/>
      <c r="R48" s="311"/>
      <c r="S48" s="311"/>
      <c r="T48" s="311"/>
      <c r="U48" s="311"/>
      <c r="V48" s="311"/>
      <c r="W48" s="311"/>
      <c r="X48" s="311"/>
      <c r="Y48" s="311"/>
      <c r="Z48" s="311"/>
      <c r="AA48" s="311"/>
      <c r="AB48" s="299"/>
      <c r="AC48" s="299"/>
      <c r="AD48" s="299"/>
      <c r="AE48" s="299"/>
      <c r="AF48" s="299"/>
      <c r="AG48" s="299"/>
      <c r="AH48" s="299"/>
      <c r="AI48" s="299"/>
      <c r="AJ48" s="299"/>
      <c r="AK48" s="299"/>
      <c r="AL48" s="299"/>
      <c r="AM48" s="299"/>
      <c r="AN48" s="299"/>
      <c r="AO48" s="299"/>
      <c r="AP48" s="299"/>
      <c r="AQ48" s="299"/>
      <c r="AR48" s="299"/>
      <c r="AS48" s="299"/>
      <c r="AT48" s="299"/>
      <c r="AU48" s="299"/>
      <c r="AV48" s="299"/>
      <c r="AW48" s="299"/>
      <c r="AX48" s="299"/>
      <c r="AY48" s="299"/>
      <c r="AZ48" s="299"/>
      <c r="BA48" s="299"/>
      <c r="BB48" s="299"/>
      <c r="BC48" s="299"/>
      <c r="BD48" s="299"/>
      <c r="BE48" s="299"/>
      <c r="BF48" s="299"/>
      <c r="BG48" s="299"/>
      <c r="BH48" s="299"/>
      <c r="BI48" s="299"/>
      <c r="BJ48" s="299"/>
      <c r="BK48" s="299"/>
      <c r="BL48" s="299"/>
      <c r="BM48" s="299"/>
      <c r="BN48" s="299"/>
      <c r="BO48" s="299"/>
      <c r="BP48" s="299"/>
      <c r="BQ48" s="299"/>
      <c r="BR48" s="299"/>
      <c r="BS48" s="299"/>
      <c r="BT48" s="299"/>
      <c r="BU48" s="299"/>
      <c r="BV48" s="299"/>
      <c r="BW48" s="299"/>
      <c r="BX48" s="299"/>
      <c r="BY48" s="299"/>
      <c r="BZ48" s="299"/>
      <c r="CA48" s="299"/>
    </row>
    <row r="49" spans="1:79" ht="12" x14ac:dyDescent="0.15">
      <c r="A49" s="299"/>
      <c r="B49" s="299"/>
      <c r="C49" s="298"/>
      <c r="D49" s="311"/>
      <c r="E49" s="311"/>
      <c r="F49" s="311"/>
      <c r="G49" s="311"/>
      <c r="H49" s="311"/>
      <c r="I49" s="311"/>
      <c r="J49" s="311"/>
      <c r="K49" s="311"/>
      <c r="L49" s="311"/>
      <c r="M49" s="311"/>
      <c r="N49" s="311"/>
      <c r="O49" s="311"/>
      <c r="P49" s="311"/>
      <c r="Q49" s="311"/>
      <c r="R49" s="311"/>
      <c r="S49" s="311"/>
      <c r="T49" s="311"/>
      <c r="U49" s="311"/>
      <c r="V49" s="311"/>
      <c r="W49" s="311"/>
      <c r="X49" s="311"/>
      <c r="Y49" s="311"/>
      <c r="Z49" s="311"/>
      <c r="AA49" s="311"/>
      <c r="AB49" s="311"/>
      <c r="AC49" s="311"/>
      <c r="AD49" s="311"/>
      <c r="AE49" s="311"/>
      <c r="AF49" s="311"/>
      <c r="AG49" s="311"/>
      <c r="AH49" s="311"/>
      <c r="AI49" s="311"/>
      <c r="AJ49" s="311"/>
      <c r="AK49" s="311"/>
      <c r="AL49" s="311"/>
      <c r="AM49" s="311"/>
      <c r="AN49" s="311"/>
      <c r="AO49" s="311"/>
      <c r="AP49" s="311"/>
      <c r="AQ49" s="311"/>
      <c r="AR49" s="311"/>
      <c r="AS49" s="311"/>
      <c r="AT49" s="311"/>
      <c r="AU49" s="311"/>
      <c r="AV49" s="311"/>
      <c r="AW49" s="311"/>
      <c r="AX49" s="311"/>
      <c r="AY49" s="311"/>
      <c r="AZ49" s="311"/>
      <c r="BA49" s="311"/>
      <c r="BB49" s="311"/>
      <c r="BC49" s="311"/>
      <c r="BD49" s="311"/>
      <c r="BE49" s="311"/>
      <c r="BF49" s="311"/>
      <c r="BG49" s="311"/>
      <c r="BH49" s="311"/>
      <c r="BI49" s="311"/>
      <c r="BJ49" s="311"/>
      <c r="BK49" s="311"/>
      <c r="BL49" s="311"/>
      <c r="BM49" s="311"/>
      <c r="BN49" s="311"/>
      <c r="BO49" s="311"/>
      <c r="BP49" s="311"/>
      <c r="BQ49" s="311"/>
      <c r="BR49" s="299"/>
      <c r="BS49" s="299"/>
      <c r="BT49" s="299"/>
      <c r="BU49" s="299"/>
      <c r="BV49" s="299"/>
      <c r="BW49" s="299"/>
      <c r="BX49" s="299"/>
      <c r="BY49" s="299"/>
      <c r="BZ49" s="299"/>
      <c r="CA49" s="299"/>
    </row>
    <row r="50" spans="1:79" ht="12" x14ac:dyDescent="0.15">
      <c r="A50" s="299"/>
      <c r="B50" s="299"/>
      <c r="C50" s="298"/>
      <c r="D50" s="311"/>
      <c r="E50" s="311"/>
      <c r="F50" s="311"/>
      <c r="G50" s="311"/>
      <c r="H50" s="311"/>
      <c r="I50" s="311"/>
      <c r="J50" s="311"/>
      <c r="K50" s="311"/>
      <c r="L50" s="311"/>
      <c r="M50" s="311"/>
      <c r="N50" s="311"/>
      <c r="O50" s="311"/>
      <c r="P50" s="311"/>
      <c r="Q50" s="311"/>
      <c r="R50" s="311"/>
      <c r="S50" s="311"/>
      <c r="T50" s="311"/>
      <c r="U50" s="311"/>
      <c r="V50" s="311"/>
      <c r="W50" s="311"/>
      <c r="X50" s="311"/>
      <c r="Y50" s="311"/>
      <c r="Z50" s="311"/>
      <c r="AA50" s="311"/>
      <c r="AB50" s="299"/>
      <c r="AC50" s="299"/>
      <c r="AD50" s="299"/>
      <c r="AE50" s="299"/>
      <c r="AF50" s="299"/>
      <c r="AG50" s="299"/>
      <c r="AH50" s="299"/>
      <c r="AI50" s="299"/>
      <c r="AJ50" s="299"/>
      <c r="AK50" s="299"/>
      <c r="AL50" s="299"/>
      <c r="AM50" s="299"/>
      <c r="AN50" s="299"/>
      <c r="AO50" s="299"/>
      <c r="AP50" s="299"/>
      <c r="AQ50" s="299"/>
      <c r="AR50" s="299"/>
      <c r="AS50" s="299"/>
      <c r="AT50" s="299"/>
      <c r="AU50" s="299"/>
      <c r="AV50" s="299"/>
      <c r="AW50" s="299"/>
      <c r="AX50" s="299"/>
      <c r="AY50" s="299"/>
      <c r="AZ50" s="299"/>
      <c r="BA50" s="299"/>
      <c r="BB50" s="299"/>
      <c r="BC50" s="299"/>
      <c r="BD50" s="299"/>
      <c r="BE50" s="299"/>
      <c r="BF50" s="299"/>
      <c r="BG50" s="299"/>
      <c r="BH50" s="299"/>
      <c r="BI50" s="299"/>
      <c r="BJ50" s="299"/>
      <c r="BK50" s="299"/>
      <c r="BL50" s="299"/>
      <c r="BM50" s="299"/>
      <c r="BN50" s="299"/>
      <c r="BO50" s="299"/>
      <c r="BP50" s="299"/>
      <c r="BQ50" s="299"/>
      <c r="BR50" s="299"/>
      <c r="BS50" s="299"/>
      <c r="BT50" s="299"/>
      <c r="BU50" s="299"/>
      <c r="BV50" s="299"/>
      <c r="BW50" s="299"/>
      <c r="BX50" s="299"/>
      <c r="BY50" s="299"/>
      <c r="BZ50" s="299"/>
      <c r="CA50" s="299"/>
    </row>
    <row r="51" spans="1:79" ht="12" x14ac:dyDescent="0.15">
      <c r="A51" s="299"/>
      <c r="B51" s="299"/>
      <c r="C51" s="298"/>
      <c r="D51" s="299"/>
      <c r="E51" s="311"/>
      <c r="F51" s="311"/>
      <c r="G51" s="311"/>
      <c r="H51" s="311"/>
      <c r="I51" s="311"/>
      <c r="J51" s="311"/>
      <c r="K51" s="311"/>
      <c r="L51" s="311"/>
      <c r="M51" s="311"/>
      <c r="N51" s="311"/>
      <c r="O51" s="311"/>
      <c r="P51" s="311"/>
      <c r="Q51" s="311"/>
      <c r="R51" s="311"/>
      <c r="S51" s="311"/>
      <c r="T51" s="311"/>
      <c r="U51" s="311"/>
      <c r="V51" s="311"/>
      <c r="W51" s="311"/>
      <c r="X51" s="311"/>
      <c r="Y51" s="311"/>
      <c r="Z51" s="311"/>
      <c r="AA51" s="311"/>
      <c r="AB51" s="299"/>
      <c r="AC51" s="299"/>
      <c r="AD51" s="299"/>
      <c r="AE51" s="299"/>
      <c r="AF51" s="299"/>
      <c r="AG51" s="299"/>
      <c r="AH51" s="299"/>
      <c r="AI51" s="299"/>
      <c r="AJ51" s="299"/>
      <c r="AK51" s="299"/>
      <c r="AL51" s="299"/>
      <c r="AM51" s="299"/>
      <c r="AN51" s="299"/>
      <c r="AO51" s="299"/>
      <c r="AP51" s="299"/>
      <c r="AQ51" s="299"/>
      <c r="AR51" s="299"/>
      <c r="AS51" s="299"/>
      <c r="AT51" s="299"/>
      <c r="AU51" s="299"/>
      <c r="AV51" s="299"/>
      <c r="AW51" s="299"/>
      <c r="AX51" s="299"/>
      <c r="AY51" s="299"/>
      <c r="AZ51" s="299"/>
      <c r="BA51" s="299"/>
      <c r="BB51" s="299"/>
      <c r="BC51" s="299"/>
      <c r="BD51" s="299"/>
      <c r="BE51" s="299"/>
      <c r="BF51" s="299"/>
      <c r="BG51" s="299"/>
      <c r="BH51" s="299"/>
      <c r="BI51" s="299"/>
      <c r="BJ51" s="299"/>
      <c r="BK51" s="299"/>
      <c r="BL51" s="299"/>
      <c r="BM51" s="299"/>
      <c r="BN51" s="299"/>
      <c r="BO51" s="299"/>
      <c r="BP51" s="299"/>
      <c r="BQ51" s="299"/>
      <c r="BR51" s="299"/>
      <c r="BS51" s="299"/>
      <c r="BT51" s="299"/>
      <c r="BU51" s="299"/>
      <c r="BV51" s="299"/>
      <c r="BW51" s="299"/>
      <c r="BX51" s="299"/>
      <c r="BY51" s="299"/>
      <c r="BZ51" s="299"/>
      <c r="CA51" s="299"/>
    </row>
    <row r="52" spans="1:79" x14ac:dyDescent="0.15">
      <c r="D52" s="200"/>
      <c r="E52" s="200"/>
      <c r="F52" s="200"/>
      <c r="G52" s="200"/>
      <c r="H52" s="200"/>
      <c r="I52" s="200"/>
      <c r="J52" s="200"/>
      <c r="K52" s="200"/>
      <c r="L52" s="200"/>
      <c r="M52" s="200"/>
      <c r="N52" s="200"/>
      <c r="O52" s="200"/>
      <c r="P52" s="200"/>
      <c r="Q52" s="200"/>
      <c r="R52" s="200"/>
      <c r="S52" s="200"/>
      <c r="T52" s="200"/>
      <c r="U52" s="200"/>
      <c r="V52" s="200"/>
      <c r="W52" s="200"/>
      <c r="X52" s="200"/>
      <c r="Y52" s="200"/>
      <c r="Z52" s="200"/>
      <c r="AA52" s="200"/>
    </row>
    <row r="55" spans="1:79" x14ac:dyDescent="0.15">
      <c r="P55" s="121"/>
      <c r="Q55" s="121"/>
      <c r="R55" s="121"/>
      <c r="S55" s="121"/>
      <c r="T55" s="121"/>
    </row>
    <row r="56" spans="1:79" x14ac:dyDescent="0.15">
      <c r="P56" s="121"/>
      <c r="Q56" s="121"/>
      <c r="R56" s="121"/>
      <c r="S56" s="121"/>
      <c r="T56" s="121"/>
    </row>
    <row r="57" spans="1:79" x14ac:dyDescent="0.15">
      <c r="P57" s="121"/>
      <c r="Q57" s="121"/>
      <c r="R57" s="121"/>
      <c r="S57" s="121"/>
      <c r="T57" s="121"/>
    </row>
  </sheetData>
  <phoneticPr fontId="2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8"/>
  <sheetViews>
    <sheetView showGridLines="0" zoomScale="150" zoomScaleNormal="171" workbookViewId="0">
      <selection sqref="A1:XFD1048576"/>
    </sheetView>
  </sheetViews>
  <sheetFormatPr baseColWidth="10" defaultColWidth="8.83203125" defaultRowHeight="13" x14ac:dyDescent="0.15"/>
  <cols>
    <col min="1" max="1" width="2" style="196" customWidth="1"/>
    <col min="2" max="3" width="5.83203125" style="196" customWidth="1"/>
    <col min="4" max="4" width="8.6640625" style="196" bestFit="1" customWidth="1"/>
    <col min="5" max="5" width="10" style="196" customWidth="1"/>
    <col min="6" max="6" width="11.5" style="196" customWidth="1"/>
    <col min="7" max="7" width="12.83203125" style="196" customWidth="1"/>
    <col min="8" max="8" width="14.83203125" style="196" customWidth="1"/>
    <col min="9" max="9" width="12.5" style="196" customWidth="1"/>
    <col min="10" max="10" width="14.83203125" style="196" customWidth="1"/>
    <col min="11" max="11" width="8.6640625" style="196" customWidth="1"/>
    <col min="12" max="13" width="8.83203125" style="196"/>
    <col min="14" max="14" width="38" style="196" customWidth="1"/>
    <col min="15" max="15" width="12.33203125" style="196" customWidth="1"/>
    <col min="16" max="16" width="13.33203125" style="196" customWidth="1"/>
    <col min="17" max="17" width="11.33203125" style="196" customWidth="1"/>
    <col min="18" max="16384" width="8.83203125" style="196"/>
  </cols>
  <sheetData>
    <row r="1" spans="1:22" x14ac:dyDescent="0.15">
      <c r="A1" s="299"/>
      <c r="B1" s="299"/>
      <c r="C1" s="299"/>
      <c r="D1" s="299"/>
      <c r="E1" s="299"/>
      <c r="F1" s="299"/>
      <c r="G1" s="299"/>
      <c r="H1" s="299"/>
      <c r="I1" s="299"/>
      <c r="J1" s="299"/>
      <c r="K1" s="299"/>
      <c r="L1" s="299"/>
      <c r="M1" s="299"/>
      <c r="N1" s="299"/>
      <c r="O1" s="299"/>
      <c r="P1" s="299"/>
      <c r="Q1" s="299"/>
      <c r="R1" s="299"/>
      <c r="S1" s="299"/>
      <c r="T1" s="299"/>
      <c r="U1" s="299"/>
      <c r="V1" s="299"/>
    </row>
    <row r="2" spans="1:22" x14ac:dyDescent="0.15">
      <c r="A2" s="299"/>
      <c r="B2" s="299"/>
      <c r="C2" s="299"/>
      <c r="D2" s="299"/>
      <c r="E2" s="299"/>
      <c r="F2" s="299"/>
      <c r="G2" s="299"/>
      <c r="H2" s="299"/>
      <c r="I2" s="299"/>
      <c r="J2" s="546" t="s">
        <v>184</v>
      </c>
      <c r="K2" s="546"/>
      <c r="L2" s="546"/>
      <c r="M2" s="546"/>
      <c r="N2" s="546"/>
      <c r="O2" s="299"/>
      <c r="P2" s="299"/>
      <c r="Q2" s="299"/>
      <c r="R2" s="299"/>
      <c r="S2" s="299"/>
      <c r="T2" s="299"/>
      <c r="U2" s="299"/>
      <c r="V2" s="299"/>
    </row>
    <row r="3" spans="1:22" x14ac:dyDescent="0.15">
      <c r="A3" s="299"/>
      <c r="B3" s="299"/>
      <c r="C3" s="299"/>
      <c r="D3" s="299"/>
      <c r="E3" s="299"/>
      <c r="F3" s="299"/>
      <c r="G3" s="299"/>
      <c r="H3" s="299"/>
      <c r="I3" s="299"/>
      <c r="J3" s="299"/>
      <c r="K3" s="299"/>
      <c r="L3" s="299"/>
      <c r="M3" s="299"/>
      <c r="N3" s="299"/>
      <c r="O3" s="299"/>
      <c r="P3" s="299"/>
      <c r="Q3" s="299"/>
      <c r="R3" s="299"/>
      <c r="S3" s="299"/>
      <c r="T3" s="299"/>
      <c r="U3" s="299"/>
      <c r="V3" s="299"/>
    </row>
    <row r="4" spans="1:22" x14ac:dyDescent="0.15">
      <c r="A4" s="299"/>
      <c r="B4" s="346"/>
      <c r="C4" s="347"/>
      <c r="D4" s="347"/>
      <c r="E4" s="347"/>
      <c r="F4" s="347"/>
      <c r="G4" s="347"/>
      <c r="H4" s="347"/>
      <c r="I4" s="347"/>
      <c r="J4" s="555" t="s">
        <v>110</v>
      </c>
      <c r="K4" s="556"/>
      <c r="L4" s="556"/>
      <c r="M4" s="557"/>
      <c r="N4" s="558" t="s">
        <v>111</v>
      </c>
      <c r="O4" s="346"/>
      <c r="P4" s="348"/>
      <c r="Q4" s="348"/>
      <c r="R4" s="347"/>
      <c r="S4" s="347"/>
      <c r="T4" s="348"/>
      <c r="U4" s="299"/>
      <c r="V4" s="299"/>
    </row>
    <row r="5" spans="1:22" ht="26" x14ac:dyDescent="0.15">
      <c r="A5" s="299"/>
      <c r="B5" s="445" t="s">
        <v>112</v>
      </c>
      <c r="C5" s="446" t="s">
        <v>113</v>
      </c>
      <c r="D5" s="446" t="s">
        <v>13</v>
      </c>
      <c r="E5" s="446" t="s">
        <v>91</v>
      </c>
      <c r="F5" s="446" t="s">
        <v>114</v>
      </c>
      <c r="G5" s="446" t="s">
        <v>126</v>
      </c>
      <c r="H5" s="446" t="s">
        <v>127</v>
      </c>
      <c r="I5" s="447" t="s">
        <v>118</v>
      </c>
      <c r="J5" s="448" t="s">
        <v>115</v>
      </c>
      <c r="K5" s="448" t="s">
        <v>13</v>
      </c>
      <c r="L5" s="448" t="s">
        <v>109</v>
      </c>
      <c r="M5" s="449" t="s">
        <v>116</v>
      </c>
      <c r="N5" s="559"/>
      <c r="O5" s="445" t="s">
        <v>11</v>
      </c>
      <c r="P5" s="447" t="s">
        <v>117</v>
      </c>
      <c r="Q5" s="447" t="s">
        <v>118</v>
      </c>
      <c r="R5" s="446" t="s">
        <v>181</v>
      </c>
      <c r="S5" s="446" t="s">
        <v>182</v>
      </c>
      <c r="T5" s="449" t="s">
        <v>16</v>
      </c>
      <c r="U5" s="299"/>
      <c r="V5" s="299"/>
    </row>
    <row r="6" spans="1:22" x14ac:dyDescent="0.15">
      <c r="A6" s="299"/>
      <c r="B6" s="547">
        <v>1</v>
      </c>
      <c r="C6" s="349">
        <v>1</v>
      </c>
      <c r="D6" s="350">
        <v>48732</v>
      </c>
      <c r="E6" s="351">
        <v>5.13</v>
      </c>
      <c r="F6" s="352">
        <f t="shared" ref="F6:F45" si="0">E6*D6</f>
        <v>249995.16</v>
      </c>
      <c r="G6" s="353">
        <f>D6</f>
        <v>48732</v>
      </c>
      <c r="H6" s="352">
        <f>F6</f>
        <v>249995.16</v>
      </c>
      <c r="I6" s="354">
        <f>G6/'Cap Table'!$AE$70</f>
        <v>6.4760132890365446E-4</v>
      </c>
      <c r="J6" s="355"/>
      <c r="K6" s="350"/>
      <c r="L6" s="351"/>
      <c r="M6" s="356"/>
      <c r="N6" s="357"/>
      <c r="O6" s="358">
        <f>D6+K6</f>
        <v>48732</v>
      </c>
      <c r="P6" s="359">
        <f>M6+F6</f>
        <v>249995.16</v>
      </c>
      <c r="Q6" s="360">
        <f>O6/(10000000+O6)</f>
        <v>4.8495670896586754E-3</v>
      </c>
      <c r="R6" s="361">
        <f t="shared" ref="R6:R45" si="1">7500000/(10385000+O6)</f>
        <v>0.71882237343263178</v>
      </c>
      <c r="S6" s="361">
        <f t="shared" ref="S6:S45" si="2">2500000/(10385000+O6)</f>
        <v>0.23960745781087725</v>
      </c>
      <c r="T6" s="362">
        <f t="shared" ref="T6:T45" si="3">385000/(10385000+O6)</f>
        <v>3.68995485028751E-2</v>
      </c>
      <c r="U6" s="299"/>
      <c r="V6" s="299"/>
    </row>
    <row r="7" spans="1:22" x14ac:dyDescent="0.15">
      <c r="A7" s="299"/>
      <c r="B7" s="548"/>
      <c r="C7" s="363">
        <v>2</v>
      </c>
      <c r="D7" s="364">
        <v>48732</v>
      </c>
      <c r="E7" s="365">
        <f t="shared" ref="E7:E45" si="4">E6</f>
        <v>5.13</v>
      </c>
      <c r="F7" s="366">
        <f t="shared" si="0"/>
        <v>249995.16</v>
      </c>
      <c r="G7" s="367">
        <f>D7+G6</f>
        <v>97464</v>
      </c>
      <c r="H7" s="366">
        <f>F7+H6</f>
        <v>499990.32</v>
      </c>
      <c r="I7" s="368">
        <f>G7/'Cap Table'!$AE$70</f>
        <v>1.2952026578073089E-3</v>
      </c>
      <c r="J7" s="369"/>
      <c r="K7" s="364"/>
      <c r="L7" s="365"/>
      <c r="M7" s="370"/>
      <c r="N7" s="371"/>
      <c r="O7" s="372">
        <f t="shared" ref="O7:O45" si="5">D7+K7+O6</f>
        <v>97464</v>
      </c>
      <c r="P7" s="373">
        <f t="shared" ref="P7:P45" si="6">F7+M7+P6</f>
        <v>499990.32</v>
      </c>
      <c r="Q7" s="374">
        <f>O7/(10000000+O7)</f>
        <v>9.6523245836776447E-3</v>
      </c>
      <c r="R7" s="375">
        <f t="shared" si="1"/>
        <v>0.71548063508732296</v>
      </c>
      <c r="S7" s="375">
        <f t="shared" si="2"/>
        <v>0.23849354502910766</v>
      </c>
      <c r="T7" s="376">
        <f t="shared" si="3"/>
        <v>3.6728005934482583E-2</v>
      </c>
      <c r="U7" s="299"/>
      <c r="V7" s="299"/>
    </row>
    <row r="8" spans="1:22" x14ac:dyDescent="0.15">
      <c r="A8" s="299"/>
      <c r="B8" s="548"/>
      <c r="C8" s="363">
        <v>3</v>
      </c>
      <c r="D8" s="364">
        <v>48732</v>
      </c>
      <c r="E8" s="365">
        <f t="shared" si="4"/>
        <v>5.13</v>
      </c>
      <c r="F8" s="366">
        <f t="shared" si="0"/>
        <v>249995.16</v>
      </c>
      <c r="G8" s="367">
        <f t="shared" ref="G8:G25" si="7">D8+G7</f>
        <v>146196</v>
      </c>
      <c r="H8" s="366">
        <f t="shared" ref="H8:H25" si="8">F8+H7</f>
        <v>749985.48</v>
      </c>
      <c r="I8" s="368">
        <f>G8/'Cap Table'!$AE$70</f>
        <v>1.9428039867109635E-3</v>
      </c>
      <c r="J8" s="369"/>
      <c r="K8" s="364"/>
      <c r="L8" s="365"/>
      <c r="M8" s="370"/>
      <c r="N8" s="377"/>
      <c r="O8" s="372">
        <f t="shared" si="5"/>
        <v>146196</v>
      </c>
      <c r="P8" s="373">
        <f t="shared" si="6"/>
        <v>749985.48</v>
      </c>
      <c r="Q8" s="374">
        <f>O8/(10000000+O8)</f>
        <v>1.4408946959037654E-2</v>
      </c>
      <c r="R8" s="375">
        <f t="shared" si="1"/>
        <v>0.71216982382627769</v>
      </c>
      <c r="S8" s="375">
        <f t="shared" si="2"/>
        <v>0.2373899412754259</v>
      </c>
      <c r="T8" s="376">
        <f t="shared" si="3"/>
        <v>3.6558050956415587E-2</v>
      </c>
      <c r="U8" s="299"/>
      <c r="V8" s="299"/>
    </row>
    <row r="9" spans="1:22" x14ac:dyDescent="0.15">
      <c r="A9" s="299"/>
      <c r="B9" s="549"/>
      <c r="C9" s="378">
        <v>4</v>
      </c>
      <c r="D9" s="379">
        <v>48732</v>
      </c>
      <c r="E9" s="380">
        <f t="shared" si="4"/>
        <v>5.13</v>
      </c>
      <c r="F9" s="381">
        <f t="shared" si="0"/>
        <v>249995.16</v>
      </c>
      <c r="G9" s="382">
        <f t="shared" si="7"/>
        <v>194928</v>
      </c>
      <c r="H9" s="381">
        <f t="shared" si="8"/>
        <v>999980.64</v>
      </c>
      <c r="I9" s="383">
        <f>G9/'Cap Table'!$AE$70</f>
        <v>2.5904053156146178E-3</v>
      </c>
      <c r="J9" s="384">
        <v>7.0000000000000007E-2</v>
      </c>
      <c r="K9" s="379">
        <f>J9*SUM(D6:D9)</f>
        <v>13644.960000000001</v>
      </c>
      <c r="L9" s="380">
        <v>1</v>
      </c>
      <c r="M9" s="385">
        <f>L9*K9</f>
        <v>13644.960000000001</v>
      </c>
      <c r="N9" s="386">
        <f>(M9+SUM(F6:F9))/(K9+SUM(D6:D9))</f>
        <v>4.8598130841121492</v>
      </c>
      <c r="O9" s="387">
        <f t="shared" si="5"/>
        <v>208572.96</v>
      </c>
      <c r="P9" s="388">
        <f t="shared" si="6"/>
        <v>1013625.6</v>
      </c>
      <c r="Q9" s="389">
        <f>O9/(10000000+O9)</f>
        <v>2.0431157304477938E-2</v>
      </c>
      <c r="R9" s="390">
        <f t="shared" si="1"/>
        <v>0.70797643328828308</v>
      </c>
      <c r="S9" s="390">
        <f t="shared" si="2"/>
        <v>0.23599214442942767</v>
      </c>
      <c r="T9" s="391">
        <f t="shared" si="3"/>
        <v>3.6342790242131863E-2</v>
      </c>
      <c r="U9" s="299"/>
      <c r="V9" s="299"/>
    </row>
    <row r="10" spans="1:22" x14ac:dyDescent="0.15">
      <c r="A10" s="299"/>
      <c r="B10" s="548">
        <v>2</v>
      </c>
      <c r="C10" s="363">
        <v>5</v>
      </c>
      <c r="D10" s="364">
        <v>48732</v>
      </c>
      <c r="E10" s="365">
        <f t="shared" si="4"/>
        <v>5.13</v>
      </c>
      <c r="F10" s="366">
        <f t="shared" si="0"/>
        <v>249995.16</v>
      </c>
      <c r="G10" s="367">
        <f t="shared" si="7"/>
        <v>243660</v>
      </c>
      <c r="H10" s="366">
        <f t="shared" si="8"/>
        <v>1249975.8</v>
      </c>
      <c r="I10" s="368">
        <f>G10/'Cap Table'!$AE$70</f>
        <v>3.2380066445182724E-3</v>
      </c>
      <c r="J10" s="355"/>
      <c r="K10" s="350"/>
      <c r="L10" s="351"/>
      <c r="M10" s="356"/>
      <c r="N10" s="392"/>
      <c r="O10" s="358">
        <f t="shared" si="5"/>
        <v>257304.95999999999</v>
      </c>
      <c r="P10" s="359">
        <f t="shared" si="6"/>
        <v>1263620.76</v>
      </c>
      <c r="Q10" s="393">
        <f t="shared" ref="Q10:Q45" si="9">O10/(10000000+O10)</f>
        <v>2.5085045341188723E-2</v>
      </c>
      <c r="R10" s="375">
        <f t="shared" si="1"/>
        <v>0.70473455028674536</v>
      </c>
      <c r="S10" s="375">
        <f t="shared" si="2"/>
        <v>0.23491151676224845</v>
      </c>
      <c r="T10" s="376">
        <f t="shared" si="3"/>
        <v>3.6176373581386263E-2</v>
      </c>
      <c r="U10" s="299"/>
      <c r="V10" s="299"/>
    </row>
    <row r="11" spans="1:22" x14ac:dyDescent="0.15">
      <c r="A11" s="299"/>
      <c r="B11" s="548"/>
      <c r="C11" s="363">
        <v>6</v>
      </c>
      <c r="D11" s="364">
        <v>48732</v>
      </c>
      <c r="E11" s="365">
        <f t="shared" si="4"/>
        <v>5.13</v>
      </c>
      <c r="F11" s="366">
        <f t="shared" si="0"/>
        <v>249995.16</v>
      </c>
      <c r="G11" s="367">
        <f t="shared" si="7"/>
        <v>292392</v>
      </c>
      <c r="H11" s="366">
        <f t="shared" si="8"/>
        <v>1499970.96</v>
      </c>
      <c r="I11" s="368">
        <f>G11/'Cap Table'!$AE$70</f>
        <v>3.885607973421927E-3</v>
      </c>
      <c r="J11" s="369"/>
      <c r="K11" s="364"/>
      <c r="L11" s="365"/>
      <c r="M11" s="370"/>
      <c r="N11" s="377"/>
      <c r="O11" s="372">
        <f t="shared" si="5"/>
        <v>306036.95999999996</v>
      </c>
      <c r="P11" s="373">
        <f t="shared" si="6"/>
        <v>1513615.92</v>
      </c>
      <c r="Q11" s="393">
        <f t="shared" si="9"/>
        <v>2.9694921645225688E-2</v>
      </c>
      <c r="R11" s="375">
        <f t="shared" si="1"/>
        <v>0.70152222165734612</v>
      </c>
      <c r="S11" s="375">
        <f t="shared" si="2"/>
        <v>0.23384074055244869</v>
      </c>
      <c r="T11" s="376">
        <f t="shared" si="3"/>
        <v>3.6011474045077096E-2</v>
      </c>
      <c r="U11" s="299"/>
      <c r="V11" s="299"/>
    </row>
    <row r="12" spans="1:22" x14ac:dyDescent="0.15">
      <c r="A12" s="299"/>
      <c r="B12" s="548"/>
      <c r="C12" s="363">
        <v>7</v>
      </c>
      <c r="D12" s="364">
        <v>48732</v>
      </c>
      <c r="E12" s="365">
        <f t="shared" si="4"/>
        <v>5.13</v>
      </c>
      <c r="F12" s="366">
        <f t="shared" si="0"/>
        <v>249995.16</v>
      </c>
      <c r="G12" s="367">
        <f t="shared" si="7"/>
        <v>341124</v>
      </c>
      <c r="H12" s="366">
        <f t="shared" si="8"/>
        <v>1749966.1199999999</v>
      </c>
      <c r="I12" s="368">
        <f>G12/'Cap Table'!$AE$70</f>
        <v>4.5332093023255811E-3</v>
      </c>
      <c r="J12" s="369"/>
      <c r="K12" s="364"/>
      <c r="L12" s="365"/>
      <c r="M12" s="370"/>
      <c r="N12" s="377"/>
      <c r="O12" s="372">
        <f t="shared" si="5"/>
        <v>354768.95999999996</v>
      </c>
      <c r="P12" s="373">
        <f t="shared" si="6"/>
        <v>1763611.0799999998</v>
      </c>
      <c r="Q12" s="393">
        <f t="shared" si="9"/>
        <v>3.4261407605563794E-2</v>
      </c>
      <c r="R12" s="375">
        <f t="shared" si="1"/>
        <v>0.69833904508873157</v>
      </c>
      <c r="S12" s="375">
        <f t="shared" si="2"/>
        <v>0.23277968169624386</v>
      </c>
      <c r="T12" s="376">
        <f t="shared" si="3"/>
        <v>3.5848070981221551E-2</v>
      </c>
      <c r="U12" s="299"/>
      <c r="V12" s="299"/>
    </row>
    <row r="13" spans="1:22" x14ac:dyDescent="0.15">
      <c r="A13" s="299"/>
      <c r="B13" s="548"/>
      <c r="C13" s="363">
        <v>8</v>
      </c>
      <c r="D13" s="364">
        <v>48732</v>
      </c>
      <c r="E13" s="365">
        <f t="shared" si="4"/>
        <v>5.13</v>
      </c>
      <c r="F13" s="366">
        <f t="shared" si="0"/>
        <v>249995.16</v>
      </c>
      <c r="G13" s="367">
        <f t="shared" si="7"/>
        <v>389856</v>
      </c>
      <c r="H13" s="366">
        <f t="shared" si="8"/>
        <v>1999961.2799999998</v>
      </c>
      <c r="I13" s="368">
        <f>G13/'Cap Table'!$AE$70</f>
        <v>5.1808106312292357E-3</v>
      </c>
      <c r="J13" s="384">
        <v>0.08</v>
      </c>
      <c r="K13" s="379">
        <f>J13*SUM(D10:D13)</f>
        <v>15594.24</v>
      </c>
      <c r="L13" s="380">
        <v>1</v>
      </c>
      <c r="M13" s="385">
        <f>L13*K13</f>
        <v>15594.24</v>
      </c>
      <c r="N13" s="386">
        <f>(M13+SUM(F10:F13))/(K13+SUM(D10:D13))</f>
        <v>4.8240740740740744</v>
      </c>
      <c r="O13" s="387">
        <f t="shared" si="5"/>
        <v>419095.19999999995</v>
      </c>
      <c r="P13" s="388">
        <f t="shared" si="6"/>
        <v>2029200.48</v>
      </c>
      <c r="Q13" s="393">
        <f t="shared" si="9"/>
        <v>4.0223761464431192E-2</v>
      </c>
      <c r="R13" s="375">
        <f t="shared" si="1"/>
        <v>0.69418122120952808</v>
      </c>
      <c r="S13" s="375">
        <f t="shared" si="2"/>
        <v>0.23139374040317603</v>
      </c>
      <c r="T13" s="376">
        <f t="shared" si="3"/>
        <v>3.5634636022089106E-2</v>
      </c>
      <c r="U13" s="299"/>
      <c r="V13" s="299"/>
    </row>
    <row r="14" spans="1:22" x14ac:dyDescent="0.15">
      <c r="A14" s="299"/>
      <c r="B14" s="547">
        <v>3</v>
      </c>
      <c r="C14" s="349">
        <v>9</v>
      </c>
      <c r="D14" s="350">
        <v>48732</v>
      </c>
      <c r="E14" s="351">
        <f t="shared" si="4"/>
        <v>5.13</v>
      </c>
      <c r="F14" s="352">
        <f t="shared" si="0"/>
        <v>249995.16</v>
      </c>
      <c r="G14" s="353">
        <f t="shared" si="7"/>
        <v>438588</v>
      </c>
      <c r="H14" s="352">
        <f t="shared" si="8"/>
        <v>2249956.44</v>
      </c>
      <c r="I14" s="354">
        <f>G14/'Cap Table'!$AE$70</f>
        <v>5.8284119601328902E-3</v>
      </c>
      <c r="J14" s="355"/>
      <c r="K14" s="350"/>
      <c r="L14" s="351"/>
      <c r="M14" s="356"/>
      <c r="N14" s="392"/>
      <c r="O14" s="358">
        <f t="shared" si="5"/>
        <v>467827.19999999995</v>
      </c>
      <c r="P14" s="359">
        <f t="shared" si="6"/>
        <v>2279195.64</v>
      </c>
      <c r="Q14" s="394">
        <f t="shared" si="9"/>
        <v>4.469191084850923E-2</v>
      </c>
      <c r="R14" s="361">
        <f t="shared" si="1"/>
        <v>0.6910641680538322</v>
      </c>
      <c r="S14" s="361">
        <f t="shared" si="2"/>
        <v>0.23035472268461071</v>
      </c>
      <c r="T14" s="362">
        <f t="shared" si="3"/>
        <v>3.5474627293430053E-2</v>
      </c>
      <c r="U14" s="299"/>
      <c r="V14" s="299"/>
    </row>
    <row r="15" spans="1:22" x14ac:dyDescent="0.15">
      <c r="A15" s="299"/>
      <c r="B15" s="548"/>
      <c r="C15" s="363">
        <v>10</v>
      </c>
      <c r="D15" s="364">
        <v>48732</v>
      </c>
      <c r="E15" s="365">
        <f t="shared" si="4"/>
        <v>5.13</v>
      </c>
      <c r="F15" s="366">
        <f t="shared" si="0"/>
        <v>249995.16</v>
      </c>
      <c r="G15" s="367">
        <f t="shared" si="7"/>
        <v>487320</v>
      </c>
      <c r="H15" s="366">
        <f t="shared" si="8"/>
        <v>2499951.6</v>
      </c>
      <c r="I15" s="368">
        <f>G15/'Cap Table'!$AE$70</f>
        <v>6.4760132890365448E-3</v>
      </c>
      <c r="J15" s="369"/>
      <c r="K15" s="364"/>
      <c r="L15" s="365"/>
      <c r="M15" s="370"/>
      <c r="N15" s="377"/>
      <c r="O15" s="372">
        <f t="shared" si="5"/>
        <v>516559.19999999995</v>
      </c>
      <c r="P15" s="373">
        <f t="shared" si="6"/>
        <v>2529190.8000000003</v>
      </c>
      <c r="Q15" s="393">
        <f t="shared" si="9"/>
        <v>4.9118650898670353E-2</v>
      </c>
      <c r="R15" s="375">
        <f t="shared" si="1"/>
        <v>0.6879749825144279</v>
      </c>
      <c r="S15" s="375">
        <f t="shared" si="2"/>
        <v>0.22932499417147598</v>
      </c>
      <c r="T15" s="376">
        <f t="shared" si="3"/>
        <v>3.53160491024073E-2</v>
      </c>
      <c r="U15" s="299"/>
      <c r="V15" s="299"/>
    </row>
    <row r="16" spans="1:22" x14ac:dyDescent="0.15">
      <c r="A16" s="299"/>
      <c r="B16" s="548"/>
      <c r="C16" s="363">
        <v>11</v>
      </c>
      <c r="D16" s="364">
        <v>48732</v>
      </c>
      <c r="E16" s="365">
        <f t="shared" si="4"/>
        <v>5.13</v>
      </c>
      <c r="F16" s="366">
        <f t="shared" si="0"/>
        <v>249995.16</v>
      </c>
      <c r="G16" s="367">
        <f t="shared" si="7"/>
        <v>536052</v>
      </c>
      <c r="H16" s="366">
        <f t="shared" si="8"/>
        <v>2749946.7600000002</v>
      </c>
      <c r="I16" s="368">
        <f>G16/'Cap Table'!$AE$70</f>
        <v>7.1236146179401993E-3</v>
      </c>
      <c r="J16" s="369"/>
      <c r="K16" s="364"/>
      <c r="L16" s="365"/>
      <c r="M16" s="370"/>
      <c r="N16" s="377"/>
      <c r="O16" s="372">
        <f t="shared" si="5"/>
        <v>565291.19999999995</v>
      </c>
      <c r="P16" s="373">
        <f t="shared" si="6"/>
        <v>2779185.9600000004</v>
      </c>
      <c r="Q16" s="393">
        <f t="shared" si="9"/>
        <v>5.350455461180284E-2</v>
      </c>
      <c r="R16" s="375">
        <f t="shared" si="1"/>
        <v>0.68491329253417488</v>
      </c>
      <c r="S16" s="375">
        <f t="shared" si="2"/>
        <v>0.22830443084472496</v>
      </c>
      <c r="T16" s="376">
        <f t="shared" si="3"/>
        <v>3.5158882350087642E-2</v>
      </c>
      <c r="U16" s="299"/>
      <c r="V16" s="299"/>
    </row>
    <row r="17" spans="1:22" x14ac:dyDescent="0.15">
      <c r="A17" s="299"/>
      <c r="B17" s="549"/>
      <c r="C17" s="378">
        <v>12</v>
      </c>
      <c r="D17" s="379">
        <v>48732</v>
      </c>
      <c r="E17" s="380">
        <f t="shared" si="4"/>
        <v>5.13</v>
      </c>
      <c r="F17" s="381">
        <f t="shared" si="0"/>
        <v>249995.16</v>
      </c>
      <c r="G17" s="382">
        <f t="shared" si="7"/>
        <v>584784</v>
      </c>
      <c r="H17" s="381">
        <f t="shared" si="8"/>
        <v>2999941.9200000004</v>
      </c>
      <c r="I17" s="383">
        <f>G17/'Cap Table'!$AE$70</f>
        <v>7.7712159468438539E-3</v>
      </c>
      <c r="J17" s="384">
        <v>0.09</v>
      </c>
      <c r="K17" s="379">
        <f>J17*SUM(D14:D17)</f>
        <v>17543.52</v>
      </c>
      <c r="L17" s="380">
        <v>1</v>
      </c>
      <c r="M17" s="385">
        <f>L17*K17</f>
        <v>17543.52</v>
      </c>
      <c r="N17" s="386">
        <f>(M17+SUM(F14:F17))/(K17+SUM(D14:D17))</f>
        <v>4.7889908256880735</v>
      </c>
      <c r="O17" s="387">
        <f t="shared" si="5"/>
        <v>631566.72</v>
      </c>
      <c r="P17" s="388">
        <f t="shared" si="6"/>
        <v>3046724.6400000006</v>
      </c>
      <c r="Q17" s="395">
        <f t="shared" si="9"/>
        <v>5.9404858816518809E-2</v>
      </c>
      <c r="R17" s="390">
        <f t="shared" si="1"/>
        <v>0.68079286320520738</v>
      </c>
      <c r="S17" s="390">
        <f t="shared" si="2"/>
        <v>0.22693095440173577</v>
      </c>
      <c r="T17" s="391">
        <f t="shared" si="3"/>
        <v>3.4947366977867309E-2</v>
      </c>
      <c r="U17" s="299"/>
      <c r="V17" s="299"/>
    </row>
    <row r="18" spans="1:22" x14ac:dyDescent="0.15">
      <c r="A18" s="299"/>
      <c r="B18" s="550">
        <v>4</v>
      </c>
      <c r="C18" s="396">
        <v>13</v>
      </c>
      <c r="D18" s="364">
        <v>48732</v>
      </c>
      <c r="E18" s="397">
        <f t="shared" si="4"/>
        <v>5.13</v>
      </c>
      <c r="F18" s="398">
        <f t="shared" si="0"/>
        <v>249995.16</v>
      </c>
      <c r="G18" s="367">
        <f t="shared" si="7"/>
        <v>633516</v>
      </c>
      <c r="H18" s="366">
        <f t="shared" si="8"/>
        <v>3249937.0800000005</v>
      </c>
      <c r="I18" s="368">
        <f>G18/'Cap Table'!$AE$70</f>
        <v>8.4188172757475085E-3</v>
      </c>
      <c r="J18" s="399"/>
      <c r="K18" s="400"/>
      <c r="L18" s="397"/>
      <c r="M18" s="401"/>
      <c r="N18" s="402"/>
      <c r="O18" s="403">
        <f t="shared" si="5"/>
        <v>680298.72</v>
      </c>
      <c r="P18" s="404">
        <f t="shared" si="6"/>
        <v>3296719.8000000007</v>
      </c>
      <c r="Q18" s="405">
        <f t="shared" si="9"/>
        <v>6.369660042617234E-2</v>
      </c>
      <c r="R18" s="406">
        <f t="shared" si="1"/>
        <v>0.67779462532214396</v>
      </c>
      <c r="S18" s="406">
        <f t="shared" si="2"/>
        <v>0.22593154177404801</v>
      </c>
      <c r="T18" s="368">
        <f t="shared" si="3"/>
        <v>3.479345743320339E-2</v>
      </c>
      <c r="U18" s="299"/>
      <c r="V18" s="299"/>
    </row>
    <row r="19" spans="1:22" x14ac:dyDescent="0.15">
      <c r="A19" s="299"/>
      <c r="B19" s="551"/>
      <c r="C19" s="407">
        <v>14</v>
      </c>
      <c r="D19" s="364">
        <v>48732</v>
      </c>
      <c r="E19" s="408">
        <f t="shared" si="4"/>
        <v>5.13</v>
      </c>
      <c r="F19" s="409">
        <f t="shared" si="0"/>
        <v>249995.16</v>
      </c>
      <c r="G19" s="367">
        <f t="shared" si="7"/>
        <v>682248</v>
      </c>
      <c r="H19" s="366">
        <f t="shared" si="8"/>
        <v>3499932.2400000007</v>
      </c>
      <c r="I19" s="368">
        <f>G19/'Cap Table'!$AE$70</f>
        <v>9.0664186046511622E-3</v>
      </c>
      <c r="J19" s="410"/>
      <c r="K19" s="411"/>
      <c r="L19" s="408"/>
      <c r="M19" s="412"/>
      <c r="N19" s="413"/>
      <c r="O19" s="414">
        <f t="shared" si="5"/>
        <v>729030.72</v>
      </c>
      <c r="P19" s="415">
        <f t="shared" si="6"/>
        <v>3546714.9600000009</v>
      </c>
      <c r="Q19" s="405">
        <f t="shared" si="9"/>
        <v>6.7949355261050073E-2</v>
      </c>
      <c r="R19" s="406">
        <f t="shared" si="1"/>
        <v>0.67482268035336146</v>
      </c>
      <c r="S19" s="406">
        <f t="shared" si="2"/>
        <v>0.22494089345112048</v>
      </c>
      <c r="T19" s="368">
        <f t="shared" si="3"/>
        <v>3.4640897591472555E-2</v>
      </c>
      <c r="U19" s="299"/>
      <c r="V19" s="299"/>
    </row>
    <row r="20" spans="1:22" x14ac:dyDescent="0.15">
      <c r="A20" s="299"/>
      <c r="B20" s="551"/>
      <c r="C20" s="407">
        <v>15</v>
      </c>
      <c r="D20" s="364">
        <v>48732</v>
      </c>
      <c r="E20" s="408">
        <f t="shared" si="4"/>
        <v>5.13</v>
      </c>
      <c r="F20" s="409">
        <f t="shared" si="0"/>
        <v>249995.16</v>
      </c>
      <c r="G20" s="367">
        <f t="shared" si="7"/>
        <v>730980</v>
      </c>
      <c r="H20" s="366">
        <f t="shared" si="8"/>
        <v>3749927.4000000008</v>
      </c>
      <c r="I20" s="368">
        <f>G20/'Cap Table'!$AE$70</f>
        <v>9.7140199335548176E-3</v>
      </c>
      <c r="J20" s="410"/>
      <c r="K20" s="411"/>
      <c r="L20" s="408"/>
      <c r="M20" s="412"/>
      <c r="N20" s="413"/>
      <c r="O20" s="414">
        <f t="shared" si="5"/>
        <v>777762.72</v>
      </c>
      <c r="P20" s="415">
        <f t="shared" si="6"/>
        <v>3796710.120000001</v>
      </c>
      <c r="Q20" s="405">
        <f t="shared" si="9"/>
        <v>7.2163652161011754E-2</v>
      </c>
      <c r="R20" s="406">
        <f t="shared" si="1"/>
        <v>0.67187668394692879</v>
      </c>
      <c r="S20" s="406">
        <f t="shared" si="2"/>
        <v>0.22395889464897628</v>
      </c>
      <c r="T20" s="368">
        <f t="shared" si="3"/>
        <v>3.4489669775942346E-2</v>
      </c>
      <c r="U20" s="299"/>
      <c r="V20" s="299"/>
    </row>
    <row r="21" spans="1:22" x14ac:dyDescent="0.15">
      <c r="A21" s="299"/>
      <c r="B21" s="551"/>
      <c r="C21" s="407">
        <v>16</v>
      </c>
      <c r="D21" s="364">
        <v>48732</v>
      </c>
      <c r="E21" s="408">
        <f t="shared" si="4"/>
        <v>5.13</v>
      </c>
      <c r="F21" s="409">
        <f t="shared" si="0"/>
        <v>249995.16</v>
      </c>
      <c r="G21" s="367">
        <f t="shared" si="7"/>
        <v>779712</v>
      </c>
      <c r="H21" s="366">
        <f t="shared" si="8"/>
        <v>3999922.560000001</v>
      </c>
      <c r="I21" s="368">
        <f>G21/'Cap Table'!$AE$70</f>
        <v>1.0361621262458471E-2</v>
      </c>
      <c r="J21" s="416">
        <v>0.1</v>
      </c>
      <c r="K21" s="417">
        <f>J21*SUM(D18:D21)</f>
        <v>19492.8</v>
      </c>
      <c r="L21" s="418">
        <v>1</v>
      </c>
      <c r="M21" s="419">
        <f>L21*K21</f>
        <v>19492.8</v>
      </c>
      <c r="N21" s="420">
        <f>(M21+SUM(F18:F21))/(K21+SUM(D18:D21))</f>
        <v>4.7545454545454549</v>
      </c>
      <c r="O21" s="421">
        <f t="shared" si="5"/>
        <v>845987.52</v>
      </c>
      <c r="P21" s="422">
        <f t="shared" si="6"/>
        <v>4066198.080000001</v>
      </c>
      <c r="Q21" s="405">
        <f t="shared" si="9"/>
        <v>7.800004549516576E-2</v>
      </c>
      <c r="R21" s="406">
        <f t="shared" si="1"/>
        <v>0.66779523943411878</v>
      </c>
      <c r="S21" s="406">
        <f t="shared" si="2"/>
        <v>0.22259841314470627</v>
      </c>
      <c r="T21" s="368">
        <f t="shared" si="3"/>
        <v>3.4280155624284769E-2</v>
      </c>
      <c r="U21" s="299"/>
      <c r="V21" s="299"/>
    </row>
    <row r="22" spans="1:22" x14ac:dyDescent="0.15">
      <c r="A22" s="299"/>
      <c r="B22" s="550">
        <v>5</v>
      </c>
      <c r="C22" s="349">
        <v>17</v>
      </c>
      <c r="D22" s="350">
        <v>48732</v>
      </c>
      <c r="E22" s="397">
        <f t="shared" si="4"/>
        <v>5.13</v>
      </c>
      <c r="F22" s="352">
        <f t="shared" si="0"/>
        <v>249995.16</v>
      </c>
      <c r="G22" s="353">
        <f t="shared" si="7"/>
        <v>828444</v>
      </c>
      <c r="H22" s="352">
        <f t="shared" si="8"/>
        <v>4249917.7200000007</v>
      </c>
      <c r="I22" s="354">
        <f>G22/'Cap Table'!$AE$70</f>
        <v>1.1009222591362127E-2</v>
      </c>
      <c r="J22" s="355"/>
      <c r="K22" s="350"/>
      <c r="L22" s="351"/>
      <c r="M22" s="356"/>
      <c r="N22" s="392"/>
      <c r="O22" s="358">
        <f t="shared" si="5"/>
        <v>894719.52</v>
      </c>
      <c r="P22" s="359">
        <f t="shared" si="6"/>
        <v>4316193.2400000012</v>
      </c>
      <c r="Q22" s="423">
        <f t="shared" si="9"/>
        <v>8.2124144486465864E-2</v>
      </c>
      <c r="R22" s="424">
        <f t="shared" si="1"/>
        <v>0.66491015017720945</v>
      </c>
      <c r="S22" s="424">
        <f t="shared" si="2"/>
        <v>0.22163671672573645</v>
      </c>
      <c r="T22" s="354">
        <f t="shared" si="3"/>
        <v>3.4132054375763415E-2</v>
      </c>
      <c r="U22" s="299"/>
      <c r="V22" s="299"/>
    </row>
    <row r="23" spans="1:22" x14ac:dyDescent="0.15">
      <c r="A23" s="299"/>
      <c r="B23" s="551"/>
      <c r="C23" s="363">
        <v>18</v>
      </c>
      <c r="D23" s="364">
        <v>48732</v>
      </c>
      <c r="E23" s="408">
        <f t="shared" si="4"/>
        <v>5.13</v>
      </c>
      <c r="F23" s="366">
        <f t="shared" si="0"/>
        <v>249995.16</v>
      </c>
      <c r="G23" s="367">
        <f t="shared" si="7"/>
        <v>877176</v>
      </c>
      <c r="H23" s="366">
        <f t="shared" si="8"/>
        <v>4499912.8800000008</v>
      </c>
      <c r="I23" s="368">
        <f>G23/'Cap Table'!$AE$70</f>
        <v>1.165682392026578E-2</v>
      </c>
      <c r="J23" s="369"/>
      <c r="K23" s="364"/>
      <c r="L23" s="365"/>
      <c r="M23" s="370"/>
      <c r="N23" s="377"/>
      <c r="O23" s="372">
        <f t="shared" si="5"/>
        <v>943451.52</v>
      </c>
      <c r="P23" s="373">
        <f t="shared" si="6"/>
        <v>4566188.4000000013</v>
      </c>
      <c r="Q23" s="405">
        <f t="shared" si="9"/>
        <v>8.621151364135618E-2</v>
      </c>
      <c r="R23" s="406">
        <f t="shared" si="1"/>
        <v>0.66204988270100307</v>
      </c>
      <c r="S23" s="406">
        <f t="shared" si="2"/>
        <v>0.2206832942336677</v>
      </c>
      <c r="T23" s="368">
        <f t="shared" si="3"/>
        <v>3.3985227311984827E-2</v>
      </c>
      <c r="U23" s="299"/>
      <c r="V23" s="299"/>
    </row>
    <row r="24" spans="1:22" x14ac:dyDescent="0.15">
      <c r="A24" s="299"/>
      <c r="B24" s="551"/>
      <c r="C24" s="363">
        <v>19</v>
      </c>
      <c r="D24" s="364">
        <v>48732</v>
      </c>
      <c r="E24" s="408">
        <f t="shared" si="4"/>
        <v>5.13</v>
      </c>
      <c r="F24" s="366">
        <f t="shared" si="0"/>
        <v>249995.16</v>
      </c>
      <c r="G24" s="367">
        <f t="shared" si="7"/>
        <v>925908</v>
      </c>
      <c r="H24" s="366">
        <f t="shared" si="8"/>
        <v>4749908.040000001</v>
      </c>
      <c r="I24" s="368">
        <f>G24/'Cap Table'!$AE$70</f>
        <v>1.2304425249169436E-2</v>
      </c>
      <c r="J24" s="369"/>
      <c r="K24" s="364"/>
      <c r="L24" s="365"/>
      <c r="M24" s="370"/>
      <c r="N24" s="377"/>
      <c r="O24" s="372">
        <f t="shared" si="5"/>
        <v>992183.52</v>
      </c>
      <c r="P24" s="373">
        <f t="shared" si="6"/>
        <v>4816183.5600000015</v>
      </c>
      <c r="Q24" s="405">
        <f t="shared" si="9"/>
        <v>9.0262641466524574E-2</v>
      </c>
      <c r="R24" s="406">
        <f t="shared" si="1"/>
        <v>0.65921411804738128</v>
      </c>
      <c r="S24" s="406">
        <f t="shared" si="2"/>
        <v>0.21973803934912708</v>
      </c>
      <c r="T24" s="368">
        <f t="shared" si="3"/>
        <v>3.3839658059765569E-2</v>
      </c>
      <c r="U24" s="299"/>
      <c r="V24" s="299"/>
    </row>
    <row r="25" spans="1:22" x14ac:dyDescent="0.15">
      <c r="A25" s="299"/>
      <c r="B25" s="552"/>
      <c r="C25" s="378">
        <v>20</v>
      </c>
      <c r="D25" s="379">
        <v>48732</v>
      </c>
      <c r="E25" s="418">
        <f t="shared" si="4"/>
        <v>5.13</v>
      </c>
      <c r="F25" s="381">
        <f t="shared" si="0"/>
        <v>249995.16</v>
      </c>
      <c r="G25" s="382">
        <f t="shared" si="7"/>
        <v>974640</v>
      </c>
      <c r="H25" s="381">
        <f t="shared" si="8"/>
        <v>4999903.2000000011</v>
      </c>
      <c r="I25" s="383">
        <f>G25/'Cap Table'!$AE$70</f>
        <v>1.295202657807309E-2</v>
      </c>
      <c r="J25" s="384">
        <v>0.11</v>
      </c>
      <c r="K25" s="379">
        <f>J25*SUM(D22:D25)</f>
        <v>21442.080000000002</v>
      </c>
      <c r="L25" s="380">
        <v>1</v>
      </c>
      <c r="M25" s="385">
        <f>L25*K25</f>
        <v>21442.080000000002</v>
      </c>
      <c r="N25" s="420">
        <f>(M25+SUM(F22:F25))/(K25+SUM(D22:D25))</f>
        <v>4.7207207207207205</v>
      </c>
      <c r="O25" s="387">
        <f t="shared" si="5"/>
        <v>1062357.6000000001</v>
      </c>
      <c r="P25" s="388">
        <f t="shared" si="6"/>
        <v>5087620.8000000017</v>
      </c>
      <c r="Q25" s="425">
        <f t="shared" si="9"/>
        <v>9.6033561598117212E-2</v>
      </c>
      <c r="R25" s="426">
        <f t="shared" si="1"/>
        <v>0.65517303311988784</v>
      </c>
      <c r="S25" s="426">
        <f t="shared" si="2"/>
        <v>0.21839101103996264</v>
      </c>
      <c r="T25" s="383">
        <f t="shared" si="3"/>
        <v>3.3632215700154247E-2</v>
      </c>
      <c r="U25" s="299"/>
      <c r="V25" s="299"/>
    </row>
    <row r="26" spans="1:22" x14ac:dyDescent="0.15">
      <c r="A26" s="299"/>
      <c r="B26" s="427"/>
      <c r="C26" s="407">
        <v>21</v>
      </c>
      <c r="D26" s="364">
        <v>48732</v>
      </c>
      <c r="E26" s="408">
        <f t="shared" si="4"/>
        <v>5.13</v>
      </c>
      <c r="F26" s="415">
        <f t="shared" si="0"/>
        <v>249995.16</v>
      </c>
      <c r="G26" s="367"/>
      <c r="H26" s="409"/>
      <c r="I26" s="404"/>
      <c r="J26" s="553" t="s">
        <v>119</v>
      </c>
      <c r="K26" s="553"/>
      <c r="L26" s="553"/>
      <c r="M26" s="553"/>
      <c r="N26" s="554"/>
      <c r="O26" s="414">
        <f t="shared" si="5"/>
        <v>1111089.6000000001</v>
      </c>
      <c r="P26" s="415">
        <f t="shared" si="6"/>
        <v>5337615.9600000018</v>
      </c>
      <c r="Q26" s="405">
        <f t="shared" si="9"/>
        <v>9.9998257596626713E-2</v>
      </c>
      <c r="R26" s="406">
        <f t="shared" si="1"/>
        <v>0.65239575029060315</v>
      </c>
      <c r="S26" s="406">
        <f t="shared" si="2"/>
        <v>0.21746525009686773</v>
      </c>
      <c r="T26" s="368">
        <f t="shared" si="3"/>
        <v>3.3489648514917633E-2</v>
      </c>
      <c r="U26" s="299"/>
      <c r="V26" s="299"/>
    </row>
    <row r="27" spans="1:22" x14ac:dyDescent="0.15">
      <c r="A27" s="299"/>
      <c r="B27" s="427"/>
      <c r="C27" s="407">
        <v>22</v>
      </c>
      <c r="D27" s="364">
        <v>48732</v>
      </c>
      <c r="E27" s="408">
        <f t="shared" si="4"/>
        <v>5.13</v>
      </c>
      <c r="F27" s="415">
        <f t="shared" si="0"/>
        <v>249995.16</v>
      </c>
      <c r="G27" s="409"/>
      <c r="H27" s="409"/>
      <c r="I27" s="409"/>
      <c r="J27" s="428"/>
      <c r="K27" s="364"/>
      <c r="L27" s="365"/>
      <c r="M27" s="429"/>
      <c r="N27" s="430"/>
      <c r="O27" s="414">
        <f t="shared" si="5"/>
        <v>1159821.6000000001</v>
      </c>
      <c r="P27" s="415">
        <f t="shared" si="6"/>
        <v>5587611.120000002</v>
      </c>
      <c r="Q27" s="405">
        <f t="shared" si="9"/>
        <v>0.10392832802990329</v>
      </c>
      <c r="R27" s="406">
        <f t="shared" si="1"/>
        <v>0.64964191391229464</v>
      </c>
      <c r="S27" s="406">
        <f t="shared" si="2"/>
        <v>0.21654730463743158</v>
      </c>
      <c r="T27" s="368">
        <f t="shared" si="3"/>
        <v>3.3348284914164458E-2</v>
      </c>
      <c r="U27" s="299"/>
      <c r="V27" s="299"/>
    </row>
    <row r="28" spans="1:22" x14ac:dyDescent="0.15">
      <c r="A28" s="299"/>
      <c r="B28" s="427"/>
      <c r="C28" s="407">
        <v>23</v>
      </c>
      <c r="D28" s="364">
        <v>48732</v>
      </c>
      <c r="E28" s="408">
        <f t="shared" si="4"/>
        <v>5.13</v>
      </c>
      <c r="F28" s="415">
        <f t="shared" si="0"/>
        <v>249995.16</v>
      </c>
      <c r="G28" s="409"/>
      <c r="H28" s="409"/>
      <c r="I28" s="409"/>
      <c r="J28" s="428"/>
      <c r="K28" s="364"/>
      <c r="L28" s="365"/>
      <c r="M28" s="429"/>
      <c r="N28" s="430"/>
      <c r="O28" s="414">
        <f t="shared" si="5"/>
        <v>1208553.6000000001</v>
      </c>
      <c r="P28" s="415">
        <f t="shared" si="6"/>
        <v>5837606.2800000021</v>
      </c>
      <c r="Q28" s="405">
        <f t="shared" si="9"/>
        <v>0.10782422452795337</v>
      </c>
      <c r="R28" s="406">
        <f t="shared" si="1"/>
        <v>0.6469112283226085</v>
      </c>
      <c r="S28" s="406">
        <f t="shared" si="2"/>
        <v>0.21563707610753619</v>
      </c>
      <c r="T28" s="368">
        <f t="shared" si="3"/>
        <v>3.3208109720560569E-2</v>
      </c>
      <c r="U28" s="299"/>
      <c r="V28" s="299"/>
    </row>
    <row r="29" spans="1:22" x14ac:dyDescent="0.15">
      <c r="A29" s="299"/>
      <c r="B29" s="427"/>
      <c r="C29" s="407">
        <v>24</v>
      </c>
      <c r="D29" s="364">
        <v>48732</v>
      </c>
      <c r="E29" s="408">
        <f t="shared" si="4"/>
        <v>5.13</v>
      </c>
      <c r="F29" s="415">
        <f t="shared" si="0"/>
        <v>249995.16</v>
      </c>
      <c r="G29" s="409"/>
      <c r="H29" s="409"/>
      <c r="I29" s="409"/>
      <c r="J29" s="428"/>
      <c r="K29" s="364"/>
      <c r="L29" s="365"/>
      <c r="M29" s="429"/>
      <c r="N29" s="430"/>
      <c r="O29" s="414">
        <f t="shared" si="5"/>
        <v>1257285.6000000001</v>
      </c>
      <c r="P29" s="415">
        <f t="shared" si="6"/>
        <v>6087601.4400000023</v>
      </c>
      <c r="Q29" s="405">
        <f t="shared" si="9"/>
        <v>0.11168639090048493</v>
      </c>
      <c r="R29" s="406">
        <f t="shared" si="1"/>
        <v>0.64420340280949651</v>
      </c>
      <c r="S29" s="406">
        <f t="shared" si="2"/>
        <v>0.2147344676031655</v>
      </c>
      <c r="T29" s="368">
        <f t="shared" si="3"/>
        <v>3.3069108010887485E-2</v>
      </c>
      <c r="U29" s="299"/>
      <c r="V29" s="299"/>
    </row>
    <row r="30" spans="1:22" x14ac:dyDescent="0.15">
      <c r="A30" s="299"/>
      <c r="B30" s="427"/>
      <c r="C30" s="407">
        <v>25</v>
      </c>
      <c r="D30" s="364">
        <v>48732</v>
      </c>
      <c r="E30" s="408">
        <f t="shared" si="4"/>
        <v>5.13</v>
      </c>
      <c r="F30" s="415">
        <f t="shared" si="0"/>
        <v>249995.16</v>
      </c>
      <c r="G30" s="409"/>
      <c r="H30" s="409"/>
      <c r="I30" s="409"/>
      <c r="J30" s="428"/>
      <c r="K30" s="364"/>
      <c r="L30" s="365"/>
      <c r="M30" s="429"/>
      <c r="N30" s="430"/>
      <c r="O30" s="414">
        <f t="shared" si="5"/>
        <v>1306017.6000000001</v>
      </c>
      <c r="P30" s="415">
        <f t="shared" si="6"/>
        <v>6337596.6000000024</v>
      </c>
      <c r="Q30" s="405">
        <f t="shared" si="9"/>
        <v>0.11551526330544543</v>
      </c>
      <c r="R30" s="406">
        <f t="shared" si="1"/>
        <v>0.64151815150804326</v>
      </c>
      <c r="S30" s="406">
        <f t="shared" si="2"/>
        <v>0.21383938383601442</v>
      </c>
      <c r="T30" s="368">
        <f t="shared" si="3"/>
        <v>3.2931265110746219E-2</v>
      </c>
      <c r="U30" s="299"/>
      <c r="V30" s="299"/>
    </row>
    <row r="31" spans="1:22" x14ac:dyDescent="0.15">
      <c r="A31" s="299"/>
      <c r="B31" s="427"/>
      <c r="C31" s="407">
        <v>26</v>
      </c>
      <c r="D31" s="364">
        <v>48732</v>
      </c>
      <c r="E31" s="408">
        <f t="shared" si="4"/>
        <v>5.13</v>
      </c>
      <c r="F31" s="415">
        <f t="shared" si="0"/>
        <v>249995.16</v>
      </c>
      <c r="G31" s="409"/>
      <c r="H31" s="409"/>
      <c r="I31" s="409"/>
      <c r="J31" s="428"/>
      <c r="K31" s="364"/>
      <c r="L31" s="365"/>
      <c r="M31" s="429"/>
      <c r="N31" s="430"/>
      <c r="O31" s="414">
        <f t="shared" si="5"/>
        <v>1354749.6</v>
      </c>
      <c r="P31" s="415">
        <f t="shared" si="6"/>
        <v>6587591.7600000026</v>
      </c>
      <c r="Q31" s="405">
        <f t="shared" si="9"/>
        <v>0.11931127041321987</v>
      </c>
      <c r="R31" s="406">
        <f t="shared" si="1"/>
        <v>0.63885519329986395</v>
      </c>
      <c r="S31" s="406">
        <f t="shared" si="2"/>
        <v>0.21295173109995463</v>
      </c>
      <c r="T31" s="368">
        <f t="shared" si="3"/>
        <v>3.2794566589393018E-2</v>
      </c>
      <c r="U31" s="299"/>
      <c r="V31" s="299"/>
    </row>
    <row r="32" spans="1:22" x14ac:dyDescent="0.15">
      <c r="A32" s="299"/>
      <c r="B32" s="427"/>
      <c r="C32" s="407">
        <v>27</v>
      </c>
      <c r="D32" s="364">
        <v>48732</v>
      </c>
      <c r="E32" s="408">
        <f t="shared" si="4"/>
        <v>5.13</v>
      </c>
      <c r="F32" s="415">
        <f t="shared" si="0"/>
        <v>249995.16</v>
      </c>
      <c r="G32" s="409"/>
      <c r="H32" s="409"/>
      <c r="I32" s="409"/>
      <c r="J32" s="428"/>
      <c r="K32" s="364"/>
      <c r="L32" s="365"/>
      <c r="M32" s="429"/>
      <c r="N32" s="430"/>
      <c r="O32" s="414">
        <f t="shared" si="5"/>
        <v>1403481.6</v>
      </c>
      <c r="P32" s="415">
        <f t="shared" si="6"/>
        <v>6837586.9200000027</v>
      </c>
      <c r="Q32" s="405">
        <f t="shared" si="9"/>
        <v>0.12307483356661883</v>
      </c>
      <c r="R32" s="406">
        <f t="shared" si="1"/>
        <v>0.63621425171499613</v>
      </c>
      <c r="S32" s="406">
        <f t="shared" si="2"/>
        <v>0.21207141723833203</v>
      </c>
      <c r="T32" s="368">
        <f t="shared" si="3"/>
        <v>3.2658998254703135E-2</v>
      </c>
      <c r="U32" s="299"/>
      <c r="V32" s="299"/>
    </row>
    <row r="33" spans="1:22" x14ac:dyDescent="0.15">
      <c r="A33" s="299"/>
      <c r="B33" s="427"/>
      <c r="C33" s="407">
        <v>28</v>
      </c>
      <c r="D33" s="364">
        <v>48732</v>
      </c>
      <c r="E33" s="408">
        <f t="shared" si="4"/>
        <v>5.13</v>
      </c>
      <c r="F33" s="415">
        <f t="shared" si="0"/>
        <v>249995.16</v>
      </c>
      <c r="G33" s="409"/>
      <c r="H33" s="409"/>
      <c r="I33" s="409"/>
      <c r="J33" s="428"/>
      <c r="K33" s="364"/>
      <c r="L33" s="365"/>
      <c r="M33" s="429"/>
      <c r="N33" s="430"/>
      <c r="O33" s="414">
        <f t="shared" si="5"/>
        <v>1452213.6</v>
      </c>
      <c r="P33" s="415">
        <f t="shared" si="6"/>
        <v>7087582.0800000029</v>
      </c>
      <c r="Q33" s="405">
        <f t="shared" si="9"/>
        <v>0.12680636693678157</v>
      </c>
      <c r="R33" s="406">
        <f t="shared" si="1"/>
        <v>0.63359505483621592</v>
      </c>
      <c r="S33" s="406">
        <f t="shared" si="2"/>
        <v>0.21119835161207196</v>
      </c>
      <c r="T33" s="368">
        <f t="shared" si="3"/>
        <v>3.252454614825908E-2</v>
      </c>
      <c r="U33" s="299"/>
      <c r="V33" s="299"/>
    </row>
    <row r="34" spans="1:22" x14ac:dyDescent="0.15">
      <c r="A34" s="299"/>
      <c r="B34" s="427"/>
      <c r="C34" s="407">
        <v>29</v>
      </c>
      <c r="D34" s="364">
        <v>48732</v>
      </c>
      <c r="E34" s="408">
        <f t="shared" si="4"/>
        <v>5.13</v>
      </c>
      <c r="F34" s="415">
        <f t="shared" si="0"/>
        <v>249995.16</v>
      </c>
      <c r="G34" s="409"/>
      <c r="H34" s="409"/>
      <c r="I34" s="409"/>
      <c r="J34" s="428"/>
      <c r="K34" s="364"/>
      <c r="L34" s="365"/>
      <c r="M34" s="429"/>
      <c r="N34" s="430"/>
      <c r="O34" s="414">
        <f t="shared" si="5"/>
        <v>1500945.6</v>
      </c>
      <c r="P34" s="415">
        <f t="shared" si="6"/>
        <v>7337577.240000003</v>
      </c>
      <c r="Q34" s="405">
        <f t="shared" si="9"/>
        <v>0.13050627767511569</v>
      </c>
      <c r="R34" s="406">
        <f t="shared" si="1"/>
        <v>0.63099733520570722</v>
      </c>
      <c r="S34" s="406">
        <f t="shared" si="2"/>
        <v>0.21033244506856905</v>
      </c>
      <c r="T34" s="368">
        <f t="shared" si="3"/>
        <v>3.2391196540559636E-2</v>
      </c>
      <c r="U34" s="299"/>
      <c r="V34" s="299"/>
    </row>
    <row r="35" spans="1:22" x14ac:dyDescent="0.15">
      <c r="A35" s="299"/>
      <c r="B35" s="427"/>
      <c r="C35" s="407">
        <v>30</v>
      </c>
      <c r="D35" s="364">
        <v>48732</v>
      </c>
      <c r="E35" s="408">
        <f t="shared" si="4"/>
        <v>5.13</v>
      </c>
      <c r="F35" s="415">
        <f t="shared" si="0"/>
        <v>249995.16</v>
      </c>
      <c r="G35" s="409"/>
      <c r="H35" s="409"/>
      <c r="I35" s="409"/>
      <c r="J35" s="428"/>
      <c r="K35" s="364"/>
      <c r="L35" s="365"/>
      <c r="M35" s="429"/>
      <c r="N35" s="430"/>
      <c r="O35" s="414">
        <f t="shared" si="5"/>
        <v>1549677.6</v>
      </c>
      <c r="P35" s="415">
        <f t="shared" si="6"/>
        <v>7587572.4000000032</v>
      </c>
      <c r="Q35" s="405">
        <f t="shared" si="9"/>
        <v>0.13417496606139034</v>
      </c>
      <c r="R35" s="406">
        <f t="shared" si="1"/>
        <v>0.62842082973401814</v>
      </c>
      <c r="S35" s="406">
        <f t="shared" si="2"/>
        <v>0.20947360991133937</v>
      </c>
      <c r="T35" s="368">
        <f t="shared" si="3"/>
        <v>3.2258935926346266E-2</v>
      </c>
      <c r="U35" s="299"/>
      <c r="V35" s="299"/>
    </row>
    <row r="36" spans="1:22" x14ac:dyDescent="0.15">
      <c r="A36" s="299"/>
      <c r="B36" s="427"/>
      <c r="C36" s="407">
        <v>31</v>
      </c>
      <c r="D36" s="364">
        <v>48732</v>
      </c>
      <c r="E36" s="408">
        <f t="shared" si="4"/>
        <v>5.13</v>
      </c>
      <c r="F36" s="415">
        <f t="shared" si="0"/>
        <v>249995.16</v>
      </c>
      <c r="G36" s="409"/>
      <c r="H36" s="409"/>
      <c r="I36" s="409"/>
      <c r="J36" s="428"/>
      <c r="K36" s="364"/>
      <c r="L36" s="365"/>
      <c r="M36" s="429"/>
      <c r="N36" s="430"/>
      <c r="O36" s="414">
        <f t="shared" si="5"/>
        <v>1598409.6</v>
      </c>
      <c r="P36" s="415">
        <f t="shared" si="6"/>
        <v>7837567.5600000033</v>
      </c>
      <c r="Q36" s="405">
        <f t="shared" si="9"/>
        <v>0.13781282564809577</v>
      </c>
      <c r="R36" s="406">
        <f t="shared" si="1"/>
        <v>0.6258652796112385</v>
      </c>
      <c r="S36" s="406">
        <f t="shared" si="2"/>
        <v>0.20862175987041284</v>
      </c>
      <c r="T36" s="368">
        <f t="shared" si="3"/>
        <v>3.2127751020043581E-2</v>
      </c>
      <c r="U36" s="299"/>
      <c r="V36" s="299"/>
    </row>
    <row r="37" spans="1:22" x14ac:dyDescent="0.15">
      <c r="A37" s="299"/>
      <c r="B37" s="427"/>
      <c r="C37" s="407">
        <v>32</v>
      </c>
      <c r="D37" s="364">
        <v>48732</v>
      </c>
      <c r="E37" s="408">
        <f t="shared" si="4"/>
        <v>5.13</v>
      </c>
      <c r="F37" s="415">
        <f t="shared" si="0"/>
        <v>249995.16</v>
      </c>
      <c r="G37" s="409"/>
      <c r="H37" s="409"/>
      <c r="I37" s="409"/>
      <c r="J37" s="428"/>
      <c r="K37" s="364"/>
      <c r="L37" s="365"/>
      <c r="M37" s="429"/>
      <c r="N37" s="430"/>
      <c r="O37" s="414">
        <f t="shared" si="5"/>
        <v>1647141.6</v>
      </c>
      <c r="P37" s="415">
        <f t="shared" si="6"/>
        <v>8087562.7200000035</v>
      </c>
      <c r="Q37" s="405">
        <f t="shared" si="9"/>
        <v>0.14142024340117923</v>
      </c>
      <c r="R37" s="406">
        <f t="shared" si="1"/>
        <v>0.62333043022033585</v>
      </c>
      <c r="S37" s="406">
        <f t="shared" si="2"/>
        <v>0.20777681007344528</v>
      </c>
      <c r="T37" s="368">
        <f t="shared" si="3"/>
        <v>3.1997628751310576E-2</v>
      </c>
      <c r="U37" s="299"/>
      <c r="V37" s="299"/>
    </row>
    <row r="38" spans="1:22" x14ac:dyDescent="0.15">
      <c r="A38" s="299"/>
      <c r="B38" s="427"/>
      <c r="C38" s="407">
        <v>33</v>
      </c>
      <c r="D38" s="364">
        <v>48732</v>
      </c>
      <c r="E38" s="408">
        <f t="shared" si="4"/>
        <v>5.13</v>
      </c>
      <c r="F38" s="415">
        <f t="shared" si="0"/>
        <v>249995.16</v>
      </c>
      <c r="G38" s="409"/>
      <c r="H38" s="409"/>
      <c r="I38" s="409"/>
      <c r="J38" s="428"/>
      <c r="K38" s="364"/>
      <c r="L38" s="365"/>
      <c r="M38" s="429"/>
      <c r="N38" s="430"/>
      <c r="O38" s="414">
        <f t="shared" si="5"/>
        <v>1695873.6</v>
      </c>
      <c r="P38" s="415">
        <f t="shared" si="6"/>
        <v>8337557.8800000036</v>
      </c>
      <c r="Q38" s="405">
        <f t="shared" si="9"/>
        <v>0.14499759983726226</v>
      </c>
      <c r="R38" s="406">
        <f t="shared" si="1"/>
        <v>0.62081603105258876</v>
      </c>
      <c r="S38" s="406">
        <f t="shared" si="2"/>
        <v>0.2069386770175296</v>
      </c>
      <c r="T38" s="368">
        <f t="shared" si="3"/>
        <v>3.1868556260699558E-2</v>
      </c>
      <c r="U38" s="299"/>
      <c r="V38" s="299"/>
    </row>
    <row r="39" spans="1:22" x14ac:dyDescent="0.15">
      <c r="A39" s="299"/>
      <c r="B39" s="427"/>
      <c r="C39" s="407">
        <v>34</v>
      </c>
      <c r="D39" s="364">
        <v>48732</v>
      </c>
      <c r="E39" s="408">
        <f t="shared" si="4"/>
        <v>5.13</v>
      </c>
      <c r="F39" s="415">
        <f t="shared" si="0"/>
        <v>249995.16</v>
      </c>
      <c r="G39" s="409"/>
      <c r="H39" s="409"/>
      <c r="I39" s="409"/>
      <c r="J39" s="428"/>
      <c r="K39" s="364"/>
      <c r="L39" s="365"/>
      <c r="M39" s="429"/>
      <c r="N39" s="430"/>
      <c r="O39" s="414">
        <f t="shared" si="5"/>
        <v>1744605.6</v>
      </c>
      <c r="P39" s="415">
        <f t="shared" si="6"/>
        <v>8587553.0400000028</v>
      </c>
      <c r="Q39" s="405">
        <f t="shared" si="9"/>
        <v>0.14854526915744196</v>
      </c>
      <c r="R39" s="406">
        <f t="shared" si="1"/>
        <v>0.61832183562505938</v>
      </c>
      <c r="S39" s="406">
        <f t="shared" si="2"/>
        <v>0.20610727854168648</v>
      </c>
      <c r="T39" s="368">
        <f t="shared" si="3"/>
        <v>3.1740520895419719E-2</v>
      </c>
      <c r="U39" s="299"/>
      <c r="V39" s="299"/>
    </row>
    <row r="40" spans="1:22" x14ac:dyDescent="0.15">
      <c r="A40" s="299"/>
      <c r="B40" s="427"/>
      <c r="C40" s="407">
        <v>35</v>
      </c>
      <c r="D40" s="364">
        <v>48732</v>
      </c>
      <c r="E40" s="408">
        <f t="shared" si="4"/>
        <v>5.13</v>
      </c>
      <c r="F40" s="415">
        <f t="shared" si="0"/>
        <v>249995.16</v>
      </c>
      <c r="G40" s="409"/>
      <c r="H40" s="409"/>
      <c r="I40" s="409"/>
      <c r="J40" s="428"/>
      <c r="K40" s="364"/>
      <c r="L40" s="365"/>
      <c r="M40" s="429"/>
      <c r="N40" s="430"/>
      <c r="O40" s="414">
        <f t="shared" si="5"/>
        <v>1793337.6</v>
      </c>
      <c r="P40" s="415">
        <f t="shared" si="6"/>
        <v>8837548.200000003</v>
      </c>
      <c r="Q40" s="405">
        <f t="shared" si="9"/>
        <v>0.15206361937777479</v>
      </c>
      <c r="R40" s="406">
        <f t="shared" si="1"/>
        <v>0.61584760140004657</v>
      </c>
      <c r="S40" s="406">
        <f t="shared" si="2"/>
        <v>0.20528253380001554</v>
      </c>
      <c r="T40" s="368">
        <f t="shared" si="3"/>
        <v>3.1613510205202394E-2</v>
      </c>
      <c r="U40" s="299"/>
      <c r="V40" s="299"/>
    </row>
    <row r="41" spans="1:22" x14ac:dyDescent="0.15">
      <c r="A41" s="299"/>
      <c r="B41" s="427"/>
      <c r="C41" s="407">
        <v>36</v>
      </c>
      <c r="D41" s="364">
        <v>48732</v>
      </c>
      <c r="E41" s="408">
        <f t="shared" si="4"/>
        <v>5.13</v>
      </c>
      <c r="F41" s="415">
        <f t="shared" si="0"/>
        <v>249995.16</v>
      </c>
      <c r="G41" s="409"/>
      <c r="H41" s="409"/>
      <c r="I41" s="409"/>
      <c r="J41" s="428"/>
      <c r="K41" s="364"/>
      <c r="L41" s="365"/>
      <c r="M41" s="429"/>
      <c r="N41" s="430"/>
      <c r="O41" s="414">
        <f t="shared" si="5"/>
        <v>1842069.6</v>
      </c>
      <c r="P41" s="415">
        <f t="shared" si="6"/>
        <v>9087543.3600000031</v>
      </c>
      <c r="Q41" s="405">
        <f t="shared" si="9"/>
        <v>0.15555301245653885</v>
      </c>
      <c r="R41" s="406">
        <f t="shared" si="1"/>
        <v>0.61339308970646578</v>
      </c>
      <c r="S41" s="406">
        <f t="shared" si="2"/>
        <v>0.20446436323548858</v>
      </c>
      <c r="T41" s="368">
        <f t="shared" si="3"/>
        <v>3.1487511938265239E-2</v>
      </c>
      <c r="U41" s="299"/>
      <c r="V41" s="299"/>
    </row>
    <row r="42" spans="1:22" x14ac:dyDescent="0.15">
      <c r="A42" s="299"/>
      <c r="B42" s="427"/>
      <c r="C42" s="407">
        <v>37</v>
      </c>
      <c r="D42" s="364">
        <v>48732</v>
      </c>
      <c r="E42" s="408">
        <f t="shared" si="4"/>
        <v>5.13</v>
      </c>
      <c r="F42" s="415">
        <f t="shared" si="0"/>
        <v>249995.16</v>
      </c>
      <c r="G42" s="409"/>
      <c r="H42" s="409"/>
      <c r="I42" s="409"/>
      <c r="J42" s="428"/>
      <c r="K42" s="364"/>
      <c r="L42" s="365"/>
      <c r="M42" s="429"/>
      <c r="N42" s="430"/>
      <c r="O42" s="414">
        <f t="shared" si="5"/>
        <v>1890801.6</v>
      </c>
      <c r="P42" s="415">
        <f t="shared" si="6"/>
        <v>9337538.5200000033</v>
      </c>
      <c r="Q42" s="405">
        <f t="shared" si="9"/>
        <v>0.15901380441836657</v>
      </c>
      <c r="R42" s="406">
        <f t="shared" si="1"/>
        <v>0.61095806566310096</v>
      </c>
      <c r="S42" s="406">
        <f t="shared" si="2"/>
        <v>0.203652688554367</v>
      </c>
      <c r="T42" s="368">
        <f t="shared" si="3"/>
        <v>3.1362514037372516E-2</v>
      </c>
      <c r="U42" s="299"/>
      <c r="V42" s="299"/>
    </row>
    <row r="43" spans="1:22" x14ac:dyDescent="0.15">
      <c r="A43" s="299"/>
      <c r="B43" s="427"/>
      <c r="C43" s="407">
        <v>38</v>
      </c>
      <c r="D43" s="364">
        <v>48732</v>
      </c>
      <c r="E43" s="408">
        <f t="shared" si="4"/>
        <v>5.13</v>
      </c>
      <c r="F43" s="415">
        <f t="shared" si="0"/>
        <v>249995.16</v>
      </c>
      <c r="G43" s="409"/>
      <c r="H43" s="409"/>
      <c r="I43" s="409"/>
      <c r="J43" s="428"/>
      <c r="K43" s="364"/>
      <c r="L43" s="365"/>
      <c r="M43" s="429"/>
      <c r="N43" s="430"/>
      <c r="O43" s="414">
        <f t="shared" si="5"/>
        <v>1939533.6</v>
      </c>
      <c r="P43" s="415">
        <f t="shared" si="6"/>
        <v>9587533.6800000034</v>
      </c>
      <c r="Q43" s="405">
        <f t="shared" si="9"/>
        <v>0.16244634547533751</v>
      </c>
      <c r="R43" s="406">
        <f t="shared" si="1"/>
        <v>0.60854229810367833</v>
      </c>
      <c r="S43" s="406">
        <f t="shared" si="2"/>
        <v>0.20284743270122613</v>
      </c>
      <c r="T43" s="368">
        <f t="shared" si="3"/>
        <v>3.1238504635988821E-2</v>
      </c>
      <c r="U43" s="299"/>
      <c r="V43" s="299"/>
    </row>
    <row r="44" spans="1:22" x14ac:dyDescent="0.15">
      <c r="A44" s="299"/>
      <c r="B44" s="427"/>
      <c r="C44" s="407">
        <v>39</v>
      </c>
      <c r="D44" s="364">
        <v>48732</v>
      </c>
      <c r="E44" s="408">
        <f t="shared" si="4"/>
        <v>5.13</v>
      </c>
      <c r="F44" s="415">
        <f t="shared" si="0"/>
        <v>249995.16</v>
      </c>
      <c r="G44" s="409"/>
      <c r="H44" s="409"/>
      <c r="I44" s="409"/>
      <c r="J44" s="428"/>
      <c r="K44" s="364"/>
      <c r="L44" s="365"/>
      <c r="M44" s="429"/>
      <c r="N44" s="430"/>
      <c r="O44" s="414">
        <f t="shared" si="5"/>
        <v>1988265.6</v>
      </c>
      <c r="P44" s="415">
        <f t="shared" si="6"/>
        <v>9837528.8400000036</v>
      </c>
      <c r="Q44" s="405">
        <f t="shared" si="9"/>
        <v>0.16585098014511793</v>
      </c>
      <c r="R44" s="406">
        <f t="shared" si="1"/>
        <v>0.60614555950370941</v>
      </c>
      <c r="S44" s="406">
        <f t="shared" si="2"/>
        <v>0.20204851983456978</v>
      </c>
      <c r="T44" s="368">
        <f t="shared" si="3"/>
        <v>3.1115472054523748E-2</v>
      </c>
      <c r="U44" s="299"/>
      <c r="V44" s="299"/>
    </row>
    <row r="45" spans="1:22" ht="14" thickBot="1" x14ac:dyDescent="0.2">
      <c r="A45" s="299"/>
      <c r="B45" s="427"/>
      <c r="C45" s="407">
        <v>40</v>
      </c>
      <c r="D45" s="364">
        <v>48732</v>
      </c>
      <c r="E45" s="431">
        <f t="shared" si="4"/>
        <v>5.13</v>
      </c>
      <c r="F45" s="415">
        <f t="shared" si="0"/>
        <v>249995.16</v>
      </c>
      <c r="G45" s="409"/>
      <c r="H45" s="409"/>
      <c r="I45" s="409"/>
      <c r="J45" s="428"/>
      <c r="K45" s="364"/>
      <c r="L45" s="365"/>
      <c r="M45" s="429"/>
      <c r="N45" s="430"/>
      <c r="O45" s="414">
        <f t="shared" si="5"/>
        <v>2036997.6</v>
      </c>
      <c r="P45" s="415">
        <f t="shared" si="6"/>
        <v>10087524.000000004</v>
      </c>
      <c r="Q45" s="405">
        <f t="shared" si="9"/>
        <v>0.16922804736623029</v>
      </c>
      <c r="R45" s="406">
        <f t="shared" si="1"/>
        <v>0.60376762590905675</v>
      </c>
      <c r="S45" s="406">
        <f t="shared" si="2"/>
        <v>0.20125587530301889</v>
      </c>
      <c r="T45" s="368">
        <f t="shared" si="3"/>
        <v>3.099340479666491E-2</v>
      </c>
      <c r="U45" s="299"/>
      <c r="V45" s="299"/>
    </row>
    <row r="46" spans="1:22" ht="14" thickTop="1" x14ac:dyDescent="0.15">
      <c r="A46" s="299"/>
      <c r="B46" s="432"/>
      <c r="C46" s="433"/>
      <c r="D46" s="434">
        <f>SUM(D6:D45)</f>
        <v>1949280</v>
      </c>
      <c r="E46" s="433"/>
      <c r="F46" s="435">
        <f>SUM(F6:F45)</f>
        <v>9999806.4000000041</v>
      </c>
      <c r="G46" s="436"/>
      <c r="H46" s="436"/>
      <c r="I46" s="436"/>
      <c r="J46" s="437"/>
      <c r="K46" s="438">
        <f>SUM(K6:K45)</f>
        <v>87717.6</v>
      </c>
      <c r="L46" s="439"/>
      <c r="M46" s="440">
        <f>SUM(M6:M45)</f>
        <v>87717.6</v>
      </c>
      <c r="N46" s="441"/>
      <c r="O46" s="442">
        <f>O45</f>
        <v>2036997.6</v>
      </c>
      <c r="P46" s="435">
        <f>P45</f>
        <v>10087524.000000004</v>
      </c>
      <c r="Q46" s="443"/>
      <c r="R46" s="444"/>
      <c r="S46" s="444"/>
      <c r="T46" s="443"/>
      <c r="U46" s="299"/>
      <c r="V46" s="299"/>
    </row>
    <row r="47" spans="1:22" x14ac:dyDescent="0.15">
      <c r="A47" s="299"/>
      <c r="B47" s="299"/>
      <c r="C47" s="299"/>
      <c r="D47" s="299"/>
      <c r="E47" s="299"/>
      <c r="F47" s="299"/>
      <c r="G47" s="299"/>
      <c r="H47" s="299"/>
      <c r="I47" s="299"/>
      <c r="J47" s="299"/>
      <c r="K47" s="299"/>
      <c r="L47" s="299"/>
      <c r="M47" s="299"/>
      <c r="N47" s="299"/>
      <c r="O47" s="299"/>
      <c r="P47" s="299"/>
      <c r="Q47" s="299"/>
      <c r="R47" s="299"/>
      <c r="S47" s="299"/>
      <c r="T47" s="299"/>
      <c r="U47" s="299"/>
      <c r="V47" s="299"/>
    </row>
    <row r="48" spans="1:22" x14ac:dyDescent="0.15">
      <c r="A48" s="299"/>
      <c r="B48" s="299"/>
      <c r="C48" s="299"/>
      <c r="D48" s="299"/>
      <c r="E48" s="299"/>
      <c r="F48" s="299"/>
      <c r="G48" s="299"/>
      <c r="H48" s="299"/>
      <c r="I48" s="299"/>
      <c r="J48" s="299"/>
      <c r="K48" s="299"/>
      <c r="L48" s="299"/>
      <c r="M48" s="299"/>
      <c r="N48" s="299"/>
      <c r="O48" s="299"/>
      <c r="P48" s="299"/>
      <c r="Q48" s="299"/>
      <c r="R48" s="299"/>
      <c r="S48" s="299"/>
      <c r="T48" s="299"/>
      <c r="U48" s="299"/>
      <c r="V48" s="299"/>
    </row>
    <row r="49" spans="1:22" x14ac:dyDescent="0.15">
      <c r="A49" s="299"/>
      <c r="B49" s="299"/>
      <c r="C49" s="299"/>
      <c r="D49" s="299"/>
      <c r="E49" s="299"/>
      <c r="F49" s="299"/>
      <c r="G49" s="299"/>
      <c r="H49" s="299"/>
      <c r="I49" s="299"/>
      <c r="J49" s="299"/>
      <c r="K49" s="299"/>
      <c r="L49" s="299"/>
      <c r="M49" s="299"/>
      <c r="N49" s="299"/>
      <c r="O49" s="299"/>
      <c r="P49" s="299"/>
      <c r="Q49" s="299"/>
      <c r="R49" s="299"/>
      <c r="S49" s="299"/>
      <c r="T49" s="299"/>
      <c r="U49" s="299"/>
      <c r="V49" s="299"/>
    </row>
    <row r="50" spans="1:22" x14ac:dyDescent="0.15">
      <c r="A50" s="299"/>
      <c r="B50" s="299"/>
      <c r="C50" s="299"/>
      <c r="D50" s="299"/>
      <c r="E50" s="299"/>
      <c r="F50" s="299"/>
      <c r="G50" s="299"/>
      <c r="H50" s="299"/>
      <c r="I50" s="299"/>
      <c r="J50" s="299"/>
      <c r="K50" s="299"/>
      <c r="L50" s="299"/>
      <c r="M50" s="299"/>
      <c r="N50" s="299"/>
      <c r="O50" s="299"/>
      <c r="P50" s="299"/>
      <c r="Q50" s="299"/>
      <c r="R50" s="299"/>
      <c r="S50" s="299"/>
      <c r="T50" s="299"/>
      <c r="U50" s="299"/>
      <c r="V50" s="299"/>
    </row>
    <row r="51" spans="1:22" x14ac:dyDescent="0.15">
      <c r="A51" s="299"/>
      <c r="B51" s="299"/>
      <c r="C51" s="299"/>
      <c r="D51" s="299"/>
      <c r="E51" s="299"/>
      <c r="F51" s="299"/>
      <c r="G51" s="299"/>
      <c r="H51" s="299"/>
      <c r="I51" s="299"/>
      <c r="J51" s="299"/>
      <c r="K51" s="299"/>
      <c r="L51" s="299"/>
      <c r="M51" s="299"/>
      <c r="N51" s="299"/>
      <c r="O51" s="299"/>
      <c r="P51" s="299"/>
      <c r="Q51" s="299"/>
      <c r="R51" s="299"/>
      <c r="S51" s="299"/>
      <c r="T51" s="299"/>
      <c r="U51" s="299"/>
      <c r="V51" s="299"/>
    </row>
    <row r="52" spans="1:22" x14ac:dyDescent="0.15">
      <c r="A52" s="299"/>
      <c r="B52" s="299"/>
      <c r="C52" s="299"/>
      <c r="D52" s="299"/>
      <c r="E52" s="299"/>
      <c r="F52" s="299"/>
      <c r="G52" s="299"/>
      <c r="H52" s="299"/>
      <c r="I52" s="299"/>
      <c r="J52" s="299"/>
      <c r="K52" s="299"/>
      <c r="L52" s="299"/>
      <c r="M52" s="299"/>
      <c r="N52" s="299"/>
      <c r="O52" s="299"/>
      <c r="P52" s="299"/>
      <c r="Q52" s="299"/>
      <c r="R52" s="299"/>
      <c r="S52" s="299"/>
      <c r="T52" s="299"/>
      <c r="U52" s="299"/>
      <c r="V52" s="299"/>
    </row>
    <row r="53" spans="1:22" x14ac:dyDescent="0.15">
      <c r="A53" s="299"/>
      <c r="B53" s="299"/>
      <c r="C53" s="299"/>
      <c r="D53" s="299"/>
      <c r="E53" s="299"/>
      <c r="F53" s="299"/>
      <c r="G53" s="299"/>
      <c r="H53" s="299"/>
      <c r="I53" s="299"/>
      <c r="J53" s="299"/>
      <c r="K53" s="299"/>
      <c r="L53" s="299"/>
      <c r="M53" s="299"/>
      <c r="N53" s="299"/>
      <c r="O53" s="299"/>
      <c r="P53" s="299"/>
      <c r="Q53" s="299"/>
      <c r="R53" s="299"/>
      <c r="S53" s="299"/>
      <c r="T53" s="299"/>
      <c r="U53" s="299"/>
      <c r="V53" s="299"/>
    </row>
    <row r="54" spans="1:22" x14ac:dyDescent="0.15">
      <c r="A54" s="299"/>
      <c r="B54" s="299"/>
      <c r="C54" s="299"/>
      <c r="D54" s="299"/>
      <c r="E54" s="299"/>
      <c r="F54" s="299"/>
      <c r="G54" s="299"/>
      <c r="H54" s="299"/>
      <c r="I54" s="299"/>
      <c r="J54" s="299"/>
      <c r="K54" s="299"/>
      <c r="L54" s="299"/>
      <c r="M54" s="299"/>
      <c r="N54" s="299"/>
      <c r="O54" s="299"/>
      <c r="P54" s="299"/>
      <c r="Q54" s="299"/>
      <c r="R54" s="299"/>
      <c r="S54" s="299"/>
      <c r="T54" s="299"/>
      <c r="U54" s="299"/>
      <c r="V54" s="299"/>
    </row>
    <row r="55" spans="1:22" x14ac:dyDescent="0.15">
      <c r="A55" s="299"/>
      <c r="B55" s="299"/>
      <c r="C55" s="299"/>
      <c r="D55" s="299"/>
      <c r="E55" s="299"/>
      <c r="F55" s="299"/>
      <c r="G55" s="299"/>
      <c r="H55" s="299"/>
      <c r="I55" s="299"/>
      <c r="J55" s="299"/>
      <c r="K55" s="299"/>
      <c r="L55" s="299"/>
      <c r="M55" s="299"/>
      <c r="N55" s="299"/>
      <c r="O55" s="299"/>
      <c r="P55" s="299"/>
      <c r="Q55" s="299"/>
      <c r="R55" s="299"/>
      <c r="S55" s="299"/>
      <c r="T55" s="299"/>
      <c r="U55" s="299"/>
      <c r="V55" s="299"/>
    </row>
    <row r="56" spans="1:22" x14ac:dyDescent="0.15">
      <c r="A56" s="299"/>
      <c r="B56" s="299"/>
      <c r="C56" s="299"/>
      <c r="D56" s="299"/>
      <c r="E56" s="299"/>
      <c r="F56" s="299"/>
      <c r="G56" s="299"/>
      <c r="H56" s="299"/>
      <c r="I56" s="299"/>
      <c r="J56" s="299"/>
      <c r="K56" s="299"/>
      <c r="L56" s="299"/>
      <c r="M56" s="299"/>
      <c r="N56" s="299"/>
      <c r="O56" s="299"/>
      <c r="P56" s="299"/>
      <c r="Q56" s="299"/>
      <c r="R56" s="299"/>
      <c r="S56" s="299"/>
      <c r="T56" s="299"/>
      <c r="U56" s="299"/>
      <c r="V56" s="299"/>
    </row>
    <row r="57" spans="1:22" x14ac:dyDescent="0.15">
      <c r="A57" s="299"/>
      <c r="B57" s="299"/>
      <c r="C57" s="299"/>
      <c r="D57" s="299"/>
      <c r="E57" s="299"/>
      <c r="F57" s="299"/>
      <c r="G57" s="299"/>
      <c r="H57" s="299"/>
      <c r="I57" s="299"/>
      <c r="J57" s="299"/>
      <c r="K57" s="299"/>
      <c r="L57" s="299"/>
      <c r="M57" s="299"/>
      <c r="N57" s="299"/>
      <c r="O57" s="299"/>
      <c r="P57" s="299"/>
      <c r="Q57" s="299"/>
      <c r="R57" s="299"/>
      <c r="S57" s="299"/>
      <c r="T57" s="299"/>
      <c r="U57" s="299"/>
      <c r="V57" s="299"/>
    </row>
    <row r="58" spans="1:22" x14ac:dyDescent="0.15">
      <c r="A58" s="299"/>
      <c r="B58" s="299"/>
      <c r="C58" s="299"/>
      <c r="D58" s="299"/>
      <c r="E58" s="299"/>
      <c r="F58" s="299"/>
      <c r="G58" s="299"/>
      <c r="H58" s="299"/>
      <c r="I58" s="299"/>
      <c r="J58" s="299"/>
      <c r="K58" s="299"/>
      <c r="L58" s="299"/>
      <c r="M58" s="299"/>
      <c r="N58" s="299"/>
      <c r="O58" s="299"/>
      <c r="P58" s="299"/>
      <c r="Q58" s="299"/>
      <c r="R58" s="299"/>
      <c r="S58" s="299"/>
      <c r="T58" s="299"/>
      <c r="U58" s="299"/>
      <c r="V58" s="299"/>
    </row>
  </sheetData>
  <mergeCells count="9">
    <mergeCell ref="J2:N2"/>
    <mergeCell ref="B14:B17"/>
    <mergeCell ref="B18:B21"/>
    <mergeCell ref="B22:B25"/>
    <mergeCell ref="J26:N26"/>
    <mergeCell ref="J4:M4"/>
    <mergeCell ref="N4:N5"/>
    <mergeCell ref="B6:B9"/>
    <mergeCell ref="B10:B13"/>
  </mergeCells>
  <phoneticPr fontId="2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AF68"/>
  <sheetViews>
    <sheetView showGridLines="0" zoomScale="140" zoomScaleNormal="140" workbookViewId="0">
      <selection activeCell="D42" sqref="D42"/>
    </sheetView>
  </sheetViews>
  <sheetFormatPr baseColWidth="10" defaultColWidth="9.1640625" defaultRowHeight="11" outlineLevelCol="1" x14ac:dyDescent="0.15"/>
  <cols>
    <col min="1" max="1" width="1.5" style="1" customWidth="1"/>
    <col min="2" max="2" width="26.5" style="1" customWidth="1"/>
    <col min="3" max="3" width="13" style="205" customWidth="1"/>
    <col min="4" max="4" width="9.5" style="1" customWidth="1"/>
    <col min="5" max="6" width="8.6640625" style="1" customWidth="1"/>
    <col min="7" max="9" width="8.6640625" style="1" hidden="1" customWidth="1" outlineLevel="1"/>
    <col min="10" max="10" width="9.33203125" style="1" hidden="1" customWidth="1" outlineLevel="1"/>
    <col min="11" max="11" width="1.33203125" style="1" customWidth="1" collapsed="1"/>
    <col min="12" max="12" width="10.5" style="1" customWidth="1"/>
    <col min="13" max="13" width="6" style="1" customWidth="1"/>
    <col min="14" max="14" width="10.5" style="163" customWidth="1"/>
    <col min="15" max="15" width="6" style="1" customWidth="1"/>
    <col min="16" max="16" width="1.5" style="1" customWidth="1"/>
    <col min="17" max="18" width="11.5" style="1" customWidth="1"/>
    <col min="19" max="19" width="1" style="1" customWidth="1"/>
    <col min="20" max="21" width="11.5" style="1" customWidth="1"/>
    <col min="22" max="22" width="1.5" style="1" customWidth="1"/>
    <col min="23" max="23" width="9.1640625" style="1" hidden="1" customWidth="1"/>
    <col min="24" max="27" width="9.1640625" style="1"/>
    <col min="28" max="28" width="9.1640625" style="200"/>
    <col min="29" max="29" width="9.1640625" style="1"/>
    <col min="30" max="30" width="9.1640625" style="200"/>
    <col min="31" max="31" width="9.1640625" style="1"/>
    <col min="32" max="32" width="9.1640625" style="200"/>
    <col min="33" max="16384" width="9.1640625" style="1"/>
  </cols>
  <sheetData>
    <row r="1" spans="2:29" ht="7.5" customHeight="1" x14ac:dyDescent="0.15"/>
    <row r="2" spans="2:29" x14ac:dyDescent="0.15">
      <c r="B2" s="159" t="s">
        <v>183</v>
      </c>
      <c r="C2" s="206"/>
    </row>
    <row r="3" spans="2:29" ht="7.5" customHeight="1" x14ac:dyDescent="0.15"/>
    <row r="4" spans="2:29" x14ac:dyDescent="0.15">
      <c r="B4" s="207" t="s">
        <v>12</v>
      </c>
      <c r="C4" s="208" t="s">
        <v>156</v>
      </c>
      <c r="D4" s="209" t="s">
        <v>153</v>
      </c>
      <c r="E4" s="209" t="s">
        <v>125</v>
      </c>
      <c r="F4" s="209" t="s">
        <v>110</v>
      </c>
      <c r="G4" s="209" t="s">
        <v>16</v>
      </c>
      <c r="H4" s="209" t="s">
        <v>154</v>
      </c>
      <c r="I4" s="209" t="s">
        <v>152</v>
      </c>
      <c r="J4" s="209" t="s">
        <v>162</v>
      </c>
      <c r="L4" s="209" t="s">
        <v>77</v>
      </c>
      <c r="M4" s="209"/>
      <c r="N4" s="209" t="s">
        <v>124</v>
      </c>
      <c r="O4" s="207"/>
      <c r="Q4" s="560">
        <v>35000000</v>
      </c>
      <c r="R4" s="560"/>
      <c r="T4" s="560">
        <v>60000000</v>
      </c>
      <c r="U4" s="560"/>
      <c r="X4" s="561" t="s">
        <v>158</v>
      </c>
      <c r="Y4" s="562"/>
    </row>
    <row r="5" spans="2:29" x14ac:dyDescent="0.15">
      <c r="B5" s="197" t="s">
        <v>181</v>
      </c>
      <c r="C5" s="197" t="s">
        <v>171</v>
      </c>
      <c r="D5" s="199">
        <v>10000000</v>
      </c>
      <c r="E5" s="199"/>
      <c r="F5" s="199"/>
      <c r="G5" s="199"/>
      <c r="H5" s="199"/>
      <c r="I5" s="199"/>
      <c r="J5" s="199"/>
      <c r="L5" s="199">
        <f t="shared" ref="L5:L36" si="0">G5+E5+D5+F5</f>
        <v>10000000</v>
      </c>
      <c r="M5" s="45">
        <f t="shared" ref="M5:M36" si="1">L5/L$39</f>
        <v>0.43956043956043955</v>
      </c>
      <c r="N5" s="198">
        <f>D5+E5+I5</f>
        <v>10000000</v>
      </c>
      <c r="O5" s="45">
        <f>N5/$N$39</f>
        <v>0.43956043956043955</v>
      </c>
      <c r="Q5" s="43">
        <f>$M5*Q$4</f>
        <v>15384615.384615384</v>
      </c>
      <c r="R5" s="210">
        <f>$O5*Q$4</f>
        <v>15384615.384615384</v>
      </c>
      <c r="T5" s="43">
        <f>$M5*T$4</f>
        <v>26373626.373626374</v>
      </c>
      <c r="U5" s="210">
        <f>$O5*T$4</f>
        <v>26373626.373626374</v>
      </c>
      <c r="X5" s="199">
        <f>D5+E5+H5</f>
        <v>10000000</v>
      </c>
      <c r="Y5" s="45">
        <f>X5/$X$39</f>
        <v>0.43956043956043955</v>
      </c>
    </row>
    <row r="6" spans="2:29" x14ac:dyDescent="0.15">
      <c r="B6" s="197" t="s">
        <v>182</v>
      </c>
      <c r="C6" s="197" t="s">
        <v>171</v>
      </c>
      <c r="D6" s="199">
        <f>'Cap Table'!BB11</f>
        <v>5000000</v>
      </c>
      <c r="E6" s="199"/>
      <c r="F6" s="199"/>
      <c r="G6" s="199"/>
      <c r="H6" s="199"/>
      <c r="I6" s="199"/>
      <c r="J6" s="199"/>
      <c r="L6" s="199">
        <f t="shared" si="0"/>
        <v>5000000</v>
      </c>
      <c r="M6" s="45">
        <f t="shared" si="1"/>
        <v>0.21978021978021978</v>
      </c>
      <c r="N6" s="198">
        <f>D6+E6+I6</f>
        <v>5000000</v>
      </c>
      <c r="O6" s="45">
        <f>N6/$N$39</f>
        <v>0.21978021978021978</v>
      </c>
      <c r="Q6" s="43">
        <f t="shared" ref="Q6:Q38" si="2">$M6*Q$4</f>
        <v>7692307.692307692</v>
      </c>
      <c r="R6" s="210">
        <f t="shared" ref="R6:R36" si="3">$O6*Q$4</f>
        <v>7692307.692307692</v>
      </c>
      <c r="T6" s="43">
        <f t="shared" ref="T6:T38" si="4">$M6*T$4</f>
        <v>13186813.186813187</v>
      </c>
      <c r="U6" s="210">
        <f t="shared" ref="U6:U36" si="5">$O6*T$4</f>
        <v>13186813.186813187</v>
      </c>
      <c r="X6" s="199">
        <f t="shared" ref="X6:X36" si="6">D6+E6+H6</f>
        <v>5000000</v>
      </c>
      <c r="Y6" s="45">
        <f>X6/$X$39</f>
        <v>0.21978021978021978</v>
      </c>
    </row>
    <row r="7" spans="2:29" x14ac:dyDescent="0.15">
      <c r="B7" s="197" t="s">
        <v>187</v>
      </c>
      <c r="C7" s="197" t="s">
        <v>171</v>
      </c>
      <c r="D7" s="199">
        <v>5000000</v>
      </c>
      <c r="E7" s="199"/>
      <c r="F7" s="199"/>
      <c r="G7" s="199"/>
      <c r="H7" s="201"/>
      <c r="I7" s="199"/>
      <c r="J7" s="43"/>
      <c r="L7" s="199">
        <f t="shared" si="0"/>
        <v>5000000</v>
      </c>
      <c r="M7" s="45">
        <f t="shared" si="1"/>
        <v>0.21978021978021978</v>
      </c>
      <c r="N7" s="198">
        <f>D7+E7+I7</f>
        <v>5000000</v>
      </c>
      <c r="O7" s="45">
        <f>N7/$N$39</f>
        <v>0.21978021978021978</v>
      </c>
      <c r="Q7" s="43">
        <f t="shared" si="2"/>
        <v>7692307.692307692</v>
      </c>
      <c r="R7" s="210">
        <f t="shared" si="3"/>
        <v>7692307.692307692</v>
      </c>
      <c r="T7" s="43">
        <f t="shared" si="4"/>
        <v>13186813.186813187</v>
      </c>
      <c r="U7" s="210">
        <f t="shared" si="5"/>
        <v>13186813.186813187</v>
      </c>
      <c r="X7" s="199">
        <f t="shared" si="6"/>
        <v>5000000</v>
      </c>
      <c r="Y7" s="45">
        <f>X7/$X$39</f>
        <v>0.21978021978021978</v>
      </c>
      <c r="AC7" s="211"/>
    </row>
    <row r="8" spans="2:29" x14ac:dyDescent="0.15">
      <c r="B8" s="197" t="s">
        <v>188</v>
      </c>
      <c r="C8" s="197" t="s">
        <v>171</v>
      </c>
      <c r="D8" s="199">
        <v>2500000</v>
      </c>
      <c r="E8" s="199"/>
      <c r="F8" s="199"/>
      <c r="G8" s="199"/>
      <c r="H8" s="201"/>
      <c r="I8" s="199"/>
      <c r="J8" s="43"/>
      <c r="L8" s="199">
        <f t="shared" si="0"/>
        <v>2500000</v>
      </c>
      <c r="M8" s="45">
        <f t="shared" si="1"/>
        <v>0.10989010989010989</v>
      </c>
      <c r="N8" s="198">
        <f>D8+E8+I8</f>
        <v>2500000</v>
      </c>
      <c r="O8" s="45">
        <f>N8/$N$39</f>
        <v>0.10989010989010989</v>
      </c>
      <c r="Q8" s="43">
        <f t="shared" si="2"/>
        <v>3846153.846153846</v>
      </c>
      <c r="R8" s="210">
        <f t="shared" si="3"/>
        <v>3846153.846153846</v>
      </c>
      <c r="T8" s="43">
        <f t="shared" si="4"/>
        <v>6593406.5934065934</v>
      </c>
      <c r="U8" s="210">
        <f t="shared" si="5"/>
        <v>6593406.5934065934</v>
      </c>
      <c r="X8" s="199">
        <f t="shared" si="6"/>
        <v>2500000</v>
      </c>
      <c r="Y8" s="45">
        <f>X8/$X$39</f>
        <v>0.10989010989010989</v>
      </c>
      <c r="AC8" s="211"/>
    </row>
    <row r="9" spans="2:29" x14ac:dyDescent="0.15">
      <c r="B9" s="197" t="s">
        <v>189</v>
      </c>
      <c r="C9" s="197" t="s">
        <v>171</v>
      </c>
      <c r="D9" s="199">
        <v>250000</v>
      </c>
      <c r="E9" s="199"/>
      <c r="F9" s="199"/>
      <c r="G9" s="199"/>
      <c r="H9" s="201"/>
      <c r="I9" s="199"/>
      <c r="J9" s="43"/>
      <c r="L9" s="199">
        <f t="shared" ref="L9:L10" si="7">G9+E9+D9+F9</f>
        <v>250000</v>
      </c>
      <c r="M9" s="45">
        <f t="shared" si="1"/>
        <v>1.098901098901099E-2</v>
      </c>
      <c r="N9" s="198">
        <f>D9+E9+I9</f>
        <v>250000</v>
      </c>
      <c r="O9" s="45">
        <f t="shared" ref="O9:O10" si="8">N9/$N$39</f>
        <v>1.098901098901099E-2</v>
      </c>
      <c r="Q9" s="43">
        <f t="shared" si="2"/>
        <v>384615.38461538462</v>
      </c>
      <c r="R9" s="210">
        <f t="shared" ref="R9:R10" si="9">$O9*Q$4</f>
        <v>384615.38461538462</v>
      </c>
      <c r="T9" s="43">
        <f t="shared" si="4"/>
        <v>659340.65934065939</v>
      </c>
      <c r="U9" s="210">
        <f t="shared" ref="U9:U10" si="10">$O9*T$4</f>
        <v>659340.65934065939</v>
      </c>
      <c r="X9" s="199">
        <f t="shared" ref="X9:X10" si="11">D9+E9+H9</f>
        <v>250000</v>
      </c>
      <c r="Y9" s="45">
        <f t="shared" ref="Y9:Y10" si="12">X9/$X$39</f>
        <v>1.098901098901099E-2</v>
      </c>
      <c r="AC9" s="211"/>
    </row>
    <row r="10" spans="2:29" x14ac:dyDescent="0.15">
      <c r="B10" s="197"/>
      <c r="C10" s="197"/>
      <c r="D10" s="199"/>
      <c r="E10" s="199"/>
      <c r="F10" s="199"/>
      <c r="G10" s="199"/>
      <c r="H10" s="201"/>
      <c r="I10" s="199"/>
      <c r="J10" s="43"/>
      <c r="L10" s="199">
        <f t="shared" si="7"/>
        <v>0</v>
      </c>
      <c r="M10" s="45">
        <f t="shared" si="1"/>
        <v>0</v>
      </c>
      <c r="N10" s="198">
        <f t="shared" ref="N10:N36" si="13">D10+E10+I10</f>
        <v>0</v>
      </c>
      <c r="O10" s="45">
        <f t="shared" si="8"/>
        <v>0</v>
      </c>
      <c r="Q10" s="43">
        <f t="shared" si="2"/>
        <v>0</v>
      </c>
      <c r="R10" s="210">
        <f t="shared" si="9"/>
        <v>0</v>
      </c>
      <c r="T10" s="43">
        <f t="shared" si="4"/>
        <v>0</v>
      </c>
      <c r="U10" s="210">
        <f t="shared" si="10"/>
        <v>0</v>
      </c>
      <c r="X10" s="199">
        <f t="shared" si="11"/>
        <v>0</v>
      </c>
      <c r="Y10" s="45">
        <f t="shared" si="12"/>
        <v>0</v>
      </c>
      <c r="AC10" s="211"/>
    </row>
    <row r="11" spans="2:29" x14ac:dyDescent="0.15">
      <c r="B11" s="197"/>
      <c r="C11" s="197"/>
      <c r="D11" s="212"/>
      <c r="E11" s="52"/>
      <c r="F11" s="52"/>
      <c r="G11" s="212"/>
      <c r="H11" s="201"/>
      <c r="I11" s="199"/>
      <c r="J11" s="199"/>
      <c r="L11" s="199">
        <f t="shared" ref="L11:L16" si="14">G11+E11+D11+F11</f>
        <v>0</v>
      </c>
      <c r="M11" s="45">
        <f t="shared" si="1"/>
        <v>0</v>
      </c>
      <c r="N11" s="198">
        <f t="shared" si="13"/>
        <v>0</v>
      </c>
      <c r="O11" s="45">
        <f t="shared" ref="O11:O36" si="15">N11/$N$39</f>
        <v>0</v>
      </c>
      <c r="Q11" s="43">
        <f t="shared" si="2"/>
        <v>0</v>
      </c>
      <c r="R11" s="210">
        <f t="shared" si="3"/>
        <v>0</v>
      </c>
      <c r="T11" s="43">
        <f t="shared" si="4"/>
        <v>0</v>
      </c>
      <c r="U11" s="210">
        <f t="shared" si="5"/>
        <v>0</v>
      </c>
      <c r="X11" s="199">
        <f t="shared" si="6"/>
        <v>0</v>
      </c>
      <c r="Y11" s="45">
        <f t="shared" ref="Y11:Y36" si="16">X11/$X$39</f>
        <v>0</v>
      </c>
    </row>
    <row r="12" spans="2:29" x14ac:dyDescent="0.15">
      <c r="B12" s="197"/>
      <c r="C12" s="197"/>
      <c r="D12" s="212"/>
      <c r="E12" s="52"/>
      <c r="F12" s="52"/>
      <c r="G12" s="212"/>
      <c r="H12" s="201"/>
      <c r="I12" s="199"/>
      <c r="J12" s="199"/>
      <c r="L12" s="199">
        <f t="shared" si="14"/>
        <v>0</v>
      </c>
      <c r="M12" s="45">
        <f t="shared" si="1"/>
        <v>0</v>
      </c>
      <c r="N12" s="198">
        <f t="shared" si="13"/>
        <v>0</v>
      </c>
      <c r="O12" s="45">
        <f t="shared" si="15"/>
        <v>0</v>
      </c>
      <c r="Q12" s="43">
        <f t="shared" si="2"/>
        <v>0</v>
      </c>
      <c r="R12" s="210">
        <f t="shared" si="3"/>
        <v>0</v>
      </c>
      <c r="T12" s="43">
        <f t="shared" si="4"/>
        <v>0</v>
      </c>
      <c r="U12" s="210">
        <f t="shared" si="5"/>
        <v>0</v>
      </c>
      <c r="X12" s="199">
        <f t="shared" si="6"/>
        <v>0</v>
      </c>
      <c r="Y12" s="45">
        <f t="shared" si="16"/>
        <v>0</v>
      </c>
    </row>
    <row r="13" spans="2:29" x14ac:dyDescent="0.15">
      <c r="B13" s="197"/>
      <c r="C13" s="197"/>
      <c r="D13" s="212"/>
      <c r="E13" s="52"/>
      <c r="F13" s="52"/>
      <c r="G13" s="212"/>
      <c r="H13" s="201"/>
      <c r="I13" s="199"/>
      <c r="J13" s="199"/>
      <c r="L13" s="199">
        <f t="shared" si="14"/>
        <v>0</v>
      </c>
      <c r="M13" s="45">
        <f t="shared" si="1"/>
        <v>0</v>
      </c>
      <c r="N13" s="198">
        <f t="shared" si="13"/>
        <v>0</v>
      </c>
      <c r="O13" s="45">
        <f t="shared" si="15"/>
        <v>0</v>
      </c>
      <c r="Q13" s="43">
        <f t="shared" si="2"/>
        <v>0</v>
      </c>
      <c r="R13" s="210">
        <f t="shared" si="3"/>
        <v>0</v>
      </c>
      <c r="T13" s="43">
        <f t="shared" si="4"/>
        <v>0</v>
      </c>
      <c r="U13" s="210">
        <f t="shared" si="5"/>
        <v>0</v>
      </c>
      <c r="X13" s="199">
        <f t="shared" si="6"/>
        <v>0</v>
      </c>
      <c r="Y13" s="45">
        <f t="shared" si="16"/>
        <v>0</v>
      </c>
    </row>
    <row r="14" spans="2:29" x14ac:dyDescent="0.15">
      <c r="B14" s="197"/>
      <c r="C14" s="197"/>
      <c r="D14" s="212"/>
      <c r="E14" s="52"/>
      <c r="F14" s="52"/>
      <c r="G14" s="212"/>
      <c r="H14" s="201"/>
      <c r="I14" s="199"/>
      <c r="J14" s="199"/>
      <c r="L14" s="199">
        <f t="shared" si="14"/>
        <v>0</v>
      </c>
      <c r="M14" s="45">
        <f t="shared" si="1"/>
        <v>0</v>
      </c>
      <c r="N14" s="198">
        <f t="shared" si="13"/>
        <v>0</v>
      </c>
      <c r="O14" s="45">
        <f t="shared" si="15"/>
        <v>0</v>
      </c>
      <c r="Q14" s="43">
        <f t="shared" si="2"/>
        <v>0</v>
      </c>
      <c r="R14" s="210">
        <f t="shared" si="3"/>
        <v>0</v>
      </c>
      <c r="T14" s="43">
        <f t="shared" si="4"/>
        <v>0</v>
      </c>
      <c r="U14" s="210">
        <f t="shared" si="5"/>
        <v>0</v>
      </c>
      <c r="X14" s="199">
        <f t="shared" si="6"/>
        <v>0</v>
      </c>
      <c r="Y14" s="45">
        <f t="shared" si="16"/>
        <v>0</v>
      </c>
    </row>
    <row r="15" spans="2:29" x14ac:dyDescent="0.15">
      <c r="B15" s="197"/>
      <c r="C15" s="197"/>
      <c r="D15" s="212"/>
      <c r="E15" s="52"/>
      <c r="F15" s="52"/>
      <c r="G15" s="212"/>
      <c r="H15" s="201"/>
      <c r="I15" s="199"/>
      <c r="J15" s="199"/>
      <c r="L15" s="199">
        <f t="shared" si="14"/>
        <v>0</v>
      </c>
      <c r="M15" s="45">
        <f t="shared" si="1"/>
        <v>0</v>
      </c>
      <c r="N15" s="198">
        <f t="shared" si="13"/>
        <v>0</v>
      </c>
      <c r="O15" s="45">
        <f t="shared" si="15"/>
        <v>0</v>
      </c>
      <c r="Q15" s="43">
        <f t="shared" si="2"/>
        <v>0</v>
      </c>
      <c r="R15" s="210">
        <f t="shared" si="3"/>
        <v>0</v>
      </c>
      <c r="T15" s="43">
        <f t="shared" si="4"/>
        <v>0</v>
      </c>
      <c r="U15" s="210">
        <f t="shared" si="5"/>
        <v>0</v>
      </c>
      <c r="X15" s="199">
        <f t="shared" si="6"/>
        <v>0</v>
      </c>
      <c r="Y15" s="45">
        <f t="shared" si="16"/>
        <v>0</v>
      </c>
    </row>
    <row r="16" spans="2:29" x14ac:dyDescent="0.15">
      <c r="B16" s="197"/>
      <c r="C16" s="197"/>
      <c r="D16" s="212"/>
      <c r="E16" s="52"/>
      <c r="F16" s="52"/>
      <c r="G16" s="212"/>
      <c r="H16" s="201"/>
      <c r="I16" s="199"/>
      <c r="J16" s="199"/>
      <c r="L16" s="199">
        <f t="shared" si="14"/>
        <v>0</v>
      </c>
      <c r="M16" s="45">
        <f t="shared" si="1"/>
        <v>0</v>
      </c>
      <c r="N16" s="198">
        <f t="shared" si="13"/>
        <v>0</v>
      </c>
      <c r="O16" s="45">
        <f t="shared" si="15"/>
        <v>0</v>
      </c>
      <c r="Q16" s="43">
        <f t="shared" si="2"/>
        <v>0</v>
      </c>
      <c r="R16" s="210">
        <f t="shared" si="3"/>
        <v>0</v>
      </c>
      <c r="T16" s="43">
        <f t="shared" si="4"/>
        <v>0</v>
      </c>
      <c r="U16" s="210">
        <f t="shared" si="5"/>
        <v>0</v>
      </c>
      <c r="X16" s="199">
        <f t="shared" si="6"/>
        <v>0</v>
      </c>
      <c r="Y16" s="45">
        <f t="shared" si="16"/>
        <v>0</v>
      </c>
    </row>
    <row r="17" spans="2:25" x14ac:dyDescent="0.15">
      <c r="B17" s="197"/>
      <c r="C17" s="197"/>
      <c r="D17" s="212"/>
      <c r="E17" s="52"/>
      <c r="F17" s="52"/>
      <c r="G17" s="212"/>
      <c r="H17" s="201"/>
      <c r="I17" s="199"/>
      <c r="J17" s="199"/>
      <c r="L17" s="199">
        <f t="shared" si="0"/>
        <v>0</v>
      </c>
      <c r="M17" s="45">
        <f t="shared" si="1"/>
        <v>0</v>
      </c>
      <c r="N17" s="198">
        <f t="shared" si="13"/>
        <v>0</v>
      </c>
      <c r="O17" s="45">
        <f t="shared" si="15"/>
        <v>0</v>
      </c>
      <c r="Q17" s="43">
        <f t="shared" si="2"/>
        <v>0</v>
      </c>
      <c r="R17" s="210">
        <f t="shared" si="3"/>
        <v>0</v>
      </c>
      <c r="T17" s="43">
        <f t="shared" si="4"/>
        <v>0</v>
      </c>
      <c r="U17" s="210">
        <f t="shared" si="5"/>
        <v>0</v>
      </c>
      <c r="X17" s="199">
        <f t="shared" si="6"/>
        <v>0</v>
      </c>
      <c r="Y17" s="45">
        <f t="shared" si="16"/>
        <v>0</v>
      </c>
    </row>
    <row r="18" spans="2:25" x14ac:dyDescent="0.15">
      <c r="B18" s="197"/>
      <c r="C18" s="197"/>
      <c r="D18" s="212"/>
      <c r="E18" s="52"/>
      <c r="F18" s="52"/>
      <c r="G18" s="212"/>
      <c r="H18" s="201"/>
      <c r="I18" s="199"/>
      <c r="J18" s="199"/>
      <c r="L18" s="199">
        <f t="shared" si="0"/>
        <v>0</v>
      </c>
      <c r="M18" s="45">
        <f t="shared" si="1"/>
        <v>0</v>
      </c>
      <c r="N18" s="198">
        <f t="shared" si="13"/>
        <v>0</v>
      </c>
      <c r="O18" s="45">
        <f t="shared" si="15"/>
        <v>0</v>
      </c>
      <c r="Q18" s="43">
        <f t="shared" si="2"/>
        <v>0</v>
      </c>
      <c r="R18" s="210">
        <f t="shared" si="3"/>
        <v>0</v>
      </c>
      <c r="T18" s="43">
        <f t="shared" si="4"/>
        <v>0</v>
      </c>
      <c r="U18" s="210">
        <f t="shared" si="5"/>
        <v>0</v>
      </c>
      <c r="X18" s="199">
        <f t="shared" si="6"/>
        <v>0</v>
      </c>
      <c r="Y18" s="45">
        <f t="shared" si="16"/>
        <v>0</v>
      </c>
    </row>
    <row r="19" spans="2:25" x14ac:dyDescent="0.15">
      <c r="B19" s="197"/>
      <c r="C19" s="197"/>
      <c r="D19" s="212"/>
      <c r="E19" s="52"/>
      <c r="F19" s="52"/>
      <c r="G19" s="199"/>
      <c r="H19" s="201"/>
      <c r="I19" s="199"/>
      <c r="J19" s="199"/>
      <c r="L19" s="199">
        <f t="shared" si="0"/>
        <v>0</v>
      </c>
      <c r="M19" s="45">
        <f t="shared" si="1"/>
        <v>0</v>
      </c>
      <c r="N19" s="198">
        <f t="shared" si="13"/>
        <v>0</v>
      </c>
      <c r="O19" s="45">
        <f t="shared" si="15"/>
        <v>0</v>
      </c>
      <c r="Q19" s="43">
        <f t="shared" si="2"/>
        <v>0</v>
      </c>
      <c r="R19" s="210">
        <f t="shared" si="3"/>
        <v>0</v>
      </c>
      <c r="T19" s="43">
        <f t="shared" si="4"/>
        <v>0</v>
      </c>
      <c r="U19" s="210">
        <f t="shared" si="5"/>
        <v>0</v>
      </c>
      <c r="X19" s="199">
        <f t="shared" si="6"/>
        <v>0</v>
      </c>
      <c r="Y19" s="45">
        <f t="shared" si="16"/>
        <v>0</v>
      </c>
    </row>
    <row r="20" spans="2:25" x14ac:dyDescent="0.15">
      <c r="B20" s="197"/>
      <c r="C20" s="197"/>
      <c r="D20" s="212"/>
      <c r="E20" s="52"/>
      <c r="F20" s="52"/>
      <c r="G20" s="199"/>
      <c r="H20" s="201"/>
      <c r="I20" s="199"/>
      <c r="J20" s="199"/>
      <c r="L20" s="199">
        <f t="shared" si="0"/>
        <v>0</v>
      </c>
      <c r="M20" s="45">
        <f t="shared" si="1"/>
        <v>0</v>
      </c>
      <c r="N20" s="198">
        <f t="shared" si="13"/>
        <v>0</v>
      </c>
      <c r="O20" s="45">
        <f t="shared" si="15"/>
        <v>0</v>
      </c>
      <c r="Q20" s="43">
        <f t="shared" si="2"/>
        <v>0</v>
      </c>
      <c r="R20" s="210">
        <f t="shared" si="3"/>
        <v>0</v>
      </c>
      <c r="T20" s="43">
        <f t="shared" si="4"/>
        <v>0</v>
      </c>
      <c r="U20" s="210">
        <f t="shared" si="5"/>
        <v>0</v>
      </c>
      <c r="X20" s="199">
        <f t="shared" si="6"/>
        <v>0</v>
      </c>
      <c r="Y20" s="45">
        <f t="shared" si="16"/>
        <v>0</v>
      </c>
    </row>
    <row r="21" spans="2:25" x14ac:dyDescent="0.15">
      <c r="B21" s="197"/>
      <c r="C21" s="197"/>
      <c r="D21" s="212"/>
      <c r="E21" s="52"/>
      <c r="F21" s="52"/>
      <c r="G21" s="199"/>
      <c r="H21" s="201"/>
      <c r="I21" s="199"/>
      <c r="J21" s="199"/>
      <c r="L21" s="199">
        <f t="shared" si="0"/>
        <v>0</v>
      </c>
      <c r="M21" s="45">
        <f t="shared" si="1"/>
        <v>0</v>
      </c>
      <c r="N21" s="198">
        <f t="shared" si="13"/>
        <v>0</v>
      </c>
      <c r="O21" s="45">
        <f t="shared" si="15"/>
        <v>0</v>
      </c>
      <c r="Q21" s="43">
        <f t="shared" si="2"/>
        <v>0</v>
      </c>
      <c r="R21" s="210">
        <f t="shared" si="3"/>
        <v>0</v>
      </c>
      <c r="T21" s="43">
        <f t="shared" si="4"/>
        <v>0</v>
      </c>
      <c r="U21" s="210">
        <f t="shared" si="5"/>
        <v>0</v>
      </c>
      <c r="X21" s="199">
        <f t="shared" si="6"/>
        <v>0</v>
      </c>
      <c r="Y21" s="45">
        <f t="shared" si="16"/>
        <v>0</v>
      </c>
    </row>
    <row r="22" spans="2:25" x14ac:dyDescent="0.15">
      <c r="B22" s="197"/>
      <c r="C22" s="197"/>
      <c r="D22" s="212"/>
      <c r="E22" s="52"/>
      <c r="F22" s="52"/>
      <c r="G22" s="199"/>
      <c r="H22" s="201"/>
      <c r="I22" s="199"/>
      <c r="J22" s="199"/>
      <c r="L22" s="199">
        <f t="shared" si="0"/>
        <v>0</v>
      </c>
      <c r="M22" s="45">
        <f t="shared" si="1"/>
        <v>0</v>
      </c>
      <c r="N22" s="198">
        <f t="shared" si="13"/>
        <v>0</v>
      </c>
      <c r="O22" s="45">
        <f t="shared" si="15"/>
        <v>0</v>
      </c>
      <c r="Q22" s="43">
        <f t="shared" si="2"/>
        <v>0</v>
      </c>
      <c r="R22" s="210">
        <f t="shared" si="3"/>
        <v>0</v>
      </c>
      <c r="T22" s="43">
        <f t="shared" si="4"/>
        <v>0</v>
      </c>
      <c r="U22" s="210">
        <f t="shared" si="5"/>
        <v>0</v>
      </c>
      <c r="X22" s="199">
        <f t="shared" si="6"/>
        <v>0</v>
      </c>
      <c r="Y22" s="45">
        <f t="shared" si="16"/>
        <v>0</v>
      </c>
    </row>
    <row r="23" spans="2:25" x14ac:dyDescent="0.15">
      <c r="B23" s="197"/>
      <c r="C23" s="197"/>
      <c r="D23" s="213"/>
      <c r="E23" s="52"/>
      <c r="F23" s="199"/>
      <c r="G23" s="199"/>
      <c r="H23" s="201"/>
      <c r="I23" s="199"/>
      <c r="J23" s="199"/>
      <c r="L23" s="199">
        <f t="shared" si="0"/>
        <v>0</v>
      </c>
      <c r="M23" s="45">
        <f t="shared" si="1"/>
        <v>0</v>
      </c>
      <c r="N23" s="198">
        <f t="shared" si="13"/>
        <v>0</v>
      </c>
      <c r="O23" s="45">
        <f t="shared" si="15"/>
        <v>0</v>
      </c>
      <c r="Q23" s="43">
        <f t="shared" si="2"/>
        <v>0</v>
      </c>
      <c r="R23" s="210">
        <f t="shared" si="3"/>
        <v>0</v>
      </c>
      <c r="T23" s="43">
        <f t="shared" si="4"/>
        <v>0</v>
      </c>
      <c r="U23" s="210">
        <f t="shared" si="5"/>
        <v>0</v>
      </c>
      <c r="X23" s="199">
        <f t="shared" si="6"/>
        <v>0</v>
      </c>
      <c r="Y23" s="45">
        <f t="shared" si="16"/>
        <v>0</v>
      </c>
    </row>
    <row r="24" spans="2:25" x14ac:dyDescent="0.15">
      <c r="B24" s="197"/>
      <c r="C24" s="197"/>
      <c r="D24" s="212"/>
      <c r="E24" s="52"/>
      <c r="F24" s="52"/>
      <c r="G24" s="199"/>
      <c r="H24" s="201"/>
      <c r="I24" s="199"/>
      <c r="J24" s="199"/>
      <c r="L24" s="199">
        <f t="shared" si="0"/>
        <v>0</v>
      </c>
      <c r="M24" s="45">
        <f t="shared" si="1"/>
        <v>0</v>
      </c>
      <c r="N24" s="198">
        <f t="shared" si="13"/>
        <v>0</v>
      </c>
      <c r="O24" s="45">
        <f t="shared" si="15"/>
        <v>0</v>
      </c>
      <c r="Q24" s="43">
        <f t="shared" si="2"/>
        <v>0</v>
      </c>
      <c r="R24" s="210">
        <f t="shared" si="3"/>
        <v>0</v>
      </c>
      <c r="T24" s="43">
        <f t="shared" si="4"/>
        <v>0</v>
      </c>
      <c r="U24" s="210">
        <f t="shared" si="5"/>
        <v>0</v>
      </c>
      <c r="X24" s="199">
        <f t="shared" si="6"/>
        <v>0</v>
      </c>
      <c r="Y24" s="45">
        <f t="shared" si="16"/>
        <v>0</v>
      </c>
    </row>
    <row r="25" spans="2:25" x14ac:dyDescent="0.15">
      <c r="B25" s="197"/>
      <c r="C25" s="197"/>
      <c r="D25" s="212"/>
      <c r="E25" s="52"/>
      <c r="F25" s="52"/>
      <c r="G25" s="199"/>
      <c r="H25" s="201"/>
      <c r="I25" s="199"/>
      <c r="J25" s="199"/>
      <c r="L25" s="199">
        <f t="shared" si="0"/>
        <v>0</v>
      </c>
      <c r="M25" s="45">
        <f t="shared" si="1"/>
        <v>0</v>
      </c>
      <c r="N25" s="198">
        <f t="shared" si="13"/>
        <v>0</v>
      </c>
      <c r="O25" s="45">
        <f t="shared" si="15"/>
        <v>0</v>
      </c>
      <c r="Q25" s="43">
        <f t="shared" si="2"/>
        <v>0</v>
      </c>
      <c r="R25" s="210">
        <f t="shared" si="3"/>
        <v>0</v>
      </c>
      <c r="T25" s="43">
        <f t="shared" si="4"/>
        <v>0</v>
      </c>
      <c r="U25" s="210">
        <f t="shared" si="5"/>
        <v>0</v>
      </c>
      <c r="X25" s="199">
        <f t="shared" si="6"/>
        <v>0</v>
      </c>
      <c r="Y25" s="45">
        <f t="shared" si="16"/>
        <v>0</v>
      </c>
    </row>
    <row r="26" spans="2:25" x14ac:dyDescent="0.15">
      <c r="B26" s="197"/>
      <c r="C26" s="197"/>
      <c r="D26" s="212"/>
      <c r="E26" s="52"/>
      <c r="F26" s="52"/>
      <c r="G26" s="199"/>
      <c r="H26" s="201"/>
      <c r="I26" s="199"/>
      <c r="J26" s="199"/>
      <c r="L26" s="199">
        <f t="shared" si="0"/>
        <v>0</v>
      </c>
      <c r="M26" s="45">
        <f t="shared" si="1"/>
        <v>0</v>
      </c>
      <c r="N26" s="198">
        <f t="shared" si="13"/>
        <v>0</v>
      </c>
      <c r="O26" s="45">
        <f t="shared" si="15"/>
        <v>0</v>
      </c>
      <c r="Q26" s="43">
        <f t="shared" si="2"/>
        <v>0</v>
      </c>
      <c r="R26" s="210">
        <f t="shared" si="3"/>
        <v>0</v>
      </c>
      <c r="T26" s="43">
        <f t="shared" si="4"/>
        <v>0</v>
      </c>
      <c r="U26" s="210">
        <f t="shared" si="5"/>
        <v>0</v>
      </c>
      <c r="X26" s="199">
        <f t="shared" si="6"/>
        <v>0</v>
      </c>
      <c r="Y26" s="45">
        <f t="shared" si="16"/>
        <v>0</v>
      </c>
    </row>
    <row r="27" spans="2:25" x14ac:dyDescent="0.15">
      <c r="B27" s="197"/>
      <c r="C27" s="197"/>
      <c r="D27" s="212"/>
      <c r="E27" s="52"/>
      <c r="F27" s="52"/>
      <c r="G27" s="199"/>
      <c r="H27" s="201"/>
      <c r="I27" s="199"/>
      <c r="J27" s="199"/>
      <c r="L27" s="199">
        <f t="shared" si="0"/>
        <v>0</v>
      </c>
      <c r="M27" s="45">
        <f t="shared" si="1"/>
        <v>0</v>
      </c>
      <c r="N27" s="198">
        <f t="shared" si="13"/>
        <v>0</v>
      </c>
      <c r="O27" s="45">
        <f t="shared" si="15"/>
        <v>0</v>
      </c>
      <c r="Q27" s="43">
        <f t="shared" si="2"/>
        <v>0</v>
      </c>
      <c r="R27" s="210">
        <f t="shared" si="3"/>
        <v>0</v>
      </c>
      <c r="T27" s="43">
        <f t="shared" si="4"/>
        <v>0</v>
      </c>
      <c r="U27" s="210">
        <f t="shared" si="5"/>
        <v>0</v>
      </c>
      <c r="X27" s="199">
        <f t="shared" si="6"/>
        <v>0</v>
      </c>
      <c r="Y27" s="45">
        <f t="shared" si="16"/>
        <v>0</v>
      </c>
    </row>
    <row r="28" spans="2:25" x14ac:dyDescent="0.15">
      <c r="B28" s="197"/>
      <c r="C28" s="197"/>
      <c r="D28" s="212"/>
      <c r="E28" s="52"/>
      <c r="F28" s="52"/>
      <c r="G28" s="199"/>
      <c r="H28" s="201"/>
      <c r="I28" s="199"/>
      <c r="J28" s="199"/>
      <c r="L28" s="199">
        <f t="shared" si="0"/>
        <v>0</v>
      </c>
      <c r="M28" s="45">
        <f t="shared" si="1"/>
        <v>0</v>
      </c>
      <c r="N28" s="198">
        <f t="shared" si="13"/>
        <v>0</v>
      </c>
      <c r="O28" s="45">
        <f t="shared" si="15"/>
        <v>0</v>
      </c>
      <c r="Q28" s="43">
        <f t="shared" si="2"/>
        <v>0</v>
      </c>
      <c r="R28" s="210">
        <f t="shared" si="3"/>
        <v>0</v>
      </c>
      <c r="T28" s="43">
        <f t="shared" si="4"/>
        <v>0</v>
      </c>
      <c r="U28" s="210">
        <f t="shared" si="5"/>
        <v>0</v>
      </c>
      <c r="X28" s="199">
        <f t="shared" si="6"/>
        <v>0</v>
      </c>
      <c r="Y28" s="45">
        <f t="shared" si="16"/>
        <v>0</v>
      </c>
    </row>
    <row r="29" spans="2:25" x14ac:dyDescent="0.15">
      <c r="B29" s="197"/>
      <c r="C29" s="197"/>
      <c r="D29" s="212"/>
      <c r="E29" s="52"/>
      <c r="F29" s="52"/>
      <c r="G29" s="199"/>
      <c r="H29" s="201"/>
      <c r="I29" s="199"/>
      <c r="J29" s="199"/>
      <c r="L29" s="199">
        <f t="shared" si="0"/>
        <v>0</v>
      </c>
      <c r="M29" s="45">
        <f t="shared" si="1"/>
        <v>0</v>
      </c>
      <c r="N29" s="198">
        <f t="shared" si="13"/>
        <v>0</v>
      </c>
      <c r="O29" s="45">
        <f t="shared" si="15"/>
        <v>0</v>
      </c>
      <c r="Q29" s="43">
        <f t="shared" si="2"/>
        <v>0</v>
      </c>
      <c r="R29" s="210">
        <f t="shared" si="3"/>
        <v>0</v>
      </c>
      <c r="T29" s="43">
        <f t="shared" si="4"/>
        <v>0</v>
      </c>
      <c r="U29" s="210">
        <f t="shared" si="5"/>
        <v>0</v>
      </c>
      <c r="X29" s="199">
        <f t="shared" si="6"/>
        <v>0</v>
      </c>
      <c r="Y29" s="45">
        <f t="shared" si="16"/>
        <v>0</v>
      </c>
    </row>
    <row r="30" spans="2:25" x14ac:dyDescent="0.15">
      <c r="B30" s="197"/>
      <c r="C30" s="197"/>
      <c r="D30" s="212"/>
      <c r="E30" s="52"/>
      <c r="F30" s="52"/>
      <c r="G30" s="199"/>
      <c r="H30" s="201"/>
      <c r="I30" s="199"/>
      <c r="J30" s="199"/>
      <c r="L30" s="199">
        <f t="shared" si="0"/>
        <v>0</v>
      </c>
      <c r="M30" s="45">
        <f t="shared" si="1"/>
        <v>0</v>
      </c>
      <c r="N30" s="198">
        <f t="shared" si="13"/>
        <v>0</v>
      </c>
      <c r="O30" s="45">
        <f t="shared" si="15"/>
        <v>0</v>
      </c>
      <c r="Q30" s="43">
        <f t="shared" si="2"/>
        <v>0</v>
      </c>
      <c r="R30" s="210">
        <f t="shared" si="3"/>
        <v>0</v>
      </c>
      <c r="T30" s="43">
        <f t="shared" si="4"/>
        <v>0</v>
      </c>
      <c r="U30" s="210">
        <f t="shared" si="5"/>
        <v>0</v>
      </c>
      <c r="X30" s="199">
        <f t="shared" si="6"/>
        <v>0</v>
      </c>
      <c r="Y30" s="45">
        <f t="shared" si="16"/>
        <v>0</v>
      </c>
    </row>
    <row r="31" spans="2:25" x14ac:dyDescent="0.15">
      <c r="B31" s="197"/>
      <c r="C31" s="197"/>
      <c r="D31" s="212"/>
      <c r="E31" s="52"/>
      <c r="F31" s="52"/>
      <c r="G31" s="199"/>
      <c r="H31" s="201"/>
      <c r="I31" s="199"/>
      <c r="J31" s="199"/>
      <c r="L31" s="199">
        <f t="shared" si="0"/>
        <v>0</v>
      </c>
      <c r="M31" s="45">
        <f t="shared" si="1"/>
        <v>0</v>
      </c>
      <c r="N31" s="198">
        <f t="shared" si="13"/>
        <v>0</v>
      </c>
      <c r="O31" s="45">
        <f t="shared" si="15"/>
        <v>0</v>
      </c>
      <c r="Q31" s="43">
        <f t="shared" si="2"/>
        <v>0</v>
      </c>
      <c r="R31" s="210">
        <f t="shared" si="3"/>
        <v>0</v>
      </c>
      <c r="T31" s="43">
        <f t="shared" si="4"/>
        <v>0</v>
      </c>
      <c r="U31" s="210">
        <f t="shared" si="5"/>
        <v>0</v>
      </c>
      <c r="X31" s="199">
        <f t="shared" si="6"/>
        <v>0</v>
      </c>
      <c r="Y31" s="45">
        <f t="shared" si="16"/>
        <v>0</v>
      </c>
    </row>
    <row r="32" spans="2:25" x14ac:dyDescent="0.15">
      <c r="B32" s="197"/>
      <c r="C32" s="197"/>
      <c r="D32" s="212"/>
      <c r="E32" s="52"/>
      <c r="F32" s="52"/>
      <c r="G32" s="199"/>
      <c r="H32" s="201"/>
      <c r="I32" s="199"/>
      <c r="J32" s="199"/>
      <c r="L32" s="199">
        <f t="shared" si="0"/>
        <v>0</v>
      </c>
      <c r="M32" s="45">
        <f t="shared" si="1"/>
        <v>0</v>
      </c>
      <c r="N32" s="198">
        <f t="shared" si="13"/>
        <v>0</v>
      </c>
      <c r="O32" s="45">
        <f t="shared" si="15"/>
        <v>0</v>
      </c>
      <c r="Q32" s="43">
        <f t="shared" si="2"/>
        <v>0</v>
      </c>
      <c r="R32" s="210">
        <f t="shared" si="3"/>
        <v>0</v>
      </c>
      <c r="T32" s="43">
        <f t="shared" si="4"/>
        <v>0</v>
      </c>
      <c r="U32" s="210">
        <f t="shared" si="5"/>
        <v>0</v>
      </c>
      <c r="X32" s="199">
        <f t="shared" si="6"/>
        <v>0</v>
      </c>
      <c r="Y32" s="45">
        <f t="shared" si="16"/>
        <v>0</v>
      </c>
    </row>
    <row r="33" spans="2:25" x14ac:dyDescent="0.15">
      <c r="B33" s="197"/>
      <c r="C33" s="197"/>
      <c r="D33" s="212"/>
      <c r="E33" s="52"/>
      <c r="F33" s="52"/>
      <c r="G33" s="199"/>
      <c r="H33" s="201"/>
      <c r="I33" s="199"/>
      <c r="J33" s="199"/>
      <c r="L33" s="199">
        <f t="shared" si="0"/>
        <v>0</v>
      </c>
      <c r="M33" s="45">
        <f t="shared" si="1"/>
        <v>0</v>
      </c>
      <c r="N33" s="198">
        <f t="shared" si="13"/>
        <v>0</v>
      </c>
      <c r="O33" s="45">
        <f t="shared" si="15"/>
        <v>0</v>
      </c>
      <c r="Q33" s="43">
        <f t="shared" si="2"/>
        <v>0</v>
      </c>
      <c r="R33" s="210">
        <f t="shared" si="3"/>
        <v>0</v>
      </c>
      <c r="T33" s="43">
        <f t="shared" si="4"/>
        <v>0</v>
      </c>
      <c r="U33" s="210">
        <f t="shared" si="5"/>
        <v>0</v>
      </c>
      <c r="X33" s="199">
        <f t="shared" si="6"/>
        <v>0</v>
      </c>
      <c r="Y33" s="45">
        <f t="shared" si="16"/>
        <v>0</v>
      </c>
    </row>
    <row r="34" spans="2:25" x14ac:dyDescent="0.15">
      <c r="B34" s="197"/>
      <c r="C34" s="197"/>
      <c r="D34" s="212"/>
      <c r="E34" s="52"/>
      <c r="F34" s="52"/>
      <c r="G34" s="199"/>
      <c r="H34" s="201"/>
      <c r="I34" s="199"/>
      <c r="J34" s="199"/>
      <c r="L34" s="199">
        <f t="shared" si="0"/>
        <v>0</v>
      </c>
      <c r="M34" s="45">
        <f t="shared" si="1"/>
        <v>0</v>
      </c>
      <c r="N34" s="198">
        <f t="shared" si="13"/>
        <v>0</v>
      </c>
      <c r="O34" s="45">
        <f t="shared" si="15"/>
        <v>0</v>
      </c>
      <c r="Q34" s="43">
        <f t="shared" si="2"/>
        <v>0</v>
      </c>
      <c r="R34" s="210">
        <f t="shared" si="3"/>
        <v>0</v>
      </c>
      <c r="T34" s="43">
        <f t="shared" si="4"/>
        <v>0</v>
      </c>
      <c r="U34" s="210">
        <f t="shared" si="5"/>
        <v>0</v>
      </c>
      <c r="X34" s="199">
        <f t="shared" si="6"/>
        <v>0</v>
      </c>
      <c r="Y34" s="45">
        <f t="shared" si="16"/>
        <v>0</v>
      </c>
    </row>
    <row r="35" spans="2:25" x14ac:dyDescent="0.15">
      <c r="B35" s="197"/>
      <c r="C35" s="197"/>
      <c r="D35" s="212"/>
      <c r="E35" s="52"/>
      <c r="F35" s="52"/>
      <c r="G35" s="199"/>
      <c r="H35" s="201"/>
      <c r="I35" s="199"/>
      <c r="J35" s="199"/>
      <c r="L35" s="199">
        <f t="shared" si="0"/>
        <v>0</v>
      </c>
      <c r="M35" s="45">
        <f t="shared" si="1"/>
        <v>0</v>
      </c>
      <c r="N35" s="198">
        <f t="shared" si="13"/>
        <v>0</v>
      </c>
      <c r="O35" s="45">
        <f t="shared" si="15"/>
        <v>0</v>
      </c>
      <c r="Q35" s="43">
        <f t="shared" si="2"/>
        <v>0</v>
      </c>
      <c r="R35" s="210">
        <f t="shared" si="3"/>
        <v>0</v>
      </c>
      <c r="T35" s="43">
        <f t="shared" si="4"/>
        <v>0</v>
      </c>
      <c r="U35" s="210">
        <f t="shared" si="5"/>
        <v>0</v>
      </c>
      <c r="X35" s="199">
        <f t="shared" si="6"/>
        <v>0</v>
      </c>
      <c r="Y35" s="45">
        <f t="shared" si="16"/>
        <v>0</v>
      </c>
    </row>
    <row r="36" spans="2:25" x14ac:dyDescent="0.15">
      <c r="B36" s="197"/>
      <c r="C36" s="197"/>
      <c r="D36" s="199"/>
      <c r="E36" s="52"/>
      <c r="F36" s="52"/>
      <c r="G36" s="199"/>
      <c r="H36" s="201"/>
      <c r="I36" s="199"/>
      <c r="J36" s="199"/>
      <c r="L36" s="199">
        <f t="shared" si="0"/>
        <v>0</v>
      </c>
      <c r="M36" s="45">
        <f t="shared" si="1"/>
        <v>0</v>
      </c>
      <c r="N36" s="198">
        <f t="shared" si="13"/>
        <v>0</v>
      </c>
      <c r="O36" s="45">
        <f t="shared" si="15"/>
        <v>0</v>
      </c>
      <c r="Q36" s="43">
        <f t="shared" si="2"/>
        <v>0</v>
      </c>
      <c r="R36" s="210">
        <f t="shared" si="3"/>
        <v>0</v>
      </c>
      <c r="T36" s="43">
        <f t="shared" si="4"/>
        <v>0</v>
      </c>
      <c r="U36" s="210">
        <f t="shared" si="5"/>
        <v>0</v>
      </c>
      <c r="X36" s="199">
        <f t="shared" si="6"/>
        <v>0</v>
      </c>
      <c r="Y36" s="45">
        <f t="shared" si="16"/>
        <v>0</v>
      </c>
    </row>
    <row r="37" spans="2:25" x14ac:dyDescent="0.15">
      <c r="B37" s="197"/>
      <c r="C37" s="214"/>
      <c r="D37" s="199"/>
      <c r="E37" s="52"/>
      <c r="F37" s="52"/>
      <c r="G37" s="52"/>
      <c r="H37" s="201"/>
      <c r="I37" s="199"/>
      <c r="J37" s="199"/>
      <c r="L37" s="199">
        <f t="shared" ref="L37:L38" si="17">G37+E37+D37+F37</f>
        <v>0</v>
      </c>
      <c r="M37" s="45">
        <f t="shared" ref="M37:M38" si="18">L37/L$39</f>
        <v>0</v>
      </c>
      <c r="N37" s="198">
        <f t="shared" ref="N37:N38" si="19">D37+E37+I37</f>
        <v>0</v>
      </c>
      <c r="O37" s="45">
        <f t="shared" ref="O37:O38" si="20">N37/$N$39</f>
        <v>0</v>
      </c>
      <c r="Q37" s="43">
        <f t="shared" si="2"/>
        <v>0</v>
      </c>
      <c r="R37" s="210">
        <f t="shared" ref="R37:R38" si="21">$O37*Q$4</f>
        <v>0</v>
      </c>
      <c r="T37" s="43">
        <f t="shared" si="4"/>
        <v>0</v>
      </c>
      <c r="U37" s="210">
        <f t="shared" ref="U37:U38" si="22">$O37*T$4</f>
        <v>0</v>
      </c>
      <c r="X37" s="199">
        <f t="shared" ref="X37:X38" si="23">D37+E37+H37</f>
        <v>0</v>
      </c>
      <c r="Y37" s="45">
        <f t="shared" ref="Y37:Y38" si="24">X37/$X$39</f>
        <v>0</v>
      </c>
    </row>
    <row r="38" spans="2:25" ht="12" thickBot="1" x14ac:dyDescent="0.2">
      <c r="B38" s="216"/>
      <c r="C38" s="216"/>
      <c r="D38" s="199"/>
      <c r="E38" s="199"/>
      <c r="F38" s="199"/>
      <c r="G38" s="199"/>
      <c r="H38" s="199"/>
      <c r="I38" s="199"/>
      <c r="J38" s="202"/>
      <c r="L38" s="199">
        <f t="shared" si="17"/>
        <v>0</v>
      </c>
      <c r="M38" s="45">
        <f t="shared" si="18"/>
        <v>0</v>
      </c>
      <c r="N38" s="198">
        <f t="shared" si="19"/>
        <v>0</v>
      </c>
      <c r="O38" s="45">
        <f t="shared" si="20"/>
        <v>0</v>
      </c>
      <c r="Q38" s="43">
        <f t="shared" si="2"/>
        <v>0</v>
      </c>
      <c r="R38" s="210">
        <f t="shared" si="21"/>
        <v>0</v>
      </c>
      <c r="T38" s="43">
        <f t="shared" si="4"/>
        <v>0</v>
      </c>
      <c r="U38" s="210">
        <f t="shared" si="22"/>
        <v>0</v>
      </c>
      <c r="X38" s="199">
        <f t="shared" si="23"/>
        <v>0</v>
      </c>
      <c r="Y38" s="45">
        <f t="shared" si="24"/>
        <v>0</v>
      </c>
    </row>
    <row r="39" spans="2:25" ht="12" thickTop="1" x14ac:dyDescent="0.15">
      <c r="B39" s="217" t="s">
        <v>106</v>
      </c>
      <c r="C39" s="217"/>
      <c r="D39" s="203">
        <f t="shared" ref="D39:J39" si="25">SUM(D5:D38)</f>
        <v>22750000</v>
      </c>
      <c r="E39" s="203">
        <f t="shared" si="25"/>
        <v>0</v>
      </c>
      <c r="F39" s="203">
        <f t="shared" si="25"/>
        <v>0</v>
      </c>
      <c r="G39" s="203">
        <f t="shared" si="25"/>
        <v>0</v>
      </c>
      <c r="H39" s="203">
        <f t="shared" si="25"/>
        <v>0</v>
      </c>
      <c r="I39" s="203">
        <f t="shared" si="25"/>
        <v>0</v>
      </c>
      <c r="J39" s="203">
        <f t="shared" si="25"/>
        <v>0</v>
      </c>
      <c r="L39" s="203">
        <f>SUM(L5:L38)</f>
        <v>22750000</v>
      </c>
      <c r="M39" s="218">
        <f>SUM(M5:M38)</f>
        <v>1</v>
      </c>
      <c r="N39" s="203">
        <f>SUM(N5:N38)</f>
        <v>22750000</v>
      </c>
      <c r="O39" s="218">
        <f>SUM(O5:O38)</f>
        <v>1</v>
      </c>
      <c r="Q39" s="219">
        <f>SUM(Q5:Q38)</f>
        <v>35000000</v>
      </c>
      <c r="R39" s="219">
        <f>SUM(R5:R38)</f>
        <v>35000000</v>
      </c>
      <c r="T39" s="219">
        <f>SUM(T5:T38)</f>
        <v>60000000</v>
      </c>
      <c r="U39" s="219">
        <f>SUM(U5:U38)</f>
        <v>60000000</v>
      </c>
      <c r="X39" s="199">
        <f>SUM(X5:X38)</f>
        <v>22750000</v>
      </c>
      <c r="Y39" s="215">
        <f>SUM(Y5:Y38)</f>
        <v>1</v>
      </c>
    </row>
    <row r="41" spans="2:25" x14ac:dyDescent="0.15">
      <c r="B41" s="207" t="s">
        <v>12</v>
      </c>
      <c r="C41" s="208" t="s">
        <v>156</v>
      </c>
      <c r="D41" s="209" t="s">
        <v>153</v>
      </c>
      <c r="E41" s="209" t="s">
        <v>125</v>
      </c>
      <c r="F41" s="209" t="s">
        <v>110</v>
      </c>
      <c r="G41" s="209" t="s">
        <v>16</v>
      </c>
      <c r="H41" s="209" t="s">
        <v>154</v>
      </c>
      <c r="I41" s="209" t="s">
        <v>152</v>
      </c>
      <c r="J41" s="209" t="s">
        <v>162</v>
      </c>
      <c r="L41" s="209" t="s">
        <v>77</v>
      </c>
      <c r="M41" s="209"/>
      <c r="N41" s="209" t="s">
        <v>124</v>
      </c>
      <c r="O41" s="207"/>
      <c r="Q41" s="560">
        <v>35000000</v>
      </c>
      <c r="R41" s="560"/>
      <c r="T41" s="560">
        <v>60000000</v>
      </c>
      <c r="U41" s="560"/>
      <c r="X41" s="561" t="s">
        <v>158</v>
      </c>
      <c r="Y41" s="562"/>
    </row>
    <row r="42" spans="2:25" x14ac:dyDescent="0.15">
      <c r="B42" s="197" t="s">
        <v>181</v>
      </c>
      <c r="C42" s="197" t="s">
        <v>171</v>
      </c>
      <c r="D42" s="199">
        <f>D5</f>
        <v>10000000</v>
      </c>
      <c r="E42" s="199"/>
      <c r="F42" s="199"/>
      <c r="G42" s="199"/>
      <c r="H42" s="199"/>
      <c r="I42" s="199"/>
      <c r="J42" s="199"/>
      <c r="L42" s="199">
        <f t="shared" ref="L42:L53" si="26">G42+E42+D42+F42</f>
        <v>10000000</v>
      </c>
      <c r="M42" s="45">
        <f>L42/L$54</f>
        <v>0.43956043956043955</v>
      </c>
      <c r="N42" s="198">
        <f t="shared" ref="N42:N53" si="27">I42+E42+D42</f>
        <v>10000000</v>
      </c>
      <c r="O42" s="45">
        <f>N42/$N$54</f>
        <v>0.43956043956043955</v>
      </c>
      <c r="Q42" s="43">
        <f>$M42*Q$4</f>
        <v>15384615.384615384</v>
      </c>
      <c r="R42" s="210">
        <f>$O42*Q$4</f>
        <v>15384615.384615384</v>
      </c>
      <c r="T42" s="43">
        <f>$M42*T$4</f>
        <v>26373626.373626374</v>
      </c>
      <c r="U42" s="210">
        <f>$O42*T$4</f>
        <v>26373626.373626374</v>
      </c>
      <c r="X42" s="199">
        <f>D42+E42+H42</f>
        <v>10000000</v>
      </c>
      <c r="Y42" s="45">
        <f t="shared" ref="Y42:Y45" si="28">X42/$X$39</f>
        <v>0.43956043956043955</v>
      </c>
    </row>
    <row r="43" spans="2:25" x14ac:dyDescent="0.15">
      <c r="B43" s="197" t="s">
        <v>182</v>
      </c>
      <c r="C43" s="197" t="s">
        <v>171</v>
      </c>
      <c r="D43" s="199">
        <f t="shared" ref="D43:D46" si="29">D6</f>
        <v>5000000</v>
      </c>
      <c r="E43" s="199"/>
      <c r="F43" s="199"/>
      <c r="G43" s="199"/>
      <c r="H43" s="199"/>
      <c r="I43" s="199"/>
      <c r="J43" s="199"/>
      <c r="L43" s="199">
        <f t="shared" si="26"/>
        <v>5000000</v>
      </c>
      <c r="M43" s="45">
        <f t="shared" ref="M43:M53" si="30">L43/L$54</f>
        <v>0.21978021978021978</v>
      </c>
      <c r="N43" s="198">
        <f t="shared" si="27"/>
        <v>5000000</v>
      </c>
      <c r="O43" s="45">
        <f t="shared" ref="O43:O53" si="31">N43/$N$54</f>
        <v>0.21978021978021978</v>
      </c>
      <c r="Q43" s="43">
        <f t="shared" ref="Q43:Q53" si="32">$M43*Q$4</f>
        <v>7692307.692307692</v>
      </c>
      <c r="R43" s="210">
        <f t="shared" ref="R43:R53" si="33">$O43*Q$4</f>
        <v>7692307.692307692</v>
      </c>
      <c r="T43" s="43">
        <f t="shared" ref="T43:T53" si="34">$M43*T$4</f>
        <v>13186813.186813187</v>
      </c>
      <c r="U43" s="210">
        <f t="shared" ref="U43:U53" si="35">$O43*T$4</f>
        <v>13186813.186813187</v>
      </c>
      <c r="X43" s="199">
        <f t="shared" ref="X43:X53" si="36">D43+E43+H43</f>
        <v>5000000</v>
      </c>
      <c r="Y43" s="45">
        <f t="shared" si="28"/>
        <v>0.21978021978021978</v>
      </c>
    </row>
    <row r="44" spans="2:25" x14ac:dyDescent="0.15">
      <c r="B44" s="197" t="s">
        <v>187</v>
      </c>
      <c r="C44" s="197" t="s">
        <v>171</v>
      </c>
      <c r="D44" s="199">
        <f t="shared" si="29"/>
        <v>5000000</v>
      </c>
      <c r="E44" s="199"/>
      <c r="F44" s="199"/>
      <c r="G44" s="199"/>
      <c r="H44" s="201"/>
      <c r="I44" s="199"/>
      <c r="J44" s="43"/>
      <c r="L44" s="199">
        <f t="shared" si="26"/>
        <v>5000000</v>
      </c>
      <c r="M44" s="45">
        <f t="shared" si="30"/>
        <v>0.21978021978021978</v>
      </c>
      <c r="N44" s="198">
        <f t="shared" si="27"/>
        <v>5000000</v>
      </c>
      <c r="O44" s="45">
        <f t="shared" si="31"/>
        <v>0.21978021978021978</v>
      </c>
      <c r="Q44" s="43">
        <f t="shared" si="32"/>
        <v>7692307.692307692</v>
      </c>
      <c r="R44" s="210">
        <f t="shared" si="33"/>
        <v>7692307.692307692</v>
      </c>
      <c r="T44" s="43">
        <f t="shared" si="34"/>
        <v>13186813.186813187</v>
      </c>
      <c r="U44" s="210">
        <f t="shared" si="35"/>
        <v>13186813.186813187</v>
      </c>
      <c r="X44" s="199">
        <f t="shared" si="36"/>
        <v>5000000</v>
      </c>
      <c r="Y44" s="45">
        <f t="shared" si="28"/>
        <v>0.21978021978021978</v>
      </c>
    </row>
    <row r="45" spans="2:25" x14ac:dyDescent="0.15">
      <c r="B45" s="197" t="s">
        <v>188</v>
      </c>
      <c r="C45" s="197" t="s">
        <v>171</v>
      </c>
      <c r="D45" s="199">
        <f t="shared" si="29"/>
        <v>2500000</v>
      </c>
      <c r="E45" s="199"/>
      <c r="F45" s="199"/>
      <c r="G45" s="199"/>
      <c r="H45" s="201"/>
      <c r="I45" s="199"/>
      <c r="J45" s="43"/>
      <c r="L45" s="199">
        <f t="shared" si="26"/>
        <v>2500000</v>
      </c>
      <c r="M45" s="45">
        <f t="shared" si="30"/>
        <v>0.10989010989010989</v>
      </c>
      <c r="N45" s="198">
        <f t="shared" si="27"/>
        <v>2500000</v>
      </c>
      <c r="O45" s="45">
        <f t="shared" si="31"/>
        <v>0.10989010989010989</v>
      </c>
      <c r="Q45" s="43">
        <f t="shared" si="32"/>
        <v>3846153.846153846</v>
      </c>
      <c r="R45" s="210">
        <f t="shared" si="33"/>
        <v>3846153.846153846</v>
      </c>
      <c r="T45" s="43">
        <f t="shared" si="34"/>
        <v>6593406.5934065934</v>
      </c>
      <c r="U45" s="210">
        <f t="shared" si="35"/>
        <v>6593406.5934065934</v>
      </c>
      <c r="X45" s="199">
        <f t="shared" si="36"/>
        <v>2500000</v>
      </c>
      <c r="Y45" s="45">
        <f t="shared" si="28"/>
        <v>0.10989010989010989</v>
      </c>
    </row>
    <row r="46" spans="2:25" x14ac:dyDescent="0.15">
      <c r="B46" s="197" t="s">
        <v>189</v>
      </c>
      <c r="C46" s="197" t="s">
        <v>171</v>
      </c>
      <c r="D46" s="199">
        <f t="shared" si="29"/>
        <v>250000</v>
      </c>
      <c r="E46" s="199"/>
      <c r="F46" s="199"/>
      <c r="G46" s="199"/>
      <c r="H46" s="201"/>
      <c r="I46" s="199"/>
      <c r="J46" s="43"/>
      <c r="L46" s="199">
        <f t="shared" si="26"/>
        <v>250000</v>
      </c>
      <c r="M46" s="45">
        <f t="shared" si="30"/>
        <v>1.098901098901099E-2</v>
      </c>
      <c r="N46" s="198">
        <f t="shared" si="27"/>
        <v>250000</v>
      </c>
      <c r="O46" s="45">
        <f t="shared" si="31"/>
        <v>1.098901098901099E-2</v>
      </c>
      <c r="Q46" s="43">
        <f t="shared" si="32"/>
        <v>384615.38461538462</v>
      </c>
      <c r="R46" s="210">
        <f t="shared" ref="R46:R48" si="37">$O46*Q$4</f>
        <v>384615.38461538462</v>
      </c>
      <c r="T46" s="43">
        <f t="shared" si="34"/>
        <v>659340.65934065939</v>
      </c>
      <c r="U46" s="210">
        <f t="shared" ref="U46:U48" si="38">$O46*T$4</f>
        <v>659340.65934065939</v>
      </c>
      <c r="X46" s="199">
        <f t="shared" ref="X46:X48" si="39">D46+E46+H46</f>
        <v>250000</v>
      </c>
      <c r="Y46" s="45">
        <f t="shared" ref="Y46:Y48" si="40">X46/$X$39</f>
        <v>1.098901098901099E-2</v>
      </c>
    </row>
    <row r="47" spans="2:25" x14ac:dyDescent="0.15">
      <c r="B47" s="197"/>
      <c r="C47" s="197"/>
      <c r="D47" s="199"/>
      <c r="E47" s="199"/>
      <c r="F47" s="199"/>
      <c r="G47" s="199"/>
      <c r="H47" s="201"/>
      <c r="I47" s="199"/>
      <c r="J47" s="43"/>
      <c r="L47" s="199">
        <f t="shared" si="26"/>
        <v>0</v>
      </c>
      <c r="M47" s="45">
        <f t="shared" si="30"/>
        <v>0</v>
      </c>
      <c r="N47" s="198">
        <f t="shared" si="27"/>
        <v>0</v>
      </c>
      <c r="O47" s="45">
        <f t="shared" si="31"/>
        <v>0</v>
      </c>
      <c r="Q47" s="43">
        <f t="shared" si="32"/>
        <v>0</v>
      </c>
      <c r="R47" s="210">
        <f t="shared" si="37"/>
        <v>0</v>
      </c>
      <c r="T47" s="43">
        <f t="shared" si="34"/>
        <v>0</v>
      </c>
      <c r="U47" s="210">
        <f t="shared" si="38"/>
        <v>0</v>
      </c>
      <c r="X47" s="199">
        <f t="shared" si="39"/>
        <v>0</v>
      </c>
      <c r="Y47" s="45">
        <f t="shared" si="40"/>
        <v>0</v>
      </c>
    </row>
    <row r="48" spans="2:25" x14ac:dyDescent="0.15">
      <c r="B48" s="197"/>
      <c r="C48" s="197"/>
      <c r="D48" s="199"/>
      <c r="E48" s="52"/>
      <c r="F48" s="52"/>
      <c r="G48" s="199"/>
      <c r="H48" s="201"/>
      <c r="I48" s="199"/>
      <c r="J48" s="199"/>
      <c r="L48" s="199">
        <f t="shared" si="26"/>
        <v>0</v>
      </c>
      <c r="M48" s="45">
        <f t="shared" si="30"/>
        <v>0</v>
      </c>
      <c r="N48" s="198">
        <f t="shared" si="27"/>
        <v>0</v>
      </c>
      <c r="O48" s="45">
        <f t="shared" si="31"/>
        <v>0</v>
      </c>
      <c r="Q48" s="43">
        <f t="shared" si="32"/>
        <v>0</v>
      </c>
      <c r="R48" s="210">
        <f t="shared" si="37"/>
        <v>0</v>
      </c>
      <c r="T48" s="43">
        <f t="shared" si="34"/>
        <v>0</v>
      </c>
      <c r="U48" s="210">
        <f t="shared" si="38"/>
        <v>0</v>
      </c>
      <c r="X48" s="199">
        <f t="shared" si="39"/>
        <v>0</v>
      </c>
      <c r="Y48" s="45">
        <f t="shared" si="40"/>
        <v>0</v>
      </c>
    </row>
    <row r="49" spans="2:32" x14ac:dyDescent="0.15">
      <c r="B49" s="197"/>
      <c r="C49" s="197"/>
      <c r="D49" s="199"/>
      <c r="E49" s="52"/>
      <c r="F49" s="52"/>
      <c r="G49" s="199"/>
      <c r="H49" s="201"/>
      <c r="I49" s="199"/>
      <c r="J49" s="199"/>
      <c r="L49" s="199">
        <f t="shared" si="26"/>
        <v>0</v>
      </c>
      <c r="M49" s="45">
        <f t="shared" si="30"/>
        <v>0</v>
      </c>
      <c r="N49" s="198">
        <f t="shared" si="27"/>
        <v>0</v>
      </c>
      <c r="O49" s="45">
        <f t="shared" si="31"/>
        <v>0</v>
      </c>
      <c r="Q49" s="43">
        <f t="shared" si="32"/>
        <v>0</v>
      </c>
      <c r="R49" s="210">
        <f t="shared" ref="R49:R52" si="41">$O49*Q$4</f>
        <v>0</v>
      </c>
      <c r="T49" s="43">
        <f t="shared" si="34"/>
        <v>0</v>
      </c>
      <c r="U49" s="210">
        <f t="shared" ref="U49:U52" si="42">$O49*T$4</f>
        <v>0</v>
      </c>
      <c r="X49" s="199">
        <f t="shared" ref="X49:X52" si="43">D49+E49+H49</f>
        <v>0</v>
      </c>
      <c r="Y49" s="45">
        <f t="shared" ref="Y49:Y52" si="44">X49/$X$39</f>
        <v>0</v>
      </c>
    </row>
    <row r="50" spans="2:32" x14ac:dyDescent="0.15">
      <c r="B50" s="197"/>
      <c r="C50" s="197"/>
      <c r="D50" s="199"/>
      <c r="E50" s="52"/>
      <c r="F50" s="52"/>
      <c r="G50" s="199"/>
      <c r="H50" s="201"/>
      <c r="I50" s="199"/>
      <c r="J50" s="199"/>
      <c r="L50" s="199">
        <f t="shared" si="26"/>
        <v>0</v>
      </c>
      <c r="M50" s="45">
        <f t="shared" si="30"/>
        <v>0</v>
      </c>
      <c r="N50" s="198">
        <f t="shared" si="27"/>
        <v>0</v>
      </c>
      <c r="O50" s="45">
        <f t="shared" si="31"/>
        <v>0</v>
      </c>
      <c r="Q50" s="43">
        <f t="shared" si="32"/>
        <v>0</v>
      </c>
      <c r="R50" s="210">
        <f t="shared" si="41"/>
        <v>0</v>
      </c>
      <c r="T50" s="43">
        <f t="shared" si="34"/>
        <v>0</v>
      </c>
      <c r="U50" s="210">
        <f t="shared" si="42"/>
        <v>0</v>
      </c>
      <c r="X50" s="199">
        <f t="shared" si="43"/>
        <v>0</v>
      </c>
      <c r="Y50" s="45">
        <f t="shared" si="44"/>
        <v>0</v>
      </c>
    </row>
    <row r="51" spans="2:32" x14ac:dyDescent="0.15">
      <c r="B51" s="197"/>
      <c r="C51" s="197"/>
      <c r="D51" s="199"/>
      <c r="E51" s="52"/>
      <c r="F51" s="199"/>
      <c r="G51" s="199"/>
      <c r="H51" s="201"/>
      <c r="I51" s="199"/>
      <c r="J51" s="199"/>
      <c r="L51" s="199">
        <f t="shared" si="26"/>
        <v>0</v>
      </c>
      <c r="M51" s="45">
        <f t="shared" si="30"/>
        <v>0</v>
      </c>
      <c r="N51" s="198">
        <f t="shared" si="27"/>
        <v>0</v>
      </c>
      <c r="O51" s="45">
        <f t="shared" si="31"/>
        <v>0</v>
      </c>
      <c r="Q51" s="43">
        <f t="shared" si="32"/>
        <v>0</v>
      </c>
      <c r="R51" s="210">
        <f t="shared" si="41"/>
        <v>0</v>
      </c>
      <c r="T51" s="43">
        <f t="shared" si="34"/>
        <v>0</v>
      </c>
      <c r="U51" s="210">
        <f t="shared" si="42"/>
        <v>0</v>
      </c>
      <c r="X51" s="199">
        <f t="shared" si="43"/>
        <v>0</v>
      </c>
      <c r="Y51" s="45">
        <f t="shared" si="44"/>
        <v>0</v>
      </c>
    </row>
    <row r="52" spans="2:32" x14ac:dyDescent="0.15">
      <c r="B52" s="197"/>
      <c r="C52" s="197"/>
      <c r="D52" s="199"/>
      <c r="E52" s="52"/>
      <c r="F52" s="52"/>
      <c r="G52" s="199"/>
      <c r="H52" s="201"/>
      <c r="I52" s="199"/>
      <c r="J52" s="199"/>
      <c r="L52" s="199">
        <f t="shared" si="26"/>
        <v>0</v>
      </c>
      <c r="M52" s="45">
        <f t="shared" si="30"/>
        <v>0</v>
      </c>
      <c r="N52" s="198">
        <f t="shared" si="27"/>
        <v>0</v>
      </c>
      <c r="O52" s="45">
        <f t="shared" si="31"/>
        <v>0</v>
      </c>
      <c r="Q52" s="43">
        <f t="shared" si="32"/>
        <v>0</v>
      </c>
      <c r="R52" s="210">
        <f t="shared" si="41"/>
        <v>0</v>
      </c>
      <c r="T52" s="43">
        <f t="shared" si="34"/>
        <v>0</v>
      </c>
      <c r="U52" s="210">
        <f t="shared" si="42"/>
        <v>0</v>
      </c>
      <c r="X52" s="199">
        <f t="shared" si="43"/>
        <v>0</v>
      </c>
      <c r="Y52" s="45">
        <f t="shared" si="44"/>
        <v>0</v>
      </c>
    </row>
    <row r="53" spans="2:32" ht="12" thickBot="1" x14ac:dyDescent="0.2">
      <c r="B53" s="197"/>
      <c r="C53" s="197"/>
      <c r="D53" s="199"/>
      <c r="E53" s="52"/>
      <c r="F53" s="52"/>
      <c r="G53" s="199"/>
      <c r="H53" s="201"/>
      <c r="I53" s="199"/>
      <c r="J53" s="202"/>
      <c r="L53" s="199">
        <f t="shared" si="26"/>
        <v>0</v>
      </c>
      <c r="M53" s="45">
        <f t="shared" si="30"/>
        <v>0</v>
      </c>
      <c r="N53" s="198">
        <f t="shared" si="27"/>
        <v>0</v>
      </c>
      <c r="O53" s="45">
        <f t="shared" si="31"/>
        <v>0</v>
      </c>
      <c r="Q53" s="43">
        <f t="shared" si="32"/>
        <v>0</v>
      </c>
      <c r="R53" s="210">
        <f t="shared" si="33"/>
        <v>0</v>
      </c>
      <c r="T53" s="43">
        <f t="shared" si="34"/>
        <v>0</v>
      </c>
      <c r="U53" s="210">
        <f t="shared" si="35"/>
        <v>0</v>
      </c>
      <c r="X53" s="199">
        <f t="shared" si="36"/>
        <v>0</v>
      </c>
      <c r="Y53" s="45">
        <f>X53/$X$39</f>
        <v>0</v>
      </c>
    </row>
    <row r="54" spans="2:32" ht="12" thickTop="1" x14ac:dyDescent="0.15">
      <c r="B54" s="217" t="s">
        <v>106</v>
      </c>
      <c r="C54" s="217"/>
      <c r="D54" s="203">
        <f t="shared" ref="D54:I54" si="45">SUM(D42:D53)</f>
        <v>22750000</v>
      </c>
      <c r="E54" s="203">
        <f t="shared" si="45"/>
        <v>0</v>
      </c>
      <c r="F54" s="203">
        <f t="shared" si="45"/>
        <v>0</v>
      </c>
      <c r="G54" s="203">
        <f t="shared" si="45"/>
        <v>0</v>
      </c>
      <c r="H54" s="203">
        <f t="shared" si="45"/>
        <v>0</v>
      </c>
      <c r="I54" s="203">
        <f t="shared" si="45"/>
        <v>0</v>
      </c>
      <c r="J54" s="219">
        <f>SUM(J42:J53)</f>
        <v>0</v>
      </c>
      <c r="L54" s="203">
        <f>SUM(L42:L53)</f>
        <v>22750000</v>
      </c>
      <c r="M54" s="218">
        <f>SUM(M42:M53)</f>
        <v>1</v>
      </c>
      <c r="N54" s="203">
        <f>SUM(N42:N53)</f>
        <v>22750000</v>
      </c>
      <c r="O54" s="218">
        <f>SUM(O42:O53)</f>
        <v>1</v>
      </c>
      <c r="Q54" s="219">
        <f>SUM(Q42:Q53)</f>
        <v>35000000</v>
      </c>
      <c r="R54" s="219">
        <f>SUM(R42:R53)</f>
        <v>35000000</v>
      </c>
      <c r="T54" s="219">
        <f>SUM(T42:T53)</f>
        <v>60000000</v>
      </c>
      <c r="U54" s="219">
        <f>SUM(U42:U53)</f>
        <v>60000000</v>
      </c>
      <c r="X54" s="199">
        <f>SUM(X42:X53)</f>
        <v>22750000</v>
      </c>
      <c r="Y54" s="215">
        <f>SUM(Y42:Y53)</f>
        <v>1</v>
      </c>
    </row>
    <row r="56" spans="2:32" x14ac:dyDescent="0.15">
      <c r="B56" s="207" t="s">
        <v>12</v>
      </c>
      <c r="C56" s="209" t="s">
        <v>77</v>
      </c>
      <c r="D56" s="209" t="s">
        <v>124</v>
      </c>
      <c r="F56" s="1" t="s">
        <v>172</v>
      </c>
      <c r="M56" s="163"/>
      <c r="N56" s="1"/>
      <c r="AA56" s="200"/>
      <c r="AB56" s="1"/>
      <c r="AC56" s="200"/>
      <c r="AD56" s="1"/>
      <c r="AE56" s="200"/>
      <c r="AF56" s="1"/>
    </row>
    <row r="57" spans="2:32" x14ac:dyDescent="0.15">
      <c r="B57" s="197" t="s">
        <v>181</v>
      </c>
      <c r="C57" s="220">
        <f t="shared" ref="C57:C63" si="46">M5</f>
        <v>0.43956043956043955</v>
      </c>
      <c r="D57" s="220">
        <f t="shared" ref="D57:D66" si="47">O5</f>
        <v>0.43956043956043955</v>
      </c>
      <c r="F57" s="1" t="s">
        <v>173</v>
      </c>
      <c r="H57" s="221"/>
      <c r="I57" s="221"/>
      <c r="M57" s="163"/>
      <c r="N57" s="1"/>
      <c r="AA57" s="200"/>
      <c r="AB57" s="1"/>
      <c r="AC57" s="200"/>
      <c r="AD57" s="1"/>
      <c r="AE57" s="200"/>
      <c r="AF57" s="1"/>
    </row>
    <row r="58" spans="2:32" x14ac:dyDescent="0.15">
      <c r="B58" s="197" t="s">
        <v>182</v>
      </c>
      <c r="C58" s="220">
        <f t="shared" si="46"/>
        <v>0.21978021978021978</v>
      </c>
      <c r="D58" s="220">
        <f t="shared" si="47"/>
        <v>0.21978021978021978</v>
      </c>
      <c r="F58" s="1" t="s">
        <v>174</v>
      </c>
      <c r="H58" s="221"/>
      <c r="I58" s="221"/>
      <c r="M58" s="163"/>
      <c r="N58" s="1"/>
      <c r="AA58" s="200"/>
      <c r="AB58" s="1"/>
      <c r="AC58" s="200"/>
      <c r="AD58" s="1"/>
      <c r="AE58" s="200"/>
      <c r="AF58" s="1"/>
    </row>
    <row r="59" spans="2:32" x14ac:dyDescent="0.15">
      <c r="B59" s="197" t="s">
        <v>187</v>
      </c>
      <c r="C59" s="220">
        <f t="shared" si="46"/>
        <v>0.21978021978021978</v>
      </c>
      <c r="D59" s="220">
        <f t="shared" si="47"/>
        <v>0.21978021978021978</v>
      </c>
      <c r="F59" s="1" t="s">
        <v>175</v>
      </c>
      <c r="H59" s="221"/>
      <c r="I59" s="221"/>
      <c r="M59" s="163"/>
      <c r="N59" s="1"/>
      <c r="Q59" s="222"/>
      <c r="AA59" s="200"/>
      <c r="AB59" s="1"/>
      <c r="AC59" s="200"/>
      <c r="AD59" s="1"/>
      <c r="AE59" s="200"/>
      <c r="AF59" s="1"/>
    </row>
    <row r="60" spans="2:32" x14ac:dyDescent="0.15">
      <c r="B60" s="197" t="s">
        <v>188</v>
      </c>
      <c r="C60" s="220">
        <f t="shared" si="46"/>
        <v>0.10989010989010989</v>
      </c>
      <c r="D60" s="220">
        <f t="shared" si="47"/>
        <v>0.10989010989010989</v>
      </c>
      <c r="F60" s="1" t="s">
        <v>176</v>
      </c>
      <c r="H60" s="204"/>
      <c r="I60" s="204"/>
      <c r="M60" s="163"/>
      <c r="N60" s="1"/>
      <c r="AA60" s="200"/>
      <c r="AB60" s="1"/>
      <c r="AC60" s="200"/>
      <c r="AD60" s="1"/>
      <c r="AE60" s="200"/>
      <c r="AF60" s="1"/>
    </row>
    <row r="61" spans="2:32" x14ac:dyDescent="0.15">
      <c r="B61" s="197" t="s">
        <v>189</v>
      </c>
      <c r="C61" s="220">
        <f t="shared" si="46"/>
        <v>1.098901098901099E-2</v>
      </c>
      <c r="D61" s="220">
        <f t="shared" si="47"/>
        <v>1.098901098901099E-2</v>
      </c>
      <c r="F61" s="1" t="s">
        <v>177</v>
      </c>
      <c r="H61" s="204"/>
      <c r="I61" s="204"/>
      <c r="M61" s="163"/>
      <c r="N61" s="1"/>
      <c r="AA61" s="200"/>
      <c r="AB61" s="1"/>
      <c r="AC61" s="200"/>
      <c r="AD61" s="1"/>
      <c r="AE61" s="200"/>
      <c r="AF61" s="1"/>
    </row>
    <row r="62" spans="2:32" x14ac:dyDescent="0.15">
      <c r="B62" s="197" t="s">
        <v>203</v>
      </c>
      <c r="C62" s="220">
        <f t="shared" si="46"/>
        <v>0</v>
      </c>
      <c r="D62" s="220">
        <f t="shared" si="47"/>
        <v>0</v>
      </c>
      <c r="H62" s="204"/>
      <c r="I62" s="204"/>
      <c r="M62" s="163"/>
      <c r="N62" s="1"/>
      <c r="AA62" s="200"/>
      <c r="AB62" s="1"/>
      <c r="AC62" s="200"/>
      <c r="AD62" s="1"/>
      <c r="AE62" s="200"/>
      <c r="AF62" s="1"/>
    </row>
    <row r="63" spans="2:32" x14ac:dyDescent="0.15">
      <c r="B63" s="197" t="s">
        <v>204</v>
      </c>
      <c r="C63" s="220">
        <f t="shared" si="46"/>
        <v>0</v>
      </c>
      <c r="D63" s="220">
        <f t="shared" si="47"/>
        <v>0</v>
      </c>
      <c r="H63" s="204"/>
      <c r="I63" s="204"/>
      <c r="M63" s="163"/>
      <c r="N63" s="1"/>
      <c r="AA63" s="200"/>
      <c r="AB63" s="1"/>
      <c r="AC63" s="200"/>
      <c r="AD63" s="1"/>
      <c r="AE63" s="200"/>
      <c r="AF63" s="1"/>
    </row>
    <row r="64" spans="2:32" x14ac:dyDescent="0.15">
      <c r="B64" s="197" t="s">
        <v>205</v>
      </c>
      <c r="C64" s="220">
        <f>M13</f>
        <v>0</v>
      </c>
      <c r="D64" s="220">
        <f t="shared" si="47"/>
        <v>0</v>
      </c>
      <c r="H64" s="204"/>
      <c r="I64" s="204"/>
      <c r="M64" s="163"/>
      <c r="N64" s="1"/>
      <c r="AA64" s="200"/>
      <c r="AB64" s="1"/>
      <c r="AC64" s="200"/>
      <c r="AD64" s="1"/>
      <c r="AE64" s="200"/>
      <c r="AF64" s="1"/>
    </row>
    <row r="65" spans="2:31" s="1" customFormat="1" x14ac:dyDescent="0.15">
      <c r="B65" s="197" t="s">
        <v>206</v>
      </c>
      <c r="C65" s="220">
        <f>M14</f>
        <v>0</v>
      </c>
      <c r="D65" s="220">
        <f t="shared" si="47"/>
        <v>0</v>
      </c>
      <c r="H65" s="204"/>
      <c r="I65" s="204"/>
      <c r="M65" s="163"/>
      <c r="AA65" s="200"/>
      <c r="AC65" s="200"/>
      <c r="AE65" s="200"/>
    </row>
    <row r="66" spans="2:31" s="1" customFormat="1" ht="12" thickBot="1" x14ac:dyDescent="0.2">
      <c r="B66" s="223" t="s">
        <v>157</v>
      </c>
      <c r="C66" s="224">
        <f>SUM(M15:M38)+M12</f>
        <v>0</v>
      </c>
      <c r="D66" s="220">
        <f t="shared" si="47"/>
        <v>0</v>
      </c>
      <c r="H66" s="204"/>
      <c r="I66" s="204"/>
      <c r="M66" s="163"/>
      <c r="AA66" s="200"/>
      <c r="AC66" s="200"/>
      <c r="AE66" s="200"/>
    </row>
    <row r="67" spans="2:31" s="1" customFormat="1" ht="12" thickTop="1" x14ac:dyDescent="0.15">
      <c r="B67" s="225" t="s">
        <v>106</v>
      </c>
      <c r="C67" s="226">
        <f>SUM(C57:C66)</f>
        <v>1</v>
      </c>
      <c r="D67" s="227">
        <f>SUM(D57:D66)</f>
        <v>1</v>
      </c>
      <c r="H67" s="228"/>
      <c r="I67" s="228"/>
      <c r="M67" s="163"/>
      <c r="AA67" s="200"/>
      <c r="AC67" s="200"/>
      <c r="AE67" s="200"/>
    </row>
    <row r="68" spans="2:31" s="1" customFormat="1" x14ac:dyDescent="0.15">
      <c r="B68" s="229" t="s">
        <v>13</v>
      </c>
      <c r="C68" s="198">
        <f>L39</f>
        <v>22750000</v>
      </c>
      <c r="D68" s="198">
        <f>N39</f>
        <v>22750000</v>
      </c>
      <c r="H68" s="230"/>
      <c r="I68" s="230"/>
      <c r="M68" s="163"/>
      <c r="AA68" s="200"/>
      <c r="AC68" s="200"/>
      <c r="AE68" s="200"/>
    </row>
  </sheetData>
  <mergeCells count="6">
    <mergeCell ref="Q4:R4"/>
    <mergeCell ref="T4:U4"/>
    <mergeCell ref="X4:Y4"/>
    <mergeCell ref="Q41:R41"/>
    <mergeCell ref="T41:U41"/>
    <mergeCell ref="X41:Y41"/>
  </mergeCells>
  <phoneticPr fontId="2" type="noConversion"/>
  <pageMargins left="0.75" right="0.75" top="1" bottom="1" header="0.5" footer="0.5"/>
  <pageSetup orientation="portrait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C2:L37"/>
  <sheetViews>
    <sheetView showGridLines="0" zoomScale="120" zoomScaleNormal="120" workbookViewId="0">
      <selection activeCell="E4" sqref="E4"/>
    </sheetView>
  </sheetViews>
  <sheetFormatPr baseColWidth="10" defaultColWidth="9.1640625" defaultRowHeight="13" x14ac:dyDescent="0.15"/>
  <cols>
    <col min="1" max="1" width="2.33203125" style="234" customWidth="1"/>
    <col min="2" max="2" width="2.1640625" style="234" customWidth="1"/>
    <col min="3" max="3" width="19" style="238" customWidth="1"/>
    <col min="4" max="4" width="8.5" style="238" bestFit="1" customWidth="1"/>
    <col min="5" max="5" width="10.1640625" style="233" bestFit="1" customWidth="1"/>
    <col min="6" max="6" width="10.1640625" style="233" customWidth="1"/>
    <col min="7" max="10" width="9.83203125" style="233" customWidth="1"/>
    <col min="11" max="11" width="3" style="233" customWidth="1"/>
    <col min="12" max="12" width="11.1640625" style="234" bestFit="1" customWidth="1"/>
    <col min="13" max="16384" width="9.1640625" style="234"/>
  </cols>
  <sheetData>
    <row r="2" spans="3:12" s="231" customFormat="1" x14ac:dyDescent="0.15">
      <c r="C2" s="450"/>
      <c r="D2" s="450"/>
      <c r="E2" s="451">
        <v>1E-3</v>
      </c>
      <c r="F2" s="451">
        <v>8.0000000000000002E-3</v>
      </c>
      <c r="G2" s="452">
        <v>0.12</v>
      </c>
      <c r="H2" s="452">
        <v>0.15</v>
      </c>
      <c r="I2" s="452">
        <v>0.3</v>
      </c>
      <c r="J2" s="452">
        <v>3.5</v>
      </c>
      <c r="K2" s="452"/>
      <c r="L2" s="452"/>
    </row>
    <row r="3" spans="3:12" x14ac:dyDescent="0.15">
      <c r="C3" s="232" t="s">
        <v>181</v>
      </c>
      <c r="D3" s="232" t="s">
        <v>155</v>
      </c>
      <c r="E3" s="233">
        <v>10000000</v>
      </c>
      <c r="L3" s="462">
        <f>(E3*E$2)+(F3*F$2)+(G3*G$2)+(H3*H$2)+(I3*I$2)+(J3*J$2)</f>
        <v>10000</v>
      </c>
    </row>
    <row r="4" spans="3:12" x14ac:dyDescent="0.15">
      <c r="C4" s="232" t="s">
        <v>182</v>
      </c>
      <c r="D4" s="232" t="s">
        <v>155</v>
      </c>
      <c r="E4" s="233">
        <v>5000000</v>
      </c>
      <c r="L4" s="462">
        <f t="shared" ref="L4:L36" si="0">(E4*E$2)+(F4*F$2)+(G4*G$2)+(H4*H$2)+(I4*I$2)+(J4*J$2)</f>
        <v>5000</v>
      </c>
    </row>
    <row r="5" spans="3:12" x14ac:dyDescent="0.15">
      <c r="C5" s="232" t="s">
        <v>187</v>
      </c>
      <c r="D5" s="232" t="s">
        <v>155</v>
      </c>
      <c r="E5" s="233">
        <v>5000000</v>
      </c>
      <c r="L5" s="462">
        <f t="shared" si="0"/>
        <v>5000</v>
      </c>
    </row>
    <row r="6" spans="3:12" x14ac:dyDescent="0.15">
      <c r="C6" s="232" t="s">
        <v>188</v>
      </c>
      <c r="D6" s="232" t="s">
        <v>155</v>
      </c>
      <c r="E6" s="233">
        <v>2500000</v>
      </c>
      <c r="L6" s="462">
        <f t="shared" si="0"/>
        <v>2500</v>
      </c>
    </row>
    <row r="7" spans="3:12" x14ac:dyDescent="0.15">
      <c r="C7" s="232" t="s">
        <v>189</v>
      </c>
      <c r="D7" s="232" t="s">
        <v>155</v>
      </c>
      <c r="E7" s="233">
        <v>250000</v>
      </c>
      <c r="L7" s="462">
        <f t="shared" si="0"/>
        <v>250</v>
      </c>
    </row>
    <row r="8" spans="3:12" x14ac:dyDescent="0.15">
      <c r="C8" s="232"/>
      <c r="D8" s="232" t="s">
        <v>110</v>
      </c>
      <c r="L8" s="462">
        <f>(E8*E$2)+(F8*F$2)+(G8*G$2)+(H8*H$2)+(I8*I$2)+(J8*J$2)</f>
        <v>0</v>
      </c>
    </row>
    <row r="9" spans="3:12" x14ac:dyDescent="0.15">
      <c r="C9" s="232"/>
      <c r="D9" s="232" t="s">
        <v>110</v>
      </c>
      <c r="L9" s="462">
        <f t="shared" si="0"/>
        <v>0</v>
      </c>
    </row>
    <row r="10" spans="3:12" x14ac:dyDescent="0.15">
      <c r="C10" s="232"/>
      <c r="D10" s="232" t="s">
        <v>16</v>
      </c>
      <c r="L10" s="462">
        <f t="shared" si="0"/>
        <v>0</v>
      </c>
    </row>
    <row r="11" spans="3:12" x14ac:dyDescent="0.15">
      <c r="C11" s="232"/>
      <c r="D11" s="232" t="s">
        <v>16</v>
      </c>
      <c r="L11" s="462">
        <f t="shared" si="0"/>
        <v>0</v>
      </c>
    </row>
    <row r="12" spans="3:12" x14ac:dyDescent="0.15">
      <c r="C12" s="232"/>
      <c r="D12" s="232" t="s">
        <v>16</v>
      </c>
      <c r="L12" s="462">
        <f t="shared" si="0"/>
        <v>0</v>
      </c>
    </row>
    <row r="13" spans="3:12" x14ac:dyDescent="0.15">
      <c r="C13" s="232"/>
      <c r="D13" s="232" t="s">
        <v>16</v>
      </c>
      <c r="L13" s="462">
        <f t="shared" si="0"/>
        <v>0</v>
      </c>
    </row>
    <row r="14" spans="3:12" x14ac:dyDescent="0.15">
      <c r="C14" s="232"/>
      <c r="D14" s="232" t="s">
        <v>16</v>
      </c>
      <c r="L14" s="462">
        <f t="shared" si="0"/>
        <v>0</v>
      </c>
    </row>
    <row r="15" spans="3:12" x14ac:dyDescent="0.15">
      <c r="C15" s="232"/>
      <c r="D15" s="232"/>
      <c r="L15" s="462">
        <f t="shared" si="0"/>
        <v>0</v>
      </c>
    </row>
    <row r="16" spans="3:12" x14ac:dyDescent="0.15">
      <c r="C16" s="232"/>
      <c r="D16" s="232"/>
      <c r="L16" s="462">
        <f t="shared" si="0"/>
        <v>0</v>
      </c>
    </row>
    <row r="17" spans="3:12" x14ac:dyDescent="0.15">
      <c r="C17" s="232"/>
      <c r="D17" s="232"/>
      <c r="L17" s="462">
        <f t="shared" si="0"/>
        <v>0</v>
      </c>
    </row>
    <row r="18" spans="3:12" x14ac:dyDescent="0.15">
      <c r="C18" s="232"/>
      <c r="D18" s="232"/>
      <c r="L18" s="462">
        <f t="shared" si="0"/>
        <v>0</v>
      </c>
    </row>
    <row r="19" spans="3:12" x14ac:dyDescent="0.15">
      <c r="C19" s="232"/>
      <c r="D19" s="232"/>
      <c r="L19" s="462">
        <f t="shared" si="0"/>
        <v>0</v>
      </c>
    </row>
    <row r="20" spans="3:12" x14ac:dyDescent="0.15">
      <c r="C20" s="232"/>
      <c r="D20" s="232"/>
      <c r="L20" s="462">
        <f t="shared" si="0"/>
        <v>0</v>
      </c>
    </row>
    <row r="21" spans="3:12" x14ac:dyDescent="0.15">
      <c r="C21" s="232"/>
      <c r="D21" s="232"/>
      <c r="L21" s="462">
        <f t="shared" si="0"/>
        <v>0</v>
      </c>
    </row>
    <row r="22" spans="3:12" x14ac:dyDescent="0.15">
      <c r="C22" s="232"/>
      <c r="D22" s="232"/>
      <c r="L22" s="462">
        <f t="shared" si="0"/>
        <v>0</v>
      </c>
    </row>
    <row r="23" spans="3:12" x14ac:dyDescent="0.15">
      <c r="C23" s="232"/>
      <c r="D23" s="232"/>
      <c r="L23" s="462">
        <f t="shared" si="0"/>
        <v>0</v>
      </c>
    </row>
    <row r="24" spans="3:12" x14ac:dyDescent="0.15">
      <c r="C24" s="232"/>
      <c r="D24" s="232"/>
      <c r="L24" s="462">
        <f t="shared" si="0"/>
        <v>0</v>
      </c>
    </row>
    <row r="25" spans="3:12" x14ac:dyDescent="0.15">
      <c r="C25" s="232"/>
      <c r="D25" s="232"/>
      <c r="L25" s="462">
        <f t="shared" si="0"/>
        <v>0</v>
      </c>
    </row>
    <row r="26" spans="3:12" x14ac:dyDescent="0.15">
      <c r="C26" s="232"/>
      <c r="D26" s="232"/>
      <c r="L26" s="462">
        <f t="shared" si="0"/>
        <v>0</v>
      </c>
    </row>
    <row r="27" spans="3:12" x14ac:dyDescent="0.15">
      <c r="C27" s="232"/>
      <c r="D27" s="232"/>
      <c r="L27" s="462">
        <f t="shared" si="0"/>
        <v>0</v>
      </c>
    </row>
    <row r="28" spans="3:12" x14ac:dyDescent="0.15">
      <c r="C28" s="232"/>
      <c r="D28" s="232"/>
      <c r="L28" s="462">
        <f t="shared" si="0"/>
        <v>0</v>
      </c>
    </row>
    <row r="29" spans="3:12" x14ac:dyDescent="0.15">
      <c r="C29" s="232"/>
      <c r="D29" s="232"/>
      <c r="L29" s="462">
        <f t="shared" si="0"/>
        <v>0</v>
      </c>
    </row>
    <row r="30" spans="3:12" x14ac:dyDescent="0.15">
      <c r="C30" s="232"/>
      <c r="D30" s="232"/>
      <c r="L30" s="462">
        <f t="shared" si="0"/>
        <v>0</v>
      </c>
    </row>
    <row r="31" spans="3:12" x14ac:dyDescent="0.15">
      <c r="C31" s="232"/>
      <c r="D31" s="232"/>
      <c r="L31" s="462">
        <f t="shared" si="0"/>
        <v>0</v>
      </c>
    </row>
    <row r="32" spans="3:12" x14ac:dyDescent="0.15">
      <c r="C32" s="232"/>
      <c r="D32" s="232"/>
      <c r="L32" s="462">
        <f t="shared" si="0"/>
        <v>0</v>
      </c>
    </row>
    <row r="33" spans="3:12" x14ac:dyDescent="0.15">
      <c r="C33" s="232"/>
      <c r="D33" s="232"/>
      <c r="L33" s="462">
        <f t="shared" si="0"/>
        <v>0</v>
      </c>
    </row>
    <row r="34" spans="3:12" x14ac:dyDescent="0.15">
      <c r="C34" s="232"/>
      <c r="D34" s="232"/>
      <c r="L34" s="462">
        <f t="shared" si="0"/>
        <v>0</v>
      </c>
    </row>
    <row r="35" spans="3:12" x14ac:dyDescent="0.15">
      <c r="C35" s="232"/>
      <c r="D35" s="232"/>
      <c r="L35" s="462">
        <f t="shared" si="0"/>
        <v>0</v>
      </c>
    </row>
    <row r="36" spans="3:12" x14ac:dyDescent="0.15">
      <c r="C36" s="232"/>
      <c r="D36" s="232"/>
      <c r="L36" s="462">
        <f t="shared" si="0"/>
        <v>0</v>
      </c>
    </row>
    <row r="37" spans="3:12" x14ac:dyDescent="0.15">
      <c r="C37" s="235"/>
      <c r="D37" s="235"/>
      <c r="E37" s="236">
        <f t="shared" ref="E37:J37" si="1">SUM(E3:E36)</f>
        <v>22750000</v>
      </c>
      <c r="F37" s="236">
        <f t="shared" si="1"/>
        <v>0</v>
      </c>
      <c r="G37" s="236">
        <f t="shared" si="1"/>
        <v>0</v>
      </c>
      <c r="H37" s="236">
        <f t="shared" si="1"/>
        <v>0</v>
      </c>
      <c r="I37" s="236">
        <f t="shared" si="1"/>
        <v>0</v>
      </c>
      <c r="J37" s="236">
        <f t="shared" si="1"/>
        <v>0</v>
      </c>
      <c r="K37" s="236"/>
      <c r="L37" s="237">
        <f>SUM(L3:L36)</f>
        <v>22750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3:N53"/>
  <sheetViews>
    <sheetView zoomScale="140" zoomScaleNormal="140" workbookViewId="0">
      <selection activeCell="B11" sqref="B11"/>
    </sheetView>
  </sheetViews>
  <sheetFormatPr baseColWidth="10" defaultColWidth="9.1640625" defaultRowHeight="13" x14ac:dyDescent="0.15"/>
  <cols>
    <col min="1" max="1" width="2.1640625" style="196" customWidth="1"/>
    <col min="2" max="2" width="21.6640625" style="196" customWidth="1"/>
    <col min="3" max="3" width="8.6640625" style="196" bestFit="1" customWidth="1"/>
    <col min="4" max="4" width="9" style="196" bestFit="1" customWidth="1"/>
    <col min="5" max="5" width="8.6640625" style="196" bestFit="1" customWidth="1"/>
    <col min="6" max="6" width="8" style="196" bestFit="1" customWidth="1"/>
    <col min="7" max="7" width="10" style="196" bestFit="1" customWidth="1"/>
    <col min="8" max="8" width="8.6640625" style="196" bestFit="1" customWidth="1"/>
    <col min="9" max="9" width="10" style="196" bestFit="1" customWidth="1"/>
    <col min="10" max="10" width="8.6640625" style="196" bestFit="1" customWidth="1"/>
    <col min="11" max="11" width="10" style="196" bestFit="1" customWidth="1"/>
    <col min="12" max="12" width="8.6640625" style="196" bestFit="1" customWidth="1"/>
    <col min="13" max="13" width="10" style="196" bestFit="1" customWidth="1"/>
    <col min="14" max="14" width="8.6640625" style="196" bestFit="1" customWidth="1"/>
    <col min="15" max="16384" width="9.1640625" style="196"/>
  </cols>
  <sheetData>
    <row r="3" spans="2:14" x14ac:dyDescent="0.15">
      <c r="B3" s="239"/>
      <c r="C3" s="565" t="s">
        <v>163</v>
      </c>
      <c r="D3" s="566"/>
      <c r="E3" s="567" t="s">
        <v>164</v>
      </c>
      <c r="F3" s="567"/>
      <c r="G3" s="565" t="s">
        <v>165</v>
      </c>
      <c r="H3" s="566"/>
      <c r="I3" s="563" t="s">
        <v>166</v>
      </c>
      <c r="J3" s="564"/>
      <c r="K3" s="565" t="s">
        <v>167</v>
      </c>
      <c r="L3" s="566"/>
      <c r="M3" s="563" t="s">
        <v>168</v>
      </c>
      <c r="N3" s="564"/>
    </row>
    <row r="4" spans="2:14" x14ac:dyDescent="0.15">
      <c r="B4" s="240"/>
      <c r="C4" s="241" t="s">
        <v>169</v>
      </c>
      <c r="D4" s="242" t="s">
        <v>124</v>
      </c>
      <c r="E4" s="243" t="s">
        <v>169</v>
      </c>
      <c r="F4" s="243" t="s">
        <v>124</v>
      </c>
      <c r="G4" s="241" t="s">
        <v>169</v>
      </c>
      <c r="H4" s="242" t="s">
        <v>124</v>
      </c>
      <c r="I4" s="244" t="s">
        <v>169</v>
      </c>
      <c r="J4" s="243" t="s">
        <v>124</v>
      </c>
      <c r="K4" s="241" t="s">
        <v>169</v>
      </c>
      <c r="L4" s="242" t="s">
        <v>124</v>
      </c>
      <c r="M4" s="243" t="s">
        <v>169</v>
      </c>
      <c r="N4" s="245" t="s">
        <v>124</v>
      </c>
    </row>
    <row r="5" spans="2:14" x14ac:dyDescent="0.15">
      <c r="B5" s="26" t="s">
        <v>181</v>
      </c>
      <c r="C5" s="246">
        <v>0.53700000000000003</v>
      </c>
      <c r="D5" s="247">
        <v>0.68600000000000005</v>
      </c>
      <c r="E5" s="248">
        <v>0.49299999999999999</v>
      </c>
      <c r="F5" s="248">
        <v>0.624</v>
      </c>
      <c r="G5" s="246">
        <v>0.48</v>
      </c>
      <c r="H5" s="247">
        <v>0.60399999999999998</v>
      </c>
      <c r="I5" s="249">
        <v>0.39393200329635913</v>
      </c>
      <c r="J5" s="250">
        <v>0.4732875321970913</v>
      </c>
      <c r="K5" s="251">
        <v>0.39393200329635913</v>
      </c>
      <c r="L5" s="252">
        <v>0.4732875321970913</v>
      </c>
      <c r="M5" s="250">
        <v>0.4333567997557165</v>
      </c>
      <c r="N5" s="253">
        <v>0.5313669392165854</v>
      </c>
    </row>
    <row r="6" spans="2:14" x14ac:dyDescent="0.15">
      <c r="B6" s="26" t="s">
        <v>182</v>
      </c>
      <c r="C6" s="246">
        <v>0.17899999999999999</v>
      </c>
      <c r="D6" s="247">
        <v>0.22900000000000001</v>
      </c>
      <c r="E6" s="248">
        <v>0.16400000000000001</v>
      </c>
      <c r="F6" s="248">
        <v>0.20799999999999999</v>
      </c>
      <c r="G6" s="246">
        <v>0.16</v>
      </c>
      <c r="H6" s="247">
        <v>0.20100000000000001</v>
      </c>
      <c r="I6" s="249">
        <v>0.13131066776545303</v>
      </c>
      <c r="J6" s="250">
        <v>0.15776251073236378</v>
      </c>
      <c r="K6" s="251">
        <v>0.13131066776545303</v>
      </c>
      <c r="L6" s="252">
        <v>0.15776251073236378</v>
      </c>
      <c r="M6" s="250">
        <v>0.14445226658523883</v>
      </c>
      <c r="N6" s="253">
        <v>0.17712231307219514</v>
      </c>
    </row>
    <row r="7" spans="2:14" x14ac:dyDescent="0.15">
      <c r="B7" s="26" t="s">
        <v>187</v>
      </c>
      <c r="C7" s="246">
        <v>6.3E-2</v>
      </c>
      <c r="D7" s="247">
        <v>7.8E-2</v>
      </c>
      <c r="E7" s="248">
        <v>9.0999999999999998E-2</v>
      </c>
      <c r="F7" s="248">
        <v>0.10199999999999999</v>
      </c>
      <c r="G7" s="246">
        <v>8.8999999999999996E-2</v>
      </c>
      <c r="H7" s="247">
        <v>9.8000000000000004E-2</v>
      </c>
      <c r="I7" s="249">
        <v>7.2769258697289535E-2</v>
      </c>
      <c r="J7" s="250">
        <v>7.7079022191829841E-2</v>
      </c>
      <c r="K7" s="251">
        <v>7.2769258697289535E-2</v>
      </c>
      <c r="L7" s="252">
        <v>7.7079022191829841E-2</v>
      </c>
      <c r="M7" s="250">
        <v>8.0052021175667426E-2</v>
      </c>
      <c r="N7" s="253">
        <v>8.6537762593805329E-2</v>
      </c>
    </row>
    <row r="8" spans="2:14" x14ac:dyDescent="0.15">
      <c r="B8" s="26" t="s">
        <v>188</v>
      </c>
      <c r="C8" s="246">
        <v>5.5E-2</v>
      </c>
      <c r="D8" s="247">
        <v>7.0000000000000001E-3</v>
      </c>
      <c r="E8" s="248">
        <v>0.05</v>
      </c>
      <c r="F8" s="248">
        <v>6.0000000000000001E-3</v>
      </c>
      <c r="G8" s="246">
        <v>4.9000000000000002E-2</v>
      </c>
      <c r="H8" s="247">
        <v>6.0000000000000001E-3</v>
      </c>
      <c r="I8" s="249">
        <v>4.0215306809840243E-2</v>
      </c>
      <c r="J8" s="250">
        <v>4.5075273516408049E-3</v>
      </c>
      <c r="K8" s="251">
        <v>4.0215306809840243E-2</v>
      </c>
      <c r="L8" s="252">
        <v>4.5075273516408049E-3</v>
      </c>
      <c r="M8" s="250">
        <v>4.4240063042544159E-2</v>
      </c>
      <c r="N8" s="253">
        <v>5.06066788017353E-3</v>
      </c>
    </row>
    <row r="9" spans="2:14" x14ac:dyDescent="0.15">
      <c r="B9" s="26" t="s">
        <v>189</v>
      </c>
      <c r="C9" s="255"/>
      <c r="D9" s="256"/>
      <c r="E9" s="248">
        <v>4.8000000000000001E-2</v>
      </c>
      <c r="F9" s="248">
        <v>6.0999999999999999E-2</v>
      </c>
      <c r="G9" s="246">
        <v>7.1999999999999995E-2</v>
      </c>
      <c r="H9" s="247">
        <v>9.0999999999999998E-2</v>
      </c>
      <c r="I9" s="249">
        <v>0.23918154419936802</v>
      </c>
      <c r="J9" s="250">
        <v>0.28736340752707423</v>
      </c>
      <c r="K9" s="251">
        <v>0.23918154419936802</v>
      </c>
      <c r="L9" s="252">
        <v>0.28736340752707423</v>
      </c>
      <c r="M9" s="250">
        <v>0.16303867560410706</v>
      </c>
      <c r="N9" s="253">
        <v>0.19991231723724059</v>
      </c>
    </row>
    <row r="10" spans="2:14" x14ac:dyDescent="0.15">
      <c r="B10" s="254"/>
      <c r="C10" s="246">
        <v>4.7E-2</v>
      </c>
      <c r="D10" s="256"/>
      <c r="E10" s="248">
        <v>4.2999999999999997E-2</v>
      </c>
      <c r="F10" s="257"/>
      <c r="G10" s="246">
        <v>4.2000000000000003E-2</v>
      </c>
      <c r="H10" s="256"/>
      <c r="I10" s="249">
        <v>3.4717174926241025E-2</v>
      </c>
      <c r="J10" s="250"/>
      <c r="K10" s="251">
        <v>3.4717174926241025E-2</v>
      </c>
      <c r="L10" s="252"/>
      <c r="M10" s="250">
        <v>3.8191676981564664E-2</v>
      </c>
      <c r="N10" s="253"/>
    </row>
    <row r="11" spans="2:14" x14ac:dyDescent="0.15">
      <c r="B11" s="254"/>
      <c r="C11" s="246">
        <v>1.4999999999999999E-2</v>
      </c>
      <c r="D11" s="256"/>
      <c r="E11" s="248">
        <v>1.4E-2</v>
      </c>
      <c r="F11" s="257"/>
      <c r="G11" s="246">
        <v>1.4E-2</v>
      </c>
      <c r="H11" s="256"/>
      <c r="I11" s="249">
        <v>1.1255162576848042E-2</v>
      </c>
      <c r="J11" s="250"/>
      <c r="K11" s="251">
        <v>1.1255162576848042E-2</v>
      </c>
      <c r="L11" s="252"/>
      <c r="M11" s="250">
        <v>1.2381581578087161E-2</v>
      </c>
      <c r="N11" s="253"/>
    </row>
    <row r="12" spans="2:14" x14ac:dyDescent="0.15">
      <c r="B12" s="254"/>
      <c r="C12" s="246">
        <v>1.4E-2</v>
      </c>
      <c r="D12" s="256"/>
      <c r="E12" s="248">
        <v>1.2999999999999999E-2</v>
      </c>
      <c r="F12" s="257"/>
      <c r="G12" s="246">
        <v>1.2999999999999999E-2</v>
      </c>
      <c r="H12" s="256"/>
      <c r="I12" s="249">
        <v>1.0504853421236244E-2</v>
      </c>
      <c r="J12" s="250"/>
      <c r="K12" s="251">
        <v>1.0504853421236244E-2</v>
      </c>
      <c r="L12" s="252"/>
      <c r="M12" s="250">
        <v>1.1556181326819107E-2</v>
      </c>
      <c r="N12" s="253"/>
    </row>
    <row r="13" spans="2:14" x14ac:dyDescent="0.15">
      <c r="B13" s="254" t="s">
        <v>157</v>
      </c>
      <c r="C13" s="246">
        <v>0.09</v>
      </c>
      <c r="D13" s="256"/>
      <c r="E13" s="248">
        <v>8.3000000000000004E-2</v>
      </c>
      <c r="F13" s="257"/>
      <c r="G13" s="246">
        <v>8.1000000000000003E-2</v>
      </c>
      <c r="H13" s="256"/>
      <c r="I13" s="249">
        <v>6.6114028307364819E-2</v>
      </c>
      <c r="J13" s="250"/>
      <c r="K13" s="251">
        <v>6.6114028307364819E-2</v>
      </c>
      <c r="L13" s="252"/>
      <c r="M13" s="250">
        <v>7.273073395025495E-2</v>
      </c>
      <c r="N13" s="253"/>
    </row>
    <row r="14" spans="2:14" x14ac:dyDescent="0.15">
      <c r="B14" s="239"/>
      <c r="C14" s="258">
        <v>1</v>
      </c>
      <c r="D14" s="259">
        <v>1</v>
      </c>
      <c r="E14" s="260">
        <v>1</v>
      </c>
      <c r="F14" s="260">
        <v>1</v>
      </c>
      <c r="G14" s="258">
        <v>1</v>
      </c>
      <c r="H14" s="259">
        <v>1</v>
      </c>
      <c r="I14" s="261">
        <v>0.99999999999999989</v>
      </c>
      <c r="J14" s="262">
        <v>1</v>
      </c>
      <c r="K14" s="263">
        <v>0.99999999999999989</v>
      </c>
      <c r="L14" s="264">
        <v>1</v>
      </c>
      <c r="M14" s="262">
        <v>0.99999999999999978</v>
      </c>
      <c r="N14" s="265">
        <v>1</v>
      </c>
    </row>
    <row r="15" spans="2:14" x14ac:dyDescent="0.15">
      <c r="B15" s="240"/>
      <c r="C15" s="266">
        <v>13976786</v>
      </c>
      <c r="D15" s="267">
        <v>10928571</v>
      </c>
      <c r="E15" s="268">
        <v>15213682</v>
      </c>
      <c r="F15" s="268">
        <v>12021467</v>
      </c>
      <c r="G15" s="266">
        <v>15613753</v>
      </c>
      <c r="H15" s="267">
        <v>12421538</v>
      </c>
      <c r="I15" s="269">
        <v>19038818.723132968</v>
      </c>
      <c r="J15" s="270">
        <v>15846603.786885247</v>
      </c>
      <c r="K15" s="271">
        <v>19038818.723132968</v>
      </c>
      <c r="L15" s="272">
        <v>15846603.786885247</v>
      </c>
      <c r="M15" s="270">
        <v>17306755.090096094</v>
      </c>
      <c r="N15" s="273">
        <v>14114540.153848369</v>
      </c>
    </row>
    <row r="16" spans="2:14" x14ac:dyDescent="0.15">
      <c r="B16" s="274" t="s">
        <v>170</v>
      </c>
      <c r="C16" s="275"/>
      <c r="D16" s="276"/>
      <c r="E16" s="277">
        <v>6000000</v>
      </c>
      <c r="F16" s="278"/>
      <c r="G16" s="279">
        <v>12000000</v>
      </c>
      <c r="H16" s="276"/>
      <c r="I16" s="280">
        <v>27000000</v>
      </c>
      <c r="J16" s="281"/>
      <c r="K16" s="282">
        <v>27000000</v>
      </c>
      <c r="L16" s="283"/>
      <c r="M16" s="280">
        <v>27000000</v>
      </c>
      <c r="N16" s="284"/>
    </row>
    <row r="20" spans="3:3" x14ac:dyDescent="0.15">
      <c r="C20" s="285"/>
    </row>
    <row r="21" spans="3:3" x14ac:dyDescent="0.15">
      <c r="C21" s="285"/>
    </row>
    <row r="40" spans="4:4" x14ac:dyDescent="0.15">
      <c r="D40" s="286"/>
    </row>
    <row r="49" spans="4:4" x14ac:dyDescent="0.15">
      <c r="D49" s="287"/>
    </row>
    <row r="50" spans="4:4" x14ac:dyDescent="0.15">
      <c r="D50" s="287"/>
    </row>
    <row r="51" spans="4:4" x14ac:dyDescent="0.15">
      <c r="D51" s="287"/>
    </row>
    <row r="52" spans="4:4" x14ac:dyDescent="0.15">
      <c r="D52" s="287"/>
    </row>
    <row r="53" spans="4:4" x14ac:dyDescent="0.15">
      <c r="D53" s="287"/>
    </row>
  </sheetData>
  <mergeCells count="6">
    <mergeCell ref="M3:N3"/>
    <mergeCell ref="C3:D3"/>
    <mergeCell ref="E3:F3"/>
    <mergeCell ref="G3:H3"/>
    <mergeCell ref="I3:J3"/>
    <mergeCell ref="K3:L3"/>
  </mergeCells>
  <phoneticPr fontId="29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Cap Table</vt:lpstr>
      <vt:lpstr>Stock sales</vt:lpstr>
      <vt:lpstr>Warrants</vt:lpstr>
      <vt:lpstr>Option Log</vt:lpstr>
      <vt:lpstr>Vesting</vt:lpstr>
      <vt:lpstr>Offer</vt:lpstr>
      <vt:lpstr>Cap Summary</vt:lpstr>
      <vt:lpstr>Strikes</vt:lpstr>
      <vt:lpstr>Forecasts</vt:lpstr>
    </vt:vector>
  </TitlesOfParts>
  <Manager/>
  <Company>DAOLABS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 Phillips</dc:creator>
  <cp:keywords/>
  <dc:description/>
  <cp:lastModifiedBy>Microsoft Office User</cp:lastModifiedBy>
  <cp:lastPrinted>2007-08-29T01:17:59Z</cp:lastPrinted>
  <dcterms:created xsi:type="dcterms:W3CDTF">2004-11-16T16:28:47Z</dcterms:created>
  <dcterms:modified xsi:type="dcterms:W3CDTF">2022-09-15T06:24:37Z</dcterms:modified>
  <cp:category/>
</cp:coreProperties>
</file>