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C5095CD5-C140-452E-B5EF-EA1C27ABF4E4}" xr6:coauthVersionLast="47" xr6:coauthVersionMax="47" xr10:uidLastSave="{00000000-0000-0000-0000-000000000000}"/>
  <bookViews>
    <workbookView xWindow="1350" yWindow="1830" windowWidth="23610" windowHeight="1303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コスト表!$E$2:$G$133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9" i="2" s="1"/>
  <c r="L12" i="2" l="1"/>
  <c r="L11" i="2"/>
  <c r="L10" i="2"/>
</calcChain>
</file>

<file path=xl/sharedStrings.xml><?xml version="1.0" encoding="utf-8"?>
<sst xmlns="http://schemas.openxmlformats.org/spreadsheetml/2006/main" count="562" uniqueCount="159">
  <si>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</si>
  <si>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</si>
  <si>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</si>
  <si>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</si>
  <si>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</si>
  <si>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</si>
  <si>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</si>
  <si>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</si>
  <si>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</si>
  <si>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</si>
  <si>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</si>
  <si>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</si>
  <si>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</si>
  <si>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</si>
  <si>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</si>
  <si>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</si>
  <si>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</si>
  <si>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</si>
  <si>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</si>
  <si>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</si>
  <si>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</si>
  <si>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</si>
  <si>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</si>
  <si>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</si>
  <si>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</si>
  <si>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</si>
  <si>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</si>
  <si>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</si>
  <si>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</si>
  <si>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</si>
  <si>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</si>
  <si>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</si>
  <si>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</si>
  <si>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</si>
  <si>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</si>
  <si>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</si>
  <si>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</si>
  <si>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</si>
  <si>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</si>
  <si>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</si>
  <si>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</si>
  <si>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</si>
  <si>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</si>
  <si>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</si>
  <si>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</si>
  <si>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</si>
  <si>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</si>
  <si>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</si>
  <si>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</si>
  <si>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</si>
  <si>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</si>
  <si>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</si>
  <si>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</si>
  <si>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</si>
  <si>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</si>
  <si>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</si>
  <si>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</si>
  <si>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</si>
  <si>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</si>
  <si>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</si>
  <si>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</si>
  <si>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</si>
  <si>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</si>
  <si>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</si>
  <si>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</si>
  <si>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</si>
  <si>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</si>
  <si>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</si>
  <si>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</si>
  <si>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</si>
  <si>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</si>
  <si>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</si>
  <si>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</si>
  <si>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</si>
  <si>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</si>
  <si>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</si>
  <si>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</si>
  <si>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</si>
  <si>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</si>
  <si>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</si>
  <si>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</si>
  <si>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</si>
  <si>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</si>
  <si>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</si>
  <si>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</si>
  <si>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</si>
  <si>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ナビゲーション・移動処理</t>
    <rPh sb="8" eb="12">
      <t>イドウショリ</t>
    </rPh>
    <phoneticPr fontId="1"/>
  </si>
  <si>
    <t>ボス(ゾンビを召喚)</t>
    <phoneticPr fontId="1"/>
  </si>
  <si>
    <t>アイテムドロップ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</si>
  <si>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</si>
  <si>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</si>
  <si>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</si>
  <si>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</si>
  <si>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</si>
  <si>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</si>
  <si>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</si>
  <si>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</si>
  <si>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</si>
  <si>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</si>
  <si>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</si>
  <si>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</si>
  <si>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</si>
  <si>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</si>
  <si>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</si>
  <si>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</si>
  <si>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</si>
  <si>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</si>
  <si>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</si>
  <si>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</si>
  <si>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</si>
  <si>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</si>
  <si>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</si>
  <si>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</si>
  <si>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</si>
  <si>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</si>
  <si>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</si>
  <si>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</si>
  <si>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</si>
  <si>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</si>
  <si>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</si>
  <si>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</si>
  <si>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</si>
  <si>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</si>
  <si>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</si>
  <si>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</si>
  <si>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</si>
  <si>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</si>
  <si>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</si>
  <si>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</si>
  <si>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</si>
  <si>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</si>
  <si>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</si>
  <si>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</si>
  <si>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</si>
  <si>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</si>
  <si>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</si>
  <si>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</si>
  <si>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</si>
  <si>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</si>
  <si>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</si>
  <si>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</si>
  <si>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</si>
  <si>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</si>
  <si>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</si>
  <si>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</si>
  <si>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</si>
  <si>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</si>
  <si>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</si>
  <si>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</si>
  <si>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</si>
  <si>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</si>
  <si>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</si>
  <si>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</si>
  <si>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</si>
  <si>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移動、攻撃、死亡などの状態管理</t>
    <rPh sb="0" eb="2">
      <t>イドウ</t>
    </rPh>
    <rPh sb="3" eb="5">
      <t>コウゲキ</t>
    </rPh>
    <rPh sb="6" eb="8">
      <t>シボウ</t>
    </rPh>
    <rPh sb="11" eb="15">
      <t>ジョウタイカンリ</t>
    </rPh>
    <phoneticPr fontId="1"/>
  </si>
  <si>
    <t>プレイヤー追尾処理は実装済みなのでいったん完了とす、壁回避(未完)</t>
    <rPh sb="5" eb="7">
      <t>ツイビ</t>
    </rPh>
    <rPh sb="7" eb="9">
      <t>ショリ</t>
    </rPh>
    <rPh sb="10" eb="13">
      <t>ジッソウズ</t>
    </rPh>
    <rPh sb="21" eb="23">
      <t>カンリョウ</t>
    </rPh>
    <rPh sb="26" eb="29">
      <t>カベカイヒ</t>
    </rPh>
    <rPh sb="30" eb="32">
      <t>ミカン</t>
    </rPh>
    <phoneticPr fontId="1"/>
  </si>
  <si>
    <t>射撃時画面ブレ効果</t>
    <rPh sb="0" eb="2">
      <t>シャゲキ</t>
    </rPh>
    <rPh sb="2" eb="3">
      <t>ジ</t>
    </rPh>
    <rPh sb="3" eb="5">
      <t>ガメン</t>
    </rPh>
    <rPh sb="7" eb="9">
      <t>コウカ</t>
    </rPh>
    <phoneticPr fontId="1"/>
  </si>
  <si>
    <t>難易度調整</t>
    <rPh sb="3" eb="5">
      <t>チョウセイ</t>
    </rPh>
    <phoneticPr fontId="1"/>
  </si>
  <si>
    <t>結果UI実装</t>
    <rPh sb="0" eb="2">
      <t>ケッカ</t>
    </rPh>
    <rPh sb="4" eb="6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</si>
</sst>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zoomScaleNormal="100" workbookViewId="0">
      <pane ySplit="2" topLeftCell="A98" activePane="bottomLeft" state="frozen"/>
      <selection pane="bottomLeft" activeCell="F94" sqref="F94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100</v>
      </c>
      <c r="C5" s="1" t="s">
        <v>156</v>
      </c>
      <c r="D5" s="7">
        <v>1</v>
      </c>
      <c r="E5" s="5" t="s">
        <v>19</v>
      </c>
      <c r="F5" s="11" t="s">
        <v>12</v>
      </c>
      <c r="G5" s="11" t="s">
        <v>14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149</v>
      </c>
      <c r="D7" s="7">
        <v>6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14</v>
      </c>
      <c r="H8" s="15"/>
    </row>
    <row r="9" spans="2:8" ht="18.75">
      <c r="B9" s="1" t="s">
        <v>32</v>
      </c>
      <c r="C9" s="1" t="s">
        <v>64</v>
      </c>
      <c r="D9" s="7">
        <v>1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139</v>
      </c>
      <c r="D10" s="7">
        <v>1</v>
      </c>
      <c r="E10" s="5" t="s">
        <v>8</v>
      </c>
      <c r="F10" s="11" t="s">
        <v>9</v>
      </c>
      <c r="G10" s="11" t="s">
        <v>14</v>
      </c>
      <c r="H10" s="15"/>
    </row>
    <row r="11" spans="2:8" ht="18.75">
      <c r="B11" s="1" t="s">
        <v>153</v>
      </c>
      <c r="C11" s="1" t="s">
        <v>152</v>
      </c>
      <c r="D11" s="7">
        <v>5</v>
      </c>
      <c r="E11" s="5" t="s">
        <v>8</v>
      </c>
      <c r="F11" s="11" t="s">
        <v>9</v>
      </c>
      <c r="G11" s="11" t="s">
        <v>14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15</v>
      </c>
      <c r="F12" s="11" t="s">
        <v>9</v>
      </c>
      <c r="G12" s="11" t="s">
        <v>10</v>
      </c>
      <c r="H12" s="15" t="s">
        <v>151</v>
      </c>
    </row>
    <row r="13" spans="2:8" ht="18.75">
      <c r="B13" s="1" t="s">
        <v>78</v>
      </c>
      <c r="C13" s="1" t="s">
        <v>124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125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100</v>
      </c>
      <c r="C15" s="1" t="s">
        <v>101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100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102</v>
      </c>
    </row>
    <row r="17" spans="2:8" ht="18.75">
      <c r="B17" s="1" t="s">
        <v>100</v>
      </c>
      <c r="C17" s="1" t="s">
        <v>104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150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100</v>
      </c>
      <c r="C25" s="1" t="s">
        <v>105</v>
      </c>
      <c r="D25" s="7">
        <v>1</v>
      </c>
      <c r="E25" s="5" t="s">
        <v>11</v>
      </c>
      <c r="F25" s="11" t="s">
        <v>12</v>
      </c>
      <c r="G25" s="11" t="s">
        <v>14</v>
      </c>
      <c r="H25" s="49" t="s">
        <v>106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138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138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14</v>
      </c>
      <c r="H29" s="15" t="s">
        <v>154</v>
      </c>
    </row>
    <row r="30" spans="2:8" ht="18.75">
      <c r="B30" s="1" t="s">
        <v>138</v>
      </c>
      <c r="C30" s="1" t="s">
        <v>86</v>
      </c>
      <c r="D30" s="7">
        <v>6</v>
      </c>
      <c r="E30" s="5" t="s">
        <v>8</v>
      </c>
      <c r="F30" s="11" t="s">
        <v>9</v>
      </c>
      <c r="G30" s="11" t="s">
        <v>14</v>
      </c>
      <c r="H30" s="15" t="s">
        <v>155</v>
      </c>
    </row>
    <row r="31" spans="2:8" ht="18.75">
      <c r="B31" s="1" t="s">
        <v>138</v>
      </c>
      <c r="C31" s="1" t="s">
        <v>88</v>
      </c>
      <c r="D31" s="7">
        <v>2</v>
      </c>
      <c r="E31" s="5" t="s">
        <v>8</v>
      </c>
      <c r="F31" s="11" t="s">
        <v>9</v>
      </c>
      <c r="G31" s="11" t="s">
        <v>14</v>
      </c>
      <c r="H31" s="15"/>
    </row>
    <row r="32" spans="2:8" ht="18.75">
      <c r="B32" s="1" t="s">
        <v>138</v>
      </c>
      <c r="C32" s="1" t="s">
        <v>89</v>
      </c>
      <c r="D32" s="7">
        <v>4</v>
      </c>
      <c r="E32" s="5" t="s">
        <v>8</v>
      </c>
      <c r="F32" s="11" t="s">
        <v>12</v>
      </c>
      <c r="G32" s="11" t="s">
        <v>14</v>
      </c>
      <c r="H32" s="15" t="s">
        <v>90</v>
      </c>
    </row>
    <row r="33" spans="2:8" ht="18.75">
      <c r="B33" s="1" t="s">
        <v>138</v>
      </c>
      <c r="C33" s="1" t="s">
        <v>91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138</v>
      </c>
      <c r="C34" s="1" t="s">
        <v>108</v>
      </c>
      <c r="D34" s="7">
        <v>3</v>
      </c>
      <c r="E34" s="5" t="s">
        <v>8</v>
      </c>
      <c r="F34" s="11" t="s">
        <v>9</v>
      </c>
      <c r="G34" s="11" t="s">
        <v>13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95</v>
      </c>
      <c r="D36" s="4">
        <v>1.5</v>
      </c>
      <c r="E36" s="5" t="s">
        <v>8</v>
      </c>
      <c r="F36" s="11" t="s">
        <v>9</v>
      </c>
      <c r="G36" s="11" t="s">
        <v>14</v>
      </c>
      <c r="H36" s="15"/>
    </row>
    <row r="37" spans="2:8" ht="18.75">
      <c r="B37" s="1" t="s">
        <v>40</v>
      </c>
      <c r="C37" s="1" t="s">
        <v>93</v>
      </c>
      <c r="D37" s="7">
        <v>1</v>
      </c>
      <c r="E37" s="5" t="s">
        <v>8</v>
      </c>
      <c r="F37" s="11" t="s">
        <v>9</v>
      </c>
      <c r="G37" s="11" t="s">
        <v>14</v>
      </c>
      <c r="H37" s="15"/>
    </row>
    <row r="38" spans="2:8" ht="18.75">
      <c r="B38" s="1" t="s">
        <v>40</v>
      </c>
      <c r="C38" s="1" t="s">
        <v>92</v>
      </c>
      <c r="D38" s="7">
        <v>2</v>
      </c>
      <c r="E38" s="5" t="s">
        <v>8</v>
      </c>
      <c r="F38" s="11" t="s">
        <v>12</v>
      </c>
      <c r="G38" s="11" t="s">
        <v>14</v>
      </c>
      <c r="H38" s="15"/>
    </row>
    <row r="39" spans="2:8" ht="18.75">
      <c r="B39" s="1" t="s">
        <v>40</v>
      </c>
      <c r="C39" s="1" t="s">
        <v>120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126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40</v>
      </c>
      <c r="C41" s="1" t="s">
        <v>109</v>
      </c>
      <c r="D41" s="7">
        <v>1</v>
      </c>
      <c r="E41" s="5" t="s">
        <v>8</v>
      </c>
      <c r="F41" s="11" t="s">
        <v>110</v>
      </c>
      <c r="G41" s="11" t="s">
        <v>13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94</v>
      </c>
      <c r="D43" s="8">
        <v>1</v>
      </c>
      <c r="E43" s="4" t="s">
        <v>8</v>
      </c>
      <c r="F43" s="10" t="s">
        <v>9</v>
      </c>
      <c r="G43" s="10" t="s">
        <v>14</v>
      </c>
      <c r="H43" s="45"/>
    </row>
    <row r="44" spans="2:8" ht="18.75">
      <c r="B44" s="1" t="s">
        <v>41</v>
      </c>
      <c r="C44" s="1" t="s">
        <v>95</v>
      </c>
      <c r="D44" s="7">
        <v>1.5</v>
      </c>
      <c r="E44" s="5" t="s">
        <v>8</v>
      </c>
      <c r="F44" s="11" t="s">
        <v>9</v>
      </c>
      <c r="G44" s="11" t="s">
        <v>14</v>
      </c>
      <c r="H44" s="15"/>
    </row>
    <row r="45" spans="2:8" ht="18.75">
      <c r="B45" s="1" t="s">
        <v>41</v>
      </c>
      <c r="C45" s="1" t="s">
        <v>92</v>
      </c>
      <c r="D45" s="7">
        <v>2</v>
      </c>
      <c r="E45" s="5" t="s">
        <v>8</v>
      </c>
      <c r="F45" s="11" t="s">
        <v>12</v>
      </c>
      <c r="G45" s="11" t="s">
        <v>14</v>
      </c>
      <c r="H45" s="15"/>
    </row>
    <row r="46" spans="2:8" ht="18.75">
      <c r="B46" s="1" t="s">
        <v>41</v>
      </c>
      <c r="C46" s="1" t="s">
        <v>120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126</v>
      </c>
      <c r="D47" s="7">
        <v>3</v>
      </c>
      <c r="E47" s="5" t="s">
        <v>8</v>
      </c>
      <c r="F47" s="11" t="s">
        <v>9</v>
      </c>
      <c r="G47" s="11" t="s">
        <v>14</v>
      </c>
      <c r="H47" s="15"/>
    </row>
    <row r="48" spans="2:8" ht="18.75">
      <c r="B48" s="1" t="s">
        <v>41</v>
      </c>
      <c r="C48" s="1" t="s">
        <v>109</v>
      </c>
      <c r="D48" s="7">
        <v>1</v>
      </c>
      <c r="E48" s="5" t="s">
        <v>8</v>
      </c>
      <c r="F48" s="11" t="s">
        <v>9</v>
      </c>
      <c r="G48" s="11" t="s">
        <v>13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96</v>
      </c>
      <c r="D50" s="4">
        <v>1.5</v>
      </c>
      <c r="E50" s="5" t="s">
        <v>8</v>
      </c>
      <c r="F50" s="11" t="s">
        <v>9</v>
      </c>
      <c r="G50" s="11" t="s">
        <v>14</v>
      </c>
      <c r="H50" s="15"/>
    </row>
    <row r="51" spans="2:8" ht="18.75">
      <c r="B51" s="1" t="s">
        <v>82</v>
      </c>
      <c r="C51" s="1" t="s">
        <v>93</v>
      </c>
      <c r="D51" s="7">
        <v>1</v>
      </c>
      <c r="E51" s="5" t="s">
        <v>8</v>
      </c>
      <c r="F51" s="11" t="s">
        <v>9</v>
      </c>
      <c r="G51" s="11" t="s">
        <v>14</v>
      </c>
      <c r="H51" s="15"/>
    </row>
    <row r="52" spans="2:8" ht="18.75">
      <c r="B52" s="1" t="s">
        <v>82</v>
      </c>
      <c r="C52" s="1" t="s">
        <v>92</v>
      </c>
      <c r="D52" s="7">
        <v>2</v>
      </c>
      <c r="E52" s="5" t="s">
        <v>8</v>
      </c>
      <c r="F52" s="11" t="s">
        <v>12</v>
      </c>
      <c r="G52" s="11" t="s">
        <v>14</v>
      </c>
      <c r="H52" s="15"/>
    </row>
    <row r="53" spans="2:8" ht="18.75">
      <c r="B53" s="1" t="s">
        <v>82</v>
      </c>
      <c r="C53" s="1" t="s">
        <v>120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126</v>
      </c>
      <c r="D54" s="7">
        <v>3</v>
      </c>
      <c r="E54" s="5" t="s">
        <v>8</v>
      </c>
      <c r="F54" s="11" t="s">
        <v>9</v>
      </c>
      <c r="G54" s="11" t="s">
        <v>14</v>
      </c>
      <c r="H54" s="15"/>
    </row>
    <row r="55" spans="2:8" ht="18.75">
      <c r="B55" s="1" t="s">
        <v>82</v>
      </c>
      <c r="C55" s="1" t="s">
        <v>109</v>
      </c>
      <c r="D55" s="7">
        <v>1</v>
      </c>
      <c r="E55" s="5" t="s">
        <v>8</v>
      </c>
      <c r="F55" s="11" t="s">
        <v>9</v>
      </c>
      <c r="G55" s="11" t="s">
        <v>13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111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112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93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87</v>
      </c>
      <c r="C60" s="1" t="s">
        <v>113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92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120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126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109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114</v>
      </c>
      <c r="C66" s="1" t="s">
        <v>115</v>
      </c>
      <c r="D66" s="4">
        <v>2</v>
      </c>
      <c r="E66" s="5" t="s">
        <v>8</v>
      </c>
      <c r="F66" s="11" t="s">
        <v>9</v>
      </c>
      <c r="G66" s="11" t="s">
        <v>14</v>
      </c>
      <c r="H66" s="15"/>
    </row>
    <row r="67" spans="2:8" ht="18.75">
      <c r="B67" s="1" t="s">
        <v>114</v>
      </c>
      <c r="C67" s="1" t="s">
        <v>116</v>
      </c>
      <c r="D67" s="7">
        <v>2</v>
      </c>
      <c r="E67" s="5" t="s">
        <v>8</v>
      </c>
      <c r="F67" s="11" t="s">
        <v>9</v>
      </c>
      <c r="G67" s="11" t="s">
        <v>14</v>
      </c>
      <c r="H67" s="15"/>
    </row>
    <row r="68" spans="2:8" ht="18.75">
      <c r="B68" s="1" t="s">
        <v>114</v>
      </c>
      <c r="C68" s="1" t="s">
        <v>117</v>
      </c>
      <c r="D68" s="7">
        <v>2</v>
      </c>
      <c r="E68" s="5" t="s">
        <v>8</v>
      </c>
      <c r="F68" s="11" t="s">
        <v>9</v>
      </c>
      <c r="G68" s="11" t="s">
        <v>14</v>
      </c>
      <c r="H68" s="15"/>
    </row>
    <row r="69" spans="2:8" ht="18.75">
      <c r="B69" s="1" t="s">
        <v>114</v>
      </c>
      <c r="C69" s="1" t="s">
        <v>118</v>
      </c>
      <c r="D69" s="7">
        <v>2</v>
      </c>
      <c r="E69" s="5" t="s">
        <v>8</v>
      </c>
      <c r="F69" s="11" t="s">
        <v>9</v>
      </c>
      <c r="G69" s="11" t="s">
        <v>14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123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14</v>
      </c>
      <c r="H71" s="14" t="s">
        <v>46</v>
      </c>
    </row>
    <row r="72" spans="2:8" ht="18.75">
      <c r="B72" s="1" t="s">
        <v>123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14</v>
      </c>
      <c r="H72" s="15"/>
    </row>
    <row r="73" spans="2:8" ht="18.75">
      <c r="B73" s="1" t="s">
        <v>123</v>
      </c>
      <c r="C73" s="1" t="s">
        <v>99</v>
      </c>
      <c r="D73" s="7">
        <v>4</v>
      </c>
      <c r="E73" s="5" t="s">
        <v>8</v>
      </c>
      <c r="F73" s="11" t="s">
        <v>9</v>
      </c>
      <c r="G73" s="11" t="s">
        <v>14</v>
      </c>
      <c r="H73" s="15"/>
    </row>
    <row r="74" spans="2:8" ht="18.75">
      <c r="B74" s="1" t="s">
        <v>123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14</v>
      </c>
      <c r="H74" s="15" t="s">
        <v>49</v>
      </c>
    </row>
    <row r="75" spans="2:8" ht="18.75">
      <c r="B75" s="1" t="s">
        <v>123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14</v>
      </c>
      <c r="H75" s="15" t="s">
        <v>121</v>
      </c>
    </row>
    <row r="76" spans="2:8" ht="18.75">
      <c r="B76" s="1" t="s">
        <v>123</v>
      </c>
      <c r="C76" s="1" t="s">
        <v>97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107</v>
      </c>
    </row>
    <row r="77" spans="2:8" ht="18.75">
      <c r="B77" s="1" t="s">
        <v>123</v>
      </c>
      <c r="C77" s="1" t="s">
        <v>98</v>
      </c>
      <c r="D77" s="7">
        <v>3</v>
      </c>
      <c r="E77" s="5" t="s">
        <v>8</v>
      </c>
      <c r="F77" s="11" t="s">
        <v>12</v>
      </c>
      <c r="G77" s="11" t="s">
        <v>13</v>
      </c>
      <c r="H77" s="15"/>
    </row>
    <row r="78" spans="2:8" ht="18.75">
      <c r="B78" s="1" t="s">
        <v>123</v>
      </c>
      <c r="C78" s="1" t="s">
        <v>157</v>
      </c>
      <c r="D78" s="7">
        <v>2</v>
      </c>
      <c r="E78" s="5" t="s">
        <v>8</v>
      </c>
      <c r="F78" s="11" t="s">
        <v>17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51</v>
      </c>
      <c r="C80" s="3" t="s">
        <v>74</v>
      </c>
      <c r="D80" s="8">
        <v>2</v>
      </c>
      <c r="E80" s="4" t="s">
        <v>8</v>
      </c>
      <c r="F80" s="10" t="s">
        <v>9</v>
      </c>
      <c r="G80" s="10" t="s">
        <v>14</v>
      </c>
      <c r="H80" s="14"/>
    </row>
    <row r="81" spans="2:8" ht="18.75">
      <c r="B81" s="1" t="s">
        <v>75</v>
      </c>
      <c r="C81" s="1" t="s">
        <v>76</v>
      </c>
      <c r="D81" s="7">
        <v>2</v>
      </c>
      <c r="E81" s="5" t="s">
        <v>8</v>
      </c>
      <c r="F81" s="11" t="s">
        <v>9</v>
      </c>
      <c r="G81" s="11" t="s">
        <v>14</v>
      </c>
      <c r="H81" s="15"/>
    </row>
    <row r="82" spans="2:8" ht="18.75">
      <c r="B82" s="1" t="s">
        <v>51</v>
      </c>
      <c r="C82" s="1" t="s">
        <v>73</v>
      </c>
      <c r="D82" s="7">
        <v>2</v>
      </c>
      <c r="E82" s="5" t="s">
        <v>8</v>
      </c>
      <c r="F82" s="11" t="s">
        <v>12</v>
      </c>
      <c r="G82" s="11" t="s">
        <v>14</v>
      </c>
      <c r="H82" s="15"/>
    </row>
    <row r="83" spans="2:8" ht="18.75">
      <c r="B83" s="1" t="s">
        <v>51</v>
      </c>
      <c r="C83" s="1" t="s">
        <v>53</v>
      </c>
      <c r="D83" s="7">
        <v>2</v>
      </c>
      <c r="E83" s="5" t="s">
        <v>8</v>
      </c>
      <c r="F83" s="11" t="s">
        <v>12</v>
      </c>
      <c r="G83" s="11" t="s">
        <v>14</v>
      </c>
      <c r="H83" s="15"/>
    </row>
    <row r="84" spans="2:8" ht="18.75">
      <c r="B84" s="1" t="s">
        <v>51</v>
      </c>
      <c r="C84" s="1" t="s">
        <v>129</v>
      </c>
      <c r="D84" s="7">
        <v>0.5</v>
      </c>
      <c r="E84" s="5" t="s">
        <v>8</v>
      </c>
      <c r="F84" s="11" t="s">
        <v>9</v>
      </c>
      <c r="G84" s="11" t="s">
        <v>13</v>
      </c>
      <c r="H84" s="15"/>
    </row>
    <row r="85" spans="2:8" ht="18.75">
      <c r="B85" s="2"/>
      <c r="C85" s="2"/>
      <c r="D85" s="7"/>
      <c r="E85" s="6"/>
      <c r="F85" s="12"/>
      <c r="G85" s="12"/>
      <c r="H85" s="16"/>
    </row>
    <row r="86" spans="2:8" ht="18.75">
      <c r="B86" s="1" t="s">
        <v>55</v>
      </c>
      <c r="C86" s="1" t="s">
        <v>56</v>
      </c>
      <c r="D86" s="4">
        <v>1</v>
      </c>
      <c r="E86" s="5" t="s">
        <v>8</v>
      </c>
      <c r="F86" s="11" t="s">
        <v>17</v>
      </c>
      <c r="G86" s="11" t="s">
        <v>10</v>
      </c>
      <c r="H86" s="15"/>
    </row>
    <row r="87" spans="2:8" ht="18.75">
      <c r="B87" s="1" t="s">
        <v>55</v>
      </c>
      <c r="C87" s="1" t="s">
        <v>57</v>
      </c>
      <c r="D87" s="7">
        <v>0.5</v>
      </c>
      <c r="E87" s="5" t="s">
        <v>8</v>
      </c>
      <c r="F87" s="11" t="s">
        <v>9</v>
      </c>
      <c r="G87" s="11" t="s">
        <v>14</v>
      </c>
      <c r="H87" s="15"/>
    </row>
    <row r="88" spans="2:8" ht="18.75">
      <c r="B88" s="1" t="s">
        <v>55</v>
      </c>
      <c r="C88" s="1" t="s">
        <v>58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144</v>
      </c>
      <c r="D89" s="7">
        <v>1</v>
      </c>
      <c r="E89" s="5" t="s">
        <v>15</v>
      </c>
      <c r="F89" s="11" t="s">
        <v>12</v>
      </c>
      <c r="G89" s="11" t="s">
        <v>10</v>
      </c>
      <c r="H89" s="15"/>
    </row>
    <row r="90" spans="2:8" ht="18.75">
      <c r="B90" s="1" t="s">
        <v>55</v>
      </c>
      <c r="C90" s="1" t="s">
        <v>129</v>
      </c>
      <c r="D90" s="7">
        <v>0.5</v>
      </c>
      <c r="E90" s="5" t="s">
        <v>8</v>
      </c>
      <c r="F90" s="11" t="s">
        <v>9</v>
      </c>
      <c r="G90" s="11" t="s">
        <v>13</v>
      </c>
      <c r="H90" s="15"/>
    </row>
    <row r="91" spans="2:8" ht="18.75">
      <c r="B91" s="1"/>
      <c r="C91" s="1"/>
      <c r="D91" s="7"/>
      <c r="E91" s="5"/>
      <c r="F91" s="11"/>
      <c r="G91" s="11"/>
      <c r="H91" s="15"/>
    </row>
    <row r="92" spans="2:8" ht="18.75">
      <c r="B92" s="3" t="s">
        <v>128</v>
      </c>
      <c r="C92" s="3" t="s">
        <v>129</v>
      </c>
      <c r="D92" s="8">
        <v>0.5</v>
      </c>
      <c r="E92" s="4" t="s">
        <v>8</v>
      </c>
      <c r="F92" s="10" t="s">
        <v>9</v>
      </c>
      <c r="G92" s="10" t="s">
        <v>13</v>
      </c>
      <c r="H92" s="14"/>
    </row>
    <row r="93" spans="2:8" ht="18.75">
      <c r="B93" s="1" t="s">
        <v>127</v>
      </c>
      <c r="C93" s="1" t="s">
        <v>57</v>
      </c>
      <c r="D93" s="7">
        <v>0.5</v>
      </c>
      <c r="E93" s="5" t="s">
        <v>8</v>
      </c>
      <c r="F93" s="11" t="s">
        <v>9</v>
      </c>
      <c r="G93" s="11" t="s">
        <v>14</v>
      </c>
      <c r="H93" s="15"/>
    </row>
    <row r="94" spans="2:8" ht="18.75">
      <c r="B94" s="1" t="s">
        <v>127</v>
      </c>
      <c r="C94" s="1" t="s">
        <v>133</v>
      </c>
      <c r="D94" s="7">
        <v>1</v>
      </c>
      <c r="E94" s="5" t="s">
        <v>15</v>
      </c>
      <c r="F94" s="11" t="s">
        <v>12</v>
      </c>
      <c r="G94" s="11" t="s">
        <v>10</v>
      </c>
      <c r="H94" s="15"/>
    </row>
    <row r="95" spans="2:8" ht="18.75">
      <c r="B95" s="1" t="s">
        <v>128</v>
      </c>
      <c r="C95" s="49" t="s">
        <v>131</v>
      </c>
      <c r="D95" s="7">
        <v>1</v>
      </c>
      <c r="E95" s="5" t="s">
        <v>19</v>
      </c>
      <c r="F95" s="11" t="s">
        <v>12</v>
      </c>
      <c r="G95" s="11" t="s">
        <v>10</v>
      </c>
      <c r="H95" s="15" t="s">
        <v>132</v>
      </c>
    </row>
    <row r="96" spans="2:8" ht="18.75">
      <c r="B96" s="1" t="s">
        <v>128</v>
      </c>
      <c r="C96" s="53" t="s">
        <v>158</v>
      </c>
      <c r="D96" s="52">
        <v>1</v>
      </c>
      <c r="E96" s="52" t="s">
        <v>8</v>
      </c>
      <c r="F96" s="52" t="s">
        <v>12</v>
      </c>
      <c r="G96" s="5" t="s">
        <v>14</v>
      </c>
      <c r="H96" s="15" t="s">
        <v>145</v>
      </c>
    </row>
    <row r="97" spans="2:8" ht="18.75">
      <c r="B97" s="1"/>
      <c r="C97" s="1"/>
      <c r="D97" s="7"/>
      <c r="E97" s="5"/>
      <c r="F97" s="11"/>
      <c r="G97" s="11"/>
      <c r="H97" s="15"/>
    </row>
    <row r="98" spans="2:8" ht="18.75">
      <c r="B98" s="3" t="s">
        <v>59</v>
      </c>
      <c r="C98" s="3" t="s">
        <v>60</v>
      </c>
      <c r="D98" s="4">
        <v>2</v>
      </c>
      <c r="E98" s="4" t="s">
        <v>11</v>
      </c>
      <c r="F98" s="4" t="s">
        <v>9</v>
      </c>
      <c r="G98" s="10" t="s">
        <v>10</v>
      </c>
      <c r="H98" s="14" t="s">
        <v>61</v>
      </c>
    </row>
    <row r="99" spans="2:8" ht="18.75">
      <c r="B99" s="1" t="s">
        <v>59</v>
      </c>
      <c r="C99" s="1" t="s">
        <v>62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59</v>
      </c>
      <c r="C100" s="1" t="s">
        <v>63</v>
      </c>
      <c r="D100" s="7">
        <v>1</v>
      </c>
      <c r="E100" s="5" t="s">
        <v>8</v>
      </c>
      <c r="F100" s="11" t="s">
        <v>9</v>
      </c>
      <c r="G100" s="11" t="s">
        <v>10</v>
      </c>
      <c r="H100" s="15" t="s">
        <v>81</v>
      </c>
    </row>
    <row r="101" spans="2:8" ht="18.75">
      <c r="B101" s="1" t="s">
        <v>59</v>
      </c>
      <c r="C101" s="1" t="s">
        <v>57</v>
      </c>
      <c r="D101" s="7">
        <v>0.5</v>
      </c>
      <c r="E101" s="5" t="s">
        <v>8</v>
      </c>
      <c r="F101" s="11" t="s">
        <v>9</v>
      </c>
      <c r="G101" s="11" t="s">
        <v>10</v>
      </c>
      <c r="H101" s="15"/>
    </row>
    <row r="102" spans="2:8" ht="18.75">
      <c r="B102" s="1" t="s">
        <v>59</v>
      </c>
      <c r="C102" s="1" t="s">
        <v>58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1" t="s">
        <v>59</v>
      </c>
      <c r="C103" s="1" t="s">
        <v>144</v>
      </c>
      <c r="D103" s="7">
        <v>1</v>
      </c>
      <c r="E103" s="5" t="s">
        <v>15</v>
      </c>
      <c r="F103" s="11" t="s">
        <v>12</v>
      </c>
      <c r="G103" s="11" t="s">
        <v>10</v>
      </c>
      <c r="H103" s="15"/>
    </row>
    <row r="104" spans="2:8" ht="18.75">
      <c r="B104" s="2"/>
      <c r="C104" s="2"/>
      <c r="D104" s="7"/>
      <c r="E104" s="6"/>
      <c r="F104" s="12"/>
      <c r="G104" s="12"/>
      <c r="H104" s="16"/>
    </row>
    <row r="105" spans="2:8" ht="18.75">
      <c r="B105" s="1" t="s">
        <v>143</v>
      </c>
      <c r="C105" s="3" t="s">
        <v>109</v>
      </c>
      <c r="D105" s="8">
        <v>0.5</v>
      </c>
      <c r="E105" s="4" t="s">
        <v>8</v>
      </c>
      <c r="F105" s="10" t="s">
        <v>9</v>
      </c>
      <c r="G105" s="10" t="s">
        <v>13</v>
      </c>
      <c r="H105" s="15"/>
    </row>
    <row r="106" spans="2:8" ht="18.75">
      <c r="B106" s="1" t="s">
        <v>142</v>
      </c>
      <c r="C106" s="1" t="s">
        <v>57</v>
      </c>
      <c r="D106" s="7">
        <v>0.5</v>
      </c>
      <c r="E106" s="5" t="s">
        <v>8</v>
      </c>
      <c r="F106" s="11" t="s">
        <v>9</v>
      </c>
      <c r="G106" s="11" t="s">
        <v>14</v>
      </c>
      <c r="H106" s="15"/>
    </row>
    <row r="107" spans="2:8" ht="18.75">
      <c r="B107" s="1" t="s">
        <v>142</v>
      </c>
      <c r="C107" s="1" t="s">
        <v>58</v>
      </c>
      <c r="D107" s="7">
        <v>1</v>
      </c>
      <c r="E107" s="5" t="s">
        <v>15</v>
      </c>
      <c r="F107" s="11" t="s">
        <v>12</v>
      </c>
      <c r="G107" s="11" t="s">
        <v>10</v>
      </c>
      <c r="H107" s="15"/>
    </row>
    <row r="108" spans="2:8" ht="18.75">
      <c r="B108" s="1" t="s">
        <v>142</v>
      </c>
      <c r="C108" s="1" t="s">
        <v>144</v>
      </c>
      <c r="D108" s="7">
        <v>1</v>
      </c>
      <c r="E108" s="5" t="s">
        <v>15</v>
      </c>
      <c r="F108" s="11" t="s">
        <v>12</v>
      </c>
      <c r="G108" s="11" t="s">
        <v>10</v>
      </c>
      <c r="H108" s="15" t="s">
        <v>146</v>
      </c>
    </row>
    <row r="109" spans="2:8" ht="18.75">
      <c r="B109" s="1" t="s">
        <v>142</v>
      </c>
      <c r="C109" s="1" t="s">
        <v>109</v>
      </c>
      <c r="D109" s="7">
        <v>0.5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2"/>
      <c r="C110" s="2"/>
      <c r="D110" s="9"/>
      <c r="E110" s="6"/>
      <c r="F110" s="12"/>
      <c r="G110" s="12"/>
      <c r="H110" s="16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/>
    <row r="124" spans="3:8" ht="18.75"/>
    <row r="125" spans="3:8" ht="18.75"/>
    <row r="126" spans="3:8" ht="18.75"/>
    <row r="127" spans="3:8" ht="18.75">
      <c r="C127"/>
      <c r="D127" s="7"/>
      <c r="H127" s="13"/>
    </row>
    <row r="128" spans="3:8" ht="18.75">
      <c r="C128"/>
      <c r="D128" s="7"/>
      <c r="H128" s="13"/>
    </row>
    <row r="129" spans="3:8" ht="18.75"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  <row r="133" spans="3:8" ht="18.75">
      <c r="C133"/>
      <c r="D133" s="7"/>
      <c r="H133" s="13"/>
    </row>
  </sheetData>
  <autoFilter ref="E2:G133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G127:G128 G130:G1048576 G1:G26 G28:G122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F127:F128 F130:F1048576 F1:F26 F28:F122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E127:E128 E130:E1048576 E1:E26 E28:E122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workbookViewId="0">
      <selection activeCell="H9" sqref="H9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122</v>
      </c>
      <c r="D2" s="50" t="s">
        <v>103</v>
      </c>
      <c r="E2" s="50" t="s">
        <v>140</v>
      </c>
      <c r="F2" s="50" t="s">
        <v>141</v>
      </c>
      <c r="G2" s="37" t="s">
        <v>66</v>
      </c>
      <c r="I2" s="30" t="s">
        <v>20</v>
      </c>
      <c r="J2" s="29">
        <f>SUM(C:C)</f>
        <v>181.5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37.5</v>
      </c>
      <c r="D3" s="51">
        <f>SUMIFS(コスト表!D:D, コスト表!B:B, "プレイヤー", コスト表!G:G, "完了")</f>
        <v>28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5.5</v>
      </c>
      <c r="G3" s="40">
        <f>ROUNDDOWN(COUNTIFS(コスト表!B:B, "プレイヤー", コスト表!G:G, "完了") / COUNTIF(コスト表!B:B, "プレイヤー") * 100,1)</f>
        <v>75</v>
      </c>
      <c r="I3" s="31" t="s">
        <v>21</v>
      </c>
      <c r="J3" s="29">
        <f>SUMIF(コスト表!G:G,"完了",コスト表!D:D)</f>
        <v>106</v>
      </c>
      <c r="K3" s="28" t="s">
        <v>22</v>
      </c>
      <c r="M3" s="28"/>
    </row>
    <row r="4" spans="2:13" ht="19.5">
      <c r="B4" s="1" t="s">
        <v>138</v>
      </c>
      <c r="C4" s="19">
        <f>SUMIF(コスト表!B:B, B4, コスト表!D:D)</f>
        <v>27</v>
      </c>
      <c r="D4" s="51">
        <f>SUMIFS(コスト表!D:D, コスト表!B:B, "敵ベース", コスト表!G:G, "完了")</f>
        <v>21</v>
      </c>
      <c r="E4" s="51">
        <f>SUMIFS(コスト表!D:D, コスト表!B:B, "敵ベース", コスト表!G:G, "作業中")</f>
        <v>3</v>
      </c>
      <c r="F4" s="51">
        <f>SUMIFS(コスト表!D:D, コスト表!B:B, "敵ベース", コスト表!G:G, "未着手")</f>
        <v>3</v>
      </c>
      <c r="G4" s="40">
        <f>ROUNDDOWN(COUNTIFS(コスト表!B:B, "敵ベース", コスト表!G:G, "完了") / COUNTIF(コスト表!B:B, "敵ベース") * 100,1)</f>
        <v>71.400000000000006</v>
      </c>
      <c r="I4" s="32" t="s">
        <v>23</v>
      </c>
      <c r="J4" s="29">
        <f ca="1">NETWORKDAYS(J5,J6)</f>
        <v>54</v>
      </c>
      <c r="K4" s="29">
        <f ca="1" xml:space="preserve"> ROUNDDOWN(J3 / J4,1)</f>
        <v>1.9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7.5</v>
      </c>
      <c r="E5" s="51">
        <f>SUMIFS(コスト表!D:D, コスト表!B:B, "敵1(通常ゾンビ)", コスト表!G:G, "作業中")</f>
        <v>1</v>
      </c>
      <c r="F5" s="51">
        <f>SUMIFS(コスト表!D:D, コスト表!B:B, "敵1(通常ゾンビ)", コスト表!G:G, "未着手")</f>
        <v>2</v>
      </c>
      <c r="G5" s="40">
        <f>ROUNDDOWN(COUNTIFS(コスト表!B:B, "敵1(通常ゾンビ)", コスト表!G:G, "完了") / COUNTIF(コスト表!B:B, "敵1(通常ゾンビ)") * 100,1)</f>
        <v>66.599999999999994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10.5</v>
      </c>
      <c r="D6" s="51">
        <f>SUMIFS(コスト表!D:D, コスト表!B:B, "敵2(ランナーゾンビ)", コスト表!G:G, "完了")</f>
        <v>7.5</v>
      </c>
      <c r="E6" s="51">
        <f>SUMIFS(コスト表!D:D, コスト表!B:B, "敵2(ランナーゾンビ)", コスト表!G:G, "作業中")</f>
        <v>1</v>
      </c>
      <c r="F6" s="51">
        <f>SUMIFS(コスト表!D:D,コスト表!B:B,"敵2(ランナーゾンビ)",コスト表!G:G,"未着手")</f>
        <v>2</v>
      </c>
      <c r="G6" s="40">
        <f>ROUNDDOWN(COUNTIFS(コスト表!B:B, "敵2(ランナーゾンビ)", コスト表!G:G, "完了") / COUNTIF(コスト表!B:B, "敵2(ランナーゾンビ)") * 100,1)</f>
        <v>66.599999999999994</v>
      </c>
      <c r="I6" s="34" t="s">
        <v>25</v>
      </c>
      <c r="J6" s="46">
        <f ca="1">TODAY()</f>
        <v>45854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7.5</v>
      </c>
      <c r="E7" s="51">
        <f>SUMIFS(コスト表!D:D, コスト表!B:B, "敵3(遠距離型ゾンビ)", コスト表!G:G, "作業中")</f>
        <v>1</v>
      </c>
      <c r="F7" s="51">
        <f>SUMIFS(コスト表!D:D, コスト表!B:B, "敵3(遠距離型ゾンビ)", コスト表!G:G, "未着手")</f>
        <v>2</v>
      </c>
      <c r="G7" s="40">
        <f>ROUNDDOWN(COUNTIFS(コスト表!B:B, "敵3(遠距離型ゾンビ)", コスト表!G:G, "完了") / COUNTIF(コスト表!B:B, "敵3(遠距離型ゾンビ)") * 100,1)</f>
        <v>66.599999999999994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119</v>
      </c>
      <c r="C9" s="19">
        <f>SUMIF(コスト表!B:B, B9, コスト表!D:D)</f>
        <v>8</v>
      </c>
      <c r="D9" s="51">
        <f>SUMIFS(コスト表!D:D, コスト表!B:B, "マップ", コスト表!G:G, "完了")</f>
        <v>8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0</v>
      </c>
      <c r="G9" s="40">
        <f>ROUNDDOWN(COUNTIFS(コスト表!B:B, "マップ", コスト表!G:G, "完了") / COUNTIF(コスト表!B:B, "マップ") * 100,1)</f>
        <v>100</v>
      </c>
      <c r="I9" s="55" t="s">
        <v>65</v>
      </c>
      <c r="J9" s="61">
        <f>DATE(2025,7,23)</f>
        <v>45861</v>
      </c>
      <c r="K9" s="57">
        <f ca="1">NETWORKDAYS(TODAY(),J9)</f>
        <v>6</v>
      </c>
      <c r="L9" s="59">
        <f ca="1">ROUNDDOWN(($J$2-$J$3)/K9, 1)</f>
        <v>12.5</v>
      </c>
    </row>
    <row r="10" spans="2:13" ht="19.5">
      <c r="B10" s="18" t="s">
        <v>123</v>
      </c>
      <c r="C10" s="19">
        <f>SUMIF(コスト表!B:B, B10, コスト表!D:D)</f>
        <v>27</v>
      </c>
      <c r="D10" s="51">
        <f>SUMIFS(コスト表!D:D, コスト表!B:B, "ウェーブ管理", コスト表!G:G, "完了")</f>
        <v>16</v>
      </c>
      <c r="E10" s="51">
        <f>SUMIFS(コスト表!D:D, コスト表!B:B, "ウェーブ管理", コスト表!G:G, "作業中")</f>
        <v>3</v>
      </c>
      <c r="F10" s="51">
        <f>SUMIFS(コスト表!D:D, コスト表!B:B, "ウェーブ管理", コスト表!G:G, "未着手")</f>
        <v>8</v>
      </c>
      <c r="G10" s="40">
        <f>ROUNDDOWN(COUNTIFS(コスト表!B:B, "ウェーブ管理", コスト表!G:G, "完了") / COUNTIF(コスト表!B:B, "ウェーブ管理") * 100,1)</f>
        <v>62.5</v>
      </c>
      <c r="I10" s="30" t="s">
        <v>28</v>
      </c>
      <c r="J10" s="62">
        <f>DATE(2025,8,7)</f>
        <v>45876</v>
      </c>
      <c r="K10" s="58">
        <f ca="1">NETWORKDAYS(TODAY(),J10)</f>
        <v>17</v>
      </c>
      <c r="L10" s="60">
        <f ca="1">ROUNDDOWN(($J$2 - $J$3) / K10,1)</f>
        <v>4.4000000000000004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8</v>
      </c>
      <c r="E11" s="51">
        <f>SUMIFS(コスト表!D:D, コスト表!B:B, "アイテム", コスト表!G:G, "作業中")</f>
        <v>0.5</v>
      </c>
      <c r="F11" s="51">
        <f>SUMIFS(コスト表!D:D, コスト表!B:B, "アイテム", コスト表!G:G, "未着手")</f>
        <v>0</v>
      </c>
      <c r="G11" s="40">
        <f>ROUNDDOWN(COUNTIFS(コスト表!B:B, "アイテム", コスト表!G:G, "完了") / COUNTIF(コスト表!B:B, "アイテム") * 100,1)</f>
        <v>80</v>
      </c>
      <c r="I11" s="31" t="s">
        <v>29</v>
      </c>
      <c r="J11" s="62">
        <f>DATE(2025,8,14)</f>
        <v>45883</v>
      </c>
      <c r="K11" s="58">
        <f ca="1">NETWORKDAYS(TODAY(),J11)</f>
        <v>22</v>
      </c>
      <c r="L11" s="60">
        <f ca="1">ROUNDDOWN(($J$2 - $J$3) / K11,1)</f>
        <v>3.4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0.5</v>
      </c>
      <c r="F12" s="51">
        <f>SUMIFS(コスト表!D:D, コスト表!B:B, "タイトル", コスト表!G:G, "未着手")</f>
        <v>3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34</v>
      </c>
      <c r="L12" s="60">
        <f ca="1">ROUNDDOWN(($J$2 - $J$3) / K12,1)</f>
        <v>2.2000000000000002</v>
      </c>
    </row>
    <row r="13" spans="2:13">
      <c r="B13" s="18" t="s">
        <v>130</v>
      </c>
      <c r="C13" s="19">
        <f>SUMIF(コスト表!B:B, B13, コスト表!D:D)</f>
        <v>4</v>
      </c>
      <c r="D13" s="51">
        <f>SUMIFS(コスト表!D:D, コスト表!B:B, "リザルト", コスト表!G:G, "完了")</f>
        <v>1.5</v>
      </c>
      <c r="E13" s="51">
        <f>SUMIFS(コスト表!D:D, コスト表!B:B, "リザルト", コスト表!G:G, "作業中")</f>
        <v>0.5</v>
      </c>
      <c r="F13" s="51">
        <f>SUMIFS(コスト表!D:D, コスト表!B:B, "リザルト", コスト表!G:G, "未着手")</f>
        <v>2</v>
      </c>
      <c r="G13" s="40">
        <f>ROUNDDOWN(COUNTIFS(コスト表!B:B, "リザルト", コスト表!G:G, "完了") / COUNTIF(コスト表!B:B, "リザルト") * 100,1)</f>
        <v>40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103</v>
      </c>
      <c r="L14" s="42" t="s">
        <v>69</v>
      </c>
    </row>
    <row r="15" spans="2:13">
      <c r="B15" s="41" t="s">
        <v>147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0.5</v>
      </c>
      <c r="E15" s="66">
        <f>SUMIFS(コスト表!D:D, コスト表!B:B, "ゲームオーバー", コスト表!G:G, "作業中")</f>
        <v>0.5</v>
      </c>
      <c r="F15" s="66">
        <f>SUMIFS(コスト表!D:D, コスト表!B:B, "ゲームオーバー", コスト表!G:G, "未着手")</f>
        <v>2.5</v>
      </c>
      <c r="G15" s="43">
        <f>ROUNDDOWN(COUNTIFS(コスト表!B:B, "ゲームオーバー", コスト表!G:G, "完了") / COUNTIF(コスト表!B:B, "ゲームオーバー") * 100,1)</f>
        <v>20</v>
      </c>
      <c r="I15" s="43" t="s">
        <v>9</v>
      </c>
      <c r="J15" s="43">
        <f>SUMIF(コスト表!F:F, "プロト", コスト表!D:D)</f>
        <v>126</v>
      </c>
      <c r="K15" s="43">
        <f>SUMIFS(コスト表!D:D, コスト表!F:F, "プロト", コスト表!G:G, "完了")</f>
        <v>87</v>
      </c>
      <c r="L15" s="43">
        <f>ROUNDDOWN(COUNTIFS(コスト表!F:F, "プロト", コスト表!G:G, "完了") / COUNTIF(コスト表!F:F, "プロト") * 100,1)</f>
        <v>65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54.1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19</v>
      </c>
      <c r="L16" s="43">
        <f>ROUNDDOWN(COUNTIFS(コスト表!F:F, "アルファ", コスト表!G:G, "完了") / COUNTIF(コスト表!F:F, "アルファ") * 100,1)</f>
        <v>39.299999999999997</v>
      </c>
    </row>
    <row r="17" spans="3:12">
      <c r="I17" s="43" t="s">
        <v>17</v>
      </c>
      <c r="J17" s="43">
        <f>SUMIF(コスト表!F:F, "ベータ", コスト表!D:D)</f>
        <v>3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148</v>
      </c>
    </row>
    <row r="9" spans="2:6">
      <c r="B9" s="63" t="s">
        <v>134</v>
      </c>
    </row>
    <row r="10" spans="2:6">
      <c r="B10" s="63" t="s">
        <v>135</v>
      </c>
    </row>
    <row r="11" spans="2:6">
      <c r="B11" s="63" t="s">
        <v>136</v>
      </c>
    </row>
    <row r="12" spans="2:6">
      <c r="B12" s="64" t="s">
        <v>137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2025-07-16T07:38:45Z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