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27DB895B-9885-459C-A5E8-0FD1EDC9A836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<sst xmlns="http://schemas.openxmlformats.org/spreadsheetml/2006/main" count="557" uniqueCount="157">
  <si>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</si>
  <si>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</si>
  <si>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</si>
  <si>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</si>
  <si>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</si>
  <si>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</si>
  <si>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</si>
  <si>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</si>
  <si>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</si>
  <si>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</si>
  <si>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</si>
  <si>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</si>
  <si>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</si>
  <si>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</si>
  <si>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</si>
  <si>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</si>
  <si>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</si>
  <si>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</si>
  <si>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</si>
  <si>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</si>
  <si>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</si>
  <si>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</si>
  <si>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</si>
  <si>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</si>
  <si>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</si>
  <si>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</si>
  <si>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</si>
  <si>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</si>
  <si>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</si>
  <si>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</si>
  <si>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</si>
  <si>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</si>
  <si>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</si>
  <si>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</si>
  <si>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</si>
  <si>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</si>
  <si>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</si>
  <si>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</si>
  <si>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</si>
  <si>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</si>
  <si>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</si>
  <si>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</si>
  <si>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</si>
  <si>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</si>
  <si>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</si>
  <si>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</si>
  <si>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</si>
  <si>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</si>
  <si>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</si>
  <si>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</si>
  <si>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</si>
  <si>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</si>
  <si>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</si>
  <si>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</si>
  <si>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</si>
  <si>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</si>
  <si>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</si>
  <si>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</si>
  <si>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</si>
  <si>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</si>
  <si>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</si>
  <si>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</si>
  <si>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</si>
  <si>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</si>
  <si>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</si>
  <si>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</si>
  <si>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</si>
  <si>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</si>
  <si>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</si>
  <si>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</si>
  <si>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</si>
  <si>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</si>
  <si>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</si>
  <si>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</si>
  <si>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</si>
  <si>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</si>
  <si>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</si>
  <si>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</si>
  <si>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</si>
  <si>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</si>
  <si>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</si>
  <si>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</si>
  <si>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</si>
  <si>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</si>
  <si>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</si>
  <si>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</si>
  <si>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</si>
  <si>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</si>
  <si>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</si>
  <si>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</si>
  <si>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</si>
  <si>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</si>
  <si>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</si>
  <si>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</si>
  <si>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</si>
  <si>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</si>
  <si>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</si>
  <si>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</si>
  <si>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</si>
  <si>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</si>
  <si>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</si>
  <si>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</si>
  <si>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</si>
  <si>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</si>
  <si>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</si>
  <si>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</si>
  <si>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</si>
  <si>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</si>
  <si>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</si>
  <si>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</si>
  <si>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</si>
  <si>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</si>
  <si>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</si>
  <si>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</si>
  <si>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</si>
  <si>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</si>
  <si>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</si>
  <si>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</si>
  <si>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</si>
  <si>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</si>
  <si>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</si>
  <si>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</si>
  <si>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</si>
  <si>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</si>
  <si>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</si>
  <si>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</si>
  <si>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</si>
  <si>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</si>
  <si>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</si>
  <si>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</si>
  <si>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</si>
  <si>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</si>
  <si>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</si>
  <si>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</si>
  <si>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</si>
  <si>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</si>
  <si>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</si>
  <si>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</si>
  <si>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</si>
  <si>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</si>
  <si>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</si>
  <si>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</si>
  <si>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</si>
  <si>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</si>
  <si>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</si>
  <si>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</si>
  <si>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</si>
  <si>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</si>
  <si>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</si>
  <si>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</si>
  <si>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</si>
  <si>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</si>
  <si>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</si>
  <si>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</si>
  <si>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</si>
  <si>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</si>
  <si>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移動、攻撃、死亡などの状態管理</t>
    <rPh sb="0" eb="2">
      <t>イドウ</t>
    </rPh>
    <rPh sb="3" eb="5">
      <t>コウゲキ</t>
    </rPh>
    <rPh sb="6" eb="8">
      <t>シボウ</t>
    </rPh>
    <rPh sb="11" eb="15">
      <t>ジョウタイカンリ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</si>
</sst>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3" activePane="bottomLeft" state="frozen"/>
      <selection pane="bottomLeft" activeCell="C38" sqref="C3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101</v>
      </c>
      <c r="C5" s="1" t="s">
        <v>106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151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141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155</v>
      </c>
      <c r="C11" s="1" t="s">
        <v>154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153</v>
      </c>
    </row>
    <row r="13" spans="2:8" ht="18.75">
      <c r="B13" s="1" t="s">
        <v>78</v>
      </c>
      <c r="C13" s="1" t="s">
        <v>126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127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101</v>
      </c>
      <c r="C15" s="1" t="s">
        <v>102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101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103</v>
      </c>
    </row>
    <row r="17" spans="2:8" ht="18.75">
      <c r="B17" s="1" t="s">
        <v>101</v>
      </c>
      <c r="C17" s="1" t="s">
        <v>105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152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101</v>
      </c>
      <c r="C25" s="1" t="s">
        <v>107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108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140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140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14</v>
      </c>
      <c r="H29" s="15" t="s">
        <v>156</v>
      </c>
    </row>
    <row r="30" spans="2:8" ht="18.75">
      <c r="B30" s="1" t="s">
        <v>140</v>
      </c>
      <c r="C30" s="1" t="s">
        <v>86</v>
      </c>
      <c r="D30" s="7">
        <v>6</v>
      </c>
      <c r="E30" s="5" t="s">
        <v>8</v>
      </c>
      <c r="F30" s="11" t="s">
        <v>9</v>
      </c>
      <c r="G30" s="11" t="s">
        <v>13</v>
      </c>
      <c r="H30" s="15" t="s">
        <v>87</v>
      </c>
    </row>
    <row r="31" spans="2:8" ht="18.75">
      <c r="B31" s="1" t="s">
        <v>140</v>
      </c>
      <c r="C31" s="1" t="s">
        <v>89</v>
      </c>
      <c r="D31" s="7">
        <v>2</v>
      </c>
      <c r="E31" s="5" t="s">
        <v>8</v>
      </c>
      <c r="F31" s="11" t="s">
        <v>9</v>
      </c>
      <c r="G31" s="11" t="s">
        <v>14</v>
      </c>
      <c r="H31" s="15"/>
    </row>
    <row r="32" spans="2:8" ht="18.75">
      <c r="B32" s="1" t="s">
        <v>140</v>
      </c>
      <c r="C32" s="1" t="s">
        <v>90</v>
      </c>
      <c r="D32" s="7">
        <v>4</v>
      </c>
      <c r="E32" s="5" t="s">
        <v>8</v>
      </c>
      <c r="F32" s="11" t="s">
        <v>12</v>
      </c>
      <c r="G32" s="11" t="s">
        <v>14</v>
      </c>
      <c r="H32" s="15" t="s">
        <v>91</v>
      </c>
    </row>
    <row r="33" spans="2:8" ht="18.75">
      <c r="B33" s="1" t="s">
        <v>140</v>
      </c>
      <c r="C33" s="1" t="s">
        <v>92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140</v>
      </c>
      <c r="C34" s="1" t="s">
        <v>110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96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94</v>
      </c>
      <c r="D37" s="7">
        <v>1</v>
      </c>
      <c r="E37" s="5" t="s">
        <v>8</v>
      </c>
      <c r="F37" s="11" t="s">
        <v>9</v>
      </c>
      <c r="G37" s="11" t="s">
        <v>14</v>
      </c>
      <c r="H37" s="15"/>
    </row>
    <row r="38" spans="2:8" ht="18.75">
      <c r="B38" s="1" t="s">
        <v>40</v>
      </c>
      <c r="C38" s="1" t="s">
        <v>93</v>
      </c>
      <c r="D38" s="7">
        <v>2</v>
      </c>
      <c r="E38" s="5" t="s">
        <v>8</v>
      </c>
      <c r="F38" s="11" t="s">
        <v>12</v>
      </c>
      <c r="G38" s="11" t="s">
        <v>14</v>
      </c>
      <c r="H38" s="15"/>
    </row>
    <row r="39" spans="2:8" ht="18.75">
      <c r="B39" s="1" t="s">
        <v>40</v>
      </c>
      <c r="C39" s="1" t="s">
        <v>122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128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111</v>
      </c>
      <c r="D41" s="7">
        <v>1</v>
      </c>
      <c r="E41" s="5" t="s">
        <v>8</v>
      </c>
      <c r="F41" s="11" t="s">
        <v>112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95</v>
      </c>
      <c r="D43" s="8">
        <v>1</v>
      </c>
      <c r="E43" s="4" t="s">
        <v>8</v>
      </c>
      <c r="F43" s="10" t="s">
        <v>9</v>
      </c>
      <c r="G43" s="10" t="s">
        <v>14</v>
      </c>
      <c r="H43" s="45"/>
    </row>
    <row r="44" spans="2:8" ht="18.75">
      <c r="B44" s="1" t="s">
        <v>41</v>
      </c>
      <c r="C44" s="1" t="s">
        <v>96</v>
      </c>
      <c r="D44" s="7">
        <v>1.5</v>
      </c>
      <c r="E44" s="5" t="s">
        <v>8</v>
      </c>
      <c r="F44" s="11" t="s">
        <v>9</v>
      </c>
      <c r="G44" s="11" t="s">
        <v>14</v>
      </c>
      <c r="H44" s="15"/>
    </row>
    <row r="45" spans="2:8" ht="18.75">
      <c r="B45" s="1" t="s">
        <v>41</v>
      </c>
      <c r="C45" s="1" t="s">
        <v>93</v>
      </c>
      <c r="D45" s="7">
        <v>2</v>
      </c>
      <c r="E45" s="5" t="s">
        <v>8</v>
      </c>
      <c r="F45" s="11" t="s">
        <v>12</v>
      </c>
      <c r="G45" s="11" t="s">
        <v>14</v>
      </c>
      <c r="H45" s="15"/>
    </row>
    <row r="46" spans="2:8" ht="18.75">
      <c r="B46" s="1" t="s">
        <v>41</v>
      </c>
      <c r="C46" s="1" t="s">
        <v>122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128</v>
      </c>
      <c r="D47" s="7">
        <v>3</v>
      </c>
      <c r="E47" s="5" t="s">
        <v>8</v>
      </c>
      <c r="F47" s="11" t="s">
        <v>9</v>
      </c>
      <c r="G47" s="11" t="s">
        <v>14</v>
      </c>
      <c r="H47" s="15"/>
    </row>
    <row r="48" spans="2:8" ht="18.75">
      <c r="B48" s="1" t="s">
        <v>41</v>
      </c>
      <c r="C48" s="1" t="s">
        <v>111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97</v>
      </c>
      <c r="D50" s="4">
        <v>1.5</v>
      </c>
      <c r="E50" s="5" t="s">
        <v>8</v>
      </c>
      <c r="F50" s="11" t="s">
        <v>9</v>
      </c>
      <c r="G50" s="11" t="s">
        <v>14</v>
      </c>
      <c r="H50" s="15"/>
    </row>
    <row r="51" spans="2:8" ht="18.75">
      <c r="B51" s="1" t="s">
        <v>82</v>
      </c>
      <c r="C51" s="1" t="s">
        <v>94</v>
      </c>
      <c r="D51" s="7">
        <v>1</v>
      </c>
      <c r="E51" s="5" t="s">
        <v>8</v>
      </c>
      <c r="F51" s="11" t="s">
        <v>9</v>
      </c>
      <c r="G51" s="11" t="s">
        <v>13</v>
      </c>
      <c r="H51" s="15"/>
    </row>
    <row r="52" spans="2:8" ht="18.75">
      <c r="B52" s="1" t="s">
        <v>82</v>
      </c>
      <c r="C52" s="1" t="s">
        <v>93</v>
      </c>
      <c r="D52" s="7">
        <v>2</v>
      </c>
      <c r="E52" s="5" t="s">
        <v>8</v>
      </c>
      <c r="F52" s="11" t="s">
        <v>12</v>
      </c>
      <c r="G52" s="11" t="s">
        <v>13</v>
      </c>
      <c r="H52" s="15"/>
    </row>
    <row r="53" spans="2:8" ht="18.75">
      <c r="B53" s="1" t="s">
        <v>82</v>
      </c>
      <c r="C53" s="1" t="s">
        <v>122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128</v>
      </c>
      <c r="D54" s="7">
        <v>3</v>
      </c>
      <c r="E54" s="5" t="s">
        <v>8</v>
      </c>
      <c r="F54" s="11" t="s">
        <v>9</v>
      </c>
      <c r="G54" s="11" t="s">
        <v>14</v>
      </c>
      <c r="H54" s="15"/>
    </row>
    <row r="55" spans="2:8" ht="18.75">
      <c r="B55" s="1" t="s">
        <v>82</v>
      </c>
      <c r="C55" s="1" t="s">
        <v>111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113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114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94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88</v>
      </c>
      <c r="C60" s="1" t="s">
        <v>115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93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122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128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111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116</v>
      </c>
      <c r="C66" s="1" t="s">
        <v>117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116</v>
      </c>
      <c r="C67" s="1" t="s">
        <v>118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116</v>
      </c>
      <c r="C68" s="1" t="s">
        <v>119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116</v>
      </c>
      <c r="C69" s="1" t="s">
        <v>120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125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125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125</v>
      </c>
      <c r="C73" s="1" t="s">
        <v>100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125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125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123</v>
      </c>
    </row>
    <row r="76" spans="2:8" ht="18.75">
      <c r="B76" s="1" t="s">
        <v>125</v>
      </c>
      <c r="C76" s="1" t="s">
        <v>98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109</v>
      </c>
    </row>
    <row r="77" spans="2:8" ht="18.75">
      <c r="B77" s="1" t="s">
        <v>125</v>
      </c>
      <c r="C77" s="1" t="s">
        <v>99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14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131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146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131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130</v>
      </c>
      <c r="C91" s="3" t="s">
        <v>131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129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129</v>
      </c>
      <c r="C93" s="1" t="s">
        <v>135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130</v>
      </c>
      <c r="C94" s="49" t="s">
        <v>133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134</v>
      </c>
    </row>
    <row r="95" spans="2:8" ht="18.75">
      <c r="B95" s="1" t="s">
        <v>130</v>
      </c>
      <c r="C95" s="53" t="s">
        <v>146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147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146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145</v>
      </c>
      <c r="C104" s="3" t="s">
        <v>111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144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14</v>
      </c>
      <c r="H105" s="15"/>
    </row>
    <row r="106" spans="2:8" ht="18.75">
      <c r="B106" s="1" t="s">
        <v>144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144</v>
      </c>
      <c r="C107" s="1" t="s">
        <v>146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148</v>
      </c>
    </row>
    <row r="108" spans="2:8" ht="18.75">
      <c r="B108" s="1" t="s">
        <v>144</v>
      </c>
      <c r="C108" s="1" t="s">
        <v>111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G1:G26 G28:G121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F1:F26 F28:F121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E1:E26 E28:E121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A3" workbookViewId="0">
      <selection activeCell="J2" sqref="J2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124</v>
      </c>
      <c r="D2" s="50" t="s">
        <v>104</v>
      </c>
      <c r="E2" s="50" t="s">
        <v>142</v>
      </c>
      <c r="F2" s="50" t="s">
        <v>143</v>
      </c>
      <c r="G2" s="37" t="s">
        <v>66</v>
      </c>
      <c r="I2" s="30" t="s">
        <v>20</v>
      </c>
      <c r="J2" s="29">
        <f>SUM(C:C)</f>
        <v>179.5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7.5</v>
      </c>
      <c r="G3" s="40">
        <f>ROUNDDOWN(COUNTIFS(コスト表!B:B, "プレイヤー", コスト表!G:G, "完了") / COUNTIF(コスト表!B:B, "プレイヤー") * 100,1)</f>
        <v>66.599999999999994</v>
      </c>
      <c r="I3" s="31" t="s">
        <v>21</v>
      </c>
      <c r="J3" s="29">
        <f>SUMIF(コスト表!G:G,"完了",コスト表!D:D)</f>
        <v>63.5</v>
      </c>
      <c r="K3" s="28" t="s">
        <v>22</v>
      </c>
      <c r="M3" s="28"/>
    </row>
    <row r="4" spans="2:13" ht="19.5">
      <c r="B4" s="1" t="s">
        <v>140</v>
      </c>
      <c r="C4" s="19">
        <f>SUMIF(コスト表!B:B, B4, コスト表!D:D)</f>
        <v>27</v>
      </c>
      <c r="D4" s="51">
        <f>SUMIFS(コスト表!D:D, コスト表!B:B, "敵ベース", コスト表!G:G, "完了")</f>
        <v>15</v>
      </c>
      <c r="E4" s="51">
        <f>SUMIFS(コスト表!D:D, コスト表!B:B, "敵ベース", コスト表!G:G, "作業中")</f>
        <v>6</v>
      </c>
      <c r="F4" s="51">
        <f>SUMIFS(コスト表!D:D, コスト表!B:B, "敵ベース", コスト表!G:G, "未着手")</f>
        <v>6</v>
      </c>
      <c r="G4" s="40">
        <f>ROUNDDOWN(COUNTIFS(コスト表!B:B, "敵ベース", コスト表!G:G, "完了") / COUNTIF(コスト表!B:B, "敵ベース") * 100,1)</f>
        <v>57.1</v>
      </c>
      <c r="I4" s="32" t="s">
        <v>23</v>
      </c>
      <c r="J4" s="29">
        <f ca="1">NETWORKDAYS(J5,J6)</f>
        <v>47</v>
      </c>
      <c r="K4" s="29">
        <f ca="1" xml:space="preserve"> ROUNDDOWN(J3 / J4,1)</f>
        <v>1.3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7.5</v>
      </c>
      <c r="E5" s="51">
        <f>SUMIFS(コスト表!D:D, コスト表!B:B, "敵1(通常ゾンビ)", コスト表!G:G, "作業中")</f>
        <v>0</v>
      </c>
      <c r="F5" s="51">
        <f>SUMIFS(コスト表!D:D, コスト表!B:B, "敵1(通常ゾンビ)", コスト表!G:G, "未着手")</f>
        <v>3</v>
      </c>
      <c r="G5" s="40">
        <f>ROUNDDOWN(COUNTIFS(コスト表!B:B, "敵1(通常ゾンビ)", コスト表!G:G, "完了") / COUNTIF(コスト表!B:B, "敵1(通常ゾンビ)") * 100,1)</f>
        <v>66.599999999999994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10.5</v>
      </c>
      <c r="D6" s="51">
        <f>SUMIFS(コスト表!D:D, コスト表!B:B, "敵2(ランナーゾンビ)", コスト表!G:G, "完了")</f>
        <v>7.5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3</v>
      </c>
      <c r="G6" s="40">
        <f>ROUNDDOWN(COUNTIFS(コスト表!B:B, "敵2(ランナーゾンビ)", コスト表!G:G, "完了") / COUNTIF(コスト表!B:B, "敵2(ランナーゾンビ)") * 100,1)</f>
        <v>66.599999999999994</v>
      </c>
      <c r="I6" s="34" t="s">
        <v>25</v>
      </c>
      <c r="J6" s="46">
        <f ca="1">TODAY()</f>
        <v>45845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4.5</v>
      </c>
      <c r="E7" s="51">
        <f>SUMIFS(コスト表!D:D, コスト表!B:B, "敵3(遠距離型ゾンビ)", コスト表!G:G, "作業中")</f>
        <v>3</v>
      </c>
      <c r="F7" s="51">
        <f>SUMIFS(コスト表!D:D, コスト表!B:B, "敵3(遠距離型ゾンビ)", コスト表!G:G, "未着手")</f>
        <v>3</v>
      </c>
      <c r="G7" s="40">
        <f>ROUNDDOWN(COUNTIFS(コスト表!B:B, "敵3(遠距離型ゾンビ)", コスト表!G:G, "完了") / COUNTIF(コスト表!B:B, "敵3(遠距離型ゾンビ)") * 100,1)</f>
        <v>33.299999999999997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121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13</v>
      </c>
      <c r="L9" s="59">
        <f ca="1">ROUNDDOWN(($J$2-$J$3)/K9, 1)</f>
        <v>8.9</v>
      </c>
    </row>
    <row r="10" spans="2:13" ht="19.5">
      <c r="B10" s="18" t="s">
        <v>125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24</v>
      </c>
      <c r="L10" s="60">
        <f ca="1">ROUNDDOWN(($J$2 - $J$3) / K10,1)</f>
        <v>4.8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2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6.5</v>
      </c>
      <c r="G11" s="40">
        <f>ROUNDDOWN(COUNTIFS(コスト表!B:B, "アイテム", コスト表!G:G, "完了") / COUNTIF(コスト表!B:B, "アイテム") * 100,1)</f>
        <v>20</v>
      </c>
      <c r="I11" s="31" t="s">
        <v>29</v>
      </c>
      <c r="J11" s="62">
        <f>DATE(2025,8,14)</f>
        <v>45883</v>
      </c>
      <c r="K11" s="58">
        <f ca="1">NETWORKDAYS(TODAY(),J11)</f>
        <v>29</v>
      </c>
      <c r="L11" s="60">
        <f ca="1">ROUNDDOWN(($J$2 - $J$3) / K11,1)</f>
        <v>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41</v>
      </c>
      <c r="L12" s="60">
        <f ca="1">ROUNDDOWN(($J$2 - $J$3) / K12,1)</f>
        <v>2.8</v>
      </c>
    </row>
    <row r="13" spans="2:13">
      <c r="B13" s="18" t="s">
        <v>132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104</v>
      </c>
      <c r="L14" s="42" t="s">
        <v>69</v>
      </c>
    </row>
    <row r="15" spans="2:13">
      <c r="B15" s="41" t="s">
        <v>149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126</v>
      </c>
      <c r="K15" s="43">
        <f>SUMIFS(コスト表!D:D, コスト表!F:F, "プロト", コスト表!G:G, "完了")</f>
        <v>53.5</v>
      </c>
      <c r="L15" s="43">
        <f>ROUNDDOWN(COUNTIFS(コスト表!F:F, "プロト", コスト表!G:G, "完了") / COUNTIF(コスト表!F:F, "プロト") * 100,1)</f>
        <v>43.3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34.700000000000003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10</v>
      </c>
      <c r="L16" s="43">
        <f>ROUNDDOWN(COUNTIFS(コスト表!F:F, "アルファ", コスト表!G:G, "完了") / COUNTIF(コスト表!F:F, "アルファ") * 100,1)</f>
        <v>21.2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150</v>
      </c>
    </row>
    <row r="9" spans="2:6">
      <c r="B9" s="63" t="s">
        <v>136</v>
      </c>
    </row>
    <row r="10" spans="2:6">
      <c r="B10" s="63" t="s">
        <v>137</v>
      </c>
    </row>
    <row r="11" spans="2:6">
      <c r="B11" s="63" t="s">
        <v>138</v>
      </c>
    </row>
    <row r="12" spans="2:6">
      <c r="B12" s="64" t="s">
        <v>139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2025-07-07T01:21:48Z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