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32192024-3D57-4F0B-8FF7-A8FA1FA20620}" xr6:coauthVersionLast="47" xr6:coauthVersionMax="47" xr10:uidLastSave="{00000000-0000-0000-0000-000000000000}"/>
  <bookViews>
    <workbookView xWindow="2550" yWindow="1800" windowWidth="19935" windowHeight="13680" activeTab="1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コスト表!$E$2:$G$124</definedName>
    <definedName name="_xlnm._FilterDatabase" localSheetId="1" hidden="1">分類別コスト集計!$B$2:$E$19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E10" i="2"/>
  <c r="D10" i="2"/>
  <c r="D9" i="2"/>
  <c r="D8" i="2"/>
  <c r="D7" i="2"/>
  <c r="D6" i="2"/>
  <c r="D5" i="2"/>
  <c r="D4" i="2"/>
  <c r="D3" i="2"/>
  <c r="I16" i="2"/>
  <c r="J19" i="2"/>
  <c r="J18" i="2"/>
  <c r="I19" i="2"/>
  <c r="I18" i="2"/>
  <c r="I17" i="2"/>
  <c r="E9" i="2"/>
  <c r="E8" i="2"/>
  <c r="C9" i="2"/>
  <c r="C10" i="2"/>
  <c r="C14" i="2"/>
  <c r="E14" i="2"/>
  <c r="H16" i="2" l="1"/>
  <c r="H9" i="2"/>
  <c r="E3" i="2" l="1"/>
  <c r="J17" i="2"/>
  <c r="E4" i="2"/>
  <c r="E5" i="2"/>
  <c r="C4" i="2"/>
  <c r="C5" i="2"/>
  <c r="E7" i="2"/>
  <c r="J16" i="2"/>
  <c r="H19" i="2"/>
  <c r="H18" i="2"/>
  <c r="E15" i="2"/>
  <c r="E13" i="2"/>
  <c r="E11" i="2"/>
  <c r="E12" i="2"/>
  <c r="E6" i="2"/>
  <c r="H10" i="2"/>
  <c r="I9" i="2"/>
  <c r="H12" i="2"/>
  <c r="I12" i="2" s="1"/>
  <c r="H11" i="2"/>
  <c r="I11" i="2" s="1"/>
  <c r="I10" i="2" l="1"/>
  <c r="H5" i="2"/>
  <c r="C11" i="2"/>
  <c r="H6" i="2"/>
  <c r="H3" i="2"/>
  <c r="C6" i="2"/>
  <c r="C7" i="2"/>
  <c r="C3" i="2"/>
  <c r="C13" i="2" l="1"/>
  <c r="H17" i="2"/>
  <c r="C8" i="2"/>
  <c r="C12" i="2"/>
  <c r="H4" i="2"/>
  <c r="I4" i="2" s="1"/>
  <c r="H2" i="2" l="1"/>
  <c r="J12" i="2" l="1"/>
  <c r="J11" i="2"/>
  <c r="J9" i="2"/>
  <c r="J10" i="2"/>
</calcChain>
</file>

<file path=xl/sharedStrings.xml><?xml version="1.0" encoding="utf-8"?>
<sst xmlns="http://schemas.openxmlformats.org/spreadsheetml/2006/main" count="509" uniqueCount="144">
  <si>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</si>
  <si>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</si>
  <si>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</si>
  <si>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</si>
  <si>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</si>
  <si>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</si>
  <si>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</si>
  <si>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</si>
  <si>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</si>
  <si>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</si>
  <si>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</si>
  <si>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</si>
  <si>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</si>
  <si>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</si>
  <si>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</si>
  <si>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</si>
  <si>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</si>
  <si>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</si>
  <si>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停止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</si>
  <si>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</si>
  <si>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</si>
  <si>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</si>
  <si>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</si>
  <si>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</si>
  <si>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</si>
  <si>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</si>
  <si>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</si>
  <si>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</si>
  <si>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</si>
  <si>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</si>
  <si>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</si>
  <si>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</si>
  <si>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</si>
  <si>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</si>
  <si>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</si>
  <si>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</si>
  <si>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</si>
  <si>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</si>
  <si>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</si>
  <si>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</si>
  <si>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</si>
  <si>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</si>
  <si>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</si>
  <si>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</si>
  <si>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</si>
  <si>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</si>
  <si>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</si>
  <si>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</si>
  <si>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</si>
  <si>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</si>
  <si>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</si>
  <si>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</si>
  <si>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</si>
  <si>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</si>
  <si>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</si>
  <si>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</si>
  <si>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</si>
  <si>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</si>
  <si>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</si>
  <si>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</si>
  <si>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</si>
  <si>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</si>
  <si>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</si>
  <si>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</si>
  <si>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</si>
  <si>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</si>
  <si>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</si>
  <si>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</si>
  <si>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</si>
  <si>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</si>
  <si>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</si>
  <si>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</si>
  <si>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</si>
  <si>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</si>
  <si>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</si>
  <si>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</si>
  <si>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</si>
  <si>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</si>
  <si>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</si>
  <si>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</si>
  <si>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</si>
  <si>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</si>
  <si>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</si>
  <si>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</si>
  <si>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</si>
  <si>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</si>
  <si>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</si>
  <si>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</si>
  <si>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</si>
  <si>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</si>
  <si>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敵基底クラス</t>
    <rPh sb="0" eb="1">
      <t>テキ</t>
    </rPh>
    <rPh sb="1" eb="3">
      <t>キテイ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</si>
  <si>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</si>
  <si>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</si>
  <si>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</si>
  <si>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</si>
  <si>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</si>
  <si>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</si>
  <si>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</si>
  <si>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</si>
  <si>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</si>
  <si>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</si>
  <si>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</si>
  <si>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</si>
  <si>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敵基底クラス</t>
    <rPh sb="0" eb="1">
      <t>テキ</t>
    </rPh>
    <rPh sb="1" eb="3">
      <t>キテイ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</si>
  <si>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</si>
  <si>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</si>
  <si>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</si>
  <si>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</si>
  <si>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</si>
  <si>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</si>
  <si>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</si>
  <si>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</si>
  <si>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</si>
  <si>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</si>
  <si>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</si>
  <si>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</si>
  <si>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</si>
  <si>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</si>
  <si>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</si>
  <si>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</si>
  <si>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</si>
  <si>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敵基底クラス</t>
    <rPh sb="0" eb="1">
      <t>テキ</t>
    </rPh>
    <rPh sb="1" eb="3">
      <t>キテイ</t>
    </rPh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</si>
  <si>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</si>
  <si>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</si>
  <si>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</si>
  <si>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</si>
  <si>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</si>
  <si>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</si>
  <si>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実装</t>
    <rPh sb="0" eb="2">
      <t>ジッソウ</t>
    </rPh>
    <phoneticPr fontId="1"/>
  </si>
  <si>
    <t>座標回転と拡大</t>
    <rPh sb="0" eb="4">
      <t>ザヒョウカイテン</t>
    </rPh>
    <rPh sb="5" eb="7">
      <t>カクダイ</t>
    </rPh>
    <phoneticPr fontId="1"/>
  </si>
  <si>
    <t>再生</t>
    <rPh sb="0" eb="2">
      <t>サイセイ</t>
    </rPh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</si>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</sst>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4"/>
  <sheetViews>
    <sheetView zoomScaleNormal="100" workbookViewId="0">
      <pane ySplit="2" topLeftCell="A18" activePane="bottomLeft" state="frozen"/>
      <selection pane="bottomLeft" activeCell="F91" sqref="F91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t="s">
        <v>83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37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36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112</v>
      </c>
      <c r="C5" s="1" t="s">
        <v>117</v>
      </c>
      <c r="D5" s="7">
        <v>1</v>
      </c>
      <c r="E5" s="5" t="s">
        <v>11</v>
      </c>
      <c r="F5" s="11" t="s">
        <v>13</v>
      </c>
      <c r="G5" s="11" t="s">
        <v>10</v>
      </c>
      <c r="H5" s="15"/>
    </row>
    <row r="6" spans="2:8" ht="18.75">
      <c r="B6" s="1" t="s">
        <v>7</v>
      </c>
      <c r="C6" s="1" t="s">
        <v>34</v>
      </c>
      <c r="D6" s="7">
        <v>1</v>
      </c>
      <c r="E6" s="5" t="s">
        <v>8</v>
      </c>
      <c r="F6" s="11" t="s">
        <v>9</v>
      </c>
      <c r="G6" s="11" t="s">
        <v>15</v>
      </c>
      <c r="H6" s="15"/>
    </row>
    <row r="7" spans="2:8" ht="18.75">
      <c r="B7" s="1" t="s">
        <v>7</v>
      </c>
      <c r="C7" s="1" t="s">
        <v>87</v>
      </c>
      <c r="D7" s="7">
        <v>3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42</v>
      </c>
      <c r="D8" s="7">
        <v>4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7</v>
      </c>
      <c r="C9" s="1" t="s">
        <v>44</v>
      </c>
      <c r="D9" s="7">
        <v>2</v>
      </c>
      <c r="E9" s="5" t="s">
        <v>8</v>
      </c>
      <c r="F9" s="11" t="s">
        <v>9</v>
      </c>
      <c r="G9" s="11" t="s">
        <v>10</v>
      </c>
      <c r="H9" s="15"/>
    </row>
    <row r="10" spans="2:8" ht="18.75">
      <c r="B10" s="1" t="s">
        <v>35</v>
      </c>
      <c r="C10" s="1" t="s">
        <v>70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84</v>
      </c>
      <c r="C12" s="1" t="s">
        <v>85</v>
      </c>
      <c r="D12" s="7">
        <v>2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84</v>
      </c>
      <c r="C13" s="1" t="s">
        <v>141</v>
      </c>
      <c r="D13" s="7">
        <v>1</v>
      </c>
      <c r="E13" s="5" t="s">
        <v>8</v>
      </c>
      <c r="F13" s="11" t="s">
        <v>9</v>
      </c>
      <c r="G13" s="11" t="s">
        <v>15</v>
      </c>
      <c r="H13" s="15" t="s">
        <v>142</v>
      </c>
    </row>
    <row r="14" spans="2:8" ht="18.75">
      <c r="B14" s="1" t="s">
        <v>7</v>
      </c>
      <c r="C14" s="1" t="s">
        <v>59</v>
      </c>
      <c r="D14" s="7">
        <v>3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112</v>
      </c>
      <c r="C15" s="1" t="s">
        <v>113</v>
      </c>
      <c r="D15" s="7">
        <v>1</v>
      </c>
      <c r="E15" s="5" t="s">
        <v>8</v>
      </c>
      <c r="F15" s="11" t="s">
        <v>9</v>
      </c>
      <c r="G15" s="11" t="s">
        <v>15</v>
      </c>
      <c r="H15" s="15"/>
    </row>
    <row r="16" spans="2:8" ht="18.75">
      <c r="B16" s="1" t="s">
        <v>112</v>
      </c>
      <c r="C16" s="1" t="s">
        <v>66</v>
      </c>
      <c r="D16" s="7">
        <v>2</v>
      </c>
      <c r="E16" s="5" t="s">
        <v>8</v>
      </c>
      <c r="F16" s="11" t="s">
        <v>9</v>
      </c>
      <c r="G16" s="11" t="s">
        <v>14</v>
      </c>
      <c r="H16" s="15" t="s">
        <v>114</v>
      </c>
    </row>
    <row r="17" spans="2:8" ht="18.75">
      <c r="B17" s="1" t="s">
        <v>112</v>
      </c>
      <c r="C17" s="1" t="s">
        <v>116</v>
      </c>
      <c r="D17" s="7">
        <v>2</v>
      </c>
      <c r="E17" s="5" t="s">
        <v>16</v>
      </c>
      <c r="F17" s="11" t="s">
        <v>9</v>
      </c>
      <c r="G17" s="11" t="s">
        <v>10</v>
      </c>
      <c r="H17" s="15"/>
    </row>
    <row r="18" spans="2:8" ht="18.75">
      <c r="B18" s="1" t="s">
        <v>7</v>
      </c>
      <c r="C18" s="1" t="s">
        <v>38</v>
      </c>
      <c r="D18" s="7">
        <v>0.5</v>
      </c>
      <c r="E18" s="5" t="s">
        <v>8</v>
      </c>
      <c r="F18" s="11" t="s">
        <v>13</v>
      </c>
      <c r="G18" s="11" t="s">
        <v>15</v>
      </c>
      <c r="H18" s="15"/>
    </row>
    <row r="19" spans="2:8" ht="18.75">
      <c r="B19" s="1" t="s">
        <v>7</v>
      </c>
      <c r="C19" s="1" t="s">
        <v>39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40</v>
      </c>
      <c r="D20" s="7">
        <v>0.5</v>
      </c>
      <c r="E20" s="5" t="s">
        <v>8</v>
      </c>
      <c r="F20" s="11" t="s">
        <v>13</v>
      </c>
      <c r="G20" s="11" t="s">
        <v>15</v>
      </c>
      <c r="H20" s="15"/>
    </row>
    <row r="21" spans="2:8" ht="18.75">
      <c r="B21" s="1" t="s">
        <v>7</v>
      </c>
      <c r="C21" s="1" t="s">
        <v>41</v>
      </c>
      <c r="D21" s="7">
        <v>0.5</v>
      </c>
      <c r="E21" s="5" t="s">
        <v>8</v>
      </c>
      <c r="F21" s="11" t="s">
        <v>13</v>
      </c>
      <c r="G21" s="11" t="s">
        <v>10</v>
      </c>
      <c r="H21" s="15"/>
    </row>
    <row r="22" spans="2:8" ht="18.75">
      <c r="B22" s="1" t="s">
        <v>7</v>
      </c>
      <c r="C22" s="1" t="s">
        <v>43</v>
      </c>
      <c r="D22" s="7">
        <v>0.5</v>
      </c>
      <c r="E22" s="5" t="s">
        <v>8</v>
      </c>
      <c r="F22" s="11" t="s">
        <v>13</v>
      </c>
      <c r="G22" s="11" t="s">
        <v>10</v>
      </c>
      <c r="H22" s="15"/>
    </row>
    <row r="23" spans="2:8" ht="18.75">
      <c r="B23" s="1" t="s">
        <v>7</v>
      </c>
      <c r="C23" s="1" t="s">
        <v>47</v>
      </c>
      <c r="D23" s="7">
        <v>0.5</v>
      </c>
      <c r="E23" s="5" t="s">
        <v>8</v>
      </c>
      <c r="F23" s="11" t="s">
        <v>13</v>
      </c>
      <c r="G23" s="11" t="s">
        <v>15</v>
      </c>
      <c r="H23" s="15"/>
    </row>
    <row r="24" spans="2:8" ht="18.75">
      <c r="B24" s="1" t="s">
        <v>84</v>
      </c>
      <c r="C24" s="1" t="s">
        <v>86</v>
      </c>
      <c r="D24" s="7">
        <v>0.5</v>
      </c>
      <c r="E24" s="5" t="s">
        <v>8</v>
      </c>
      <c r="F24" s="11" t="s">
        <v>13</v>
      </c>
      <c r="G24" s="11" t="s">
        <v>10</v>
      </c>
      <c r="H24" s="15"/>
    </row>
    <row r="25" spans="2:8" ht="18.75">
      <c r="B25" s="1" t="s">
        <v>112</v>
      </c>
      <c r="C25" s="1" t="s">
        <v>118</v>
      </c>
      <c r="D25" s="7">
        <v>1</v>
      </c>
      <c r="E25" s="5" t="s">
        <v>11</v>
      </c>
      <c r="F25" s="11" t="s">
        <v>13</v>
      </c>
      <c r="G25" s="11" t="s">
        <v>10</v>
      </c>
      <c r="H25" s="52" t="s">
        <v>119</v>
      </c>
    </row>
    <row r="26" spans="2:8" ht="18.75">
      <c r="B26" s="1" t="s">
        <v>7</v>
      </c>
      <c r="C26" s="1" t="s">
        <v>49</v>
      </c>
      <c r="D26" s="7">
        <v>2</v>
      </c>
      <c r="E26" s="5" t="s">
        <v>16</v>
      </c>
      <c r="F26" s="11" t="s">
        <v>13</v>
      </c>
      <c r="G26" s="11" t="s">
        <v>14</v>
      </c>
      <c r="H26" s="5"/>
    </row>
    <row r="27" spans="2:8" ht="18.75">
      <c r="B27" s="42"/>
      <c r="C27" s="50"/>
      <c r="D27" s="51"/>
      <c r="E27" s="50"/>
      <c r="F27" s="50"/>
      <c r="G27" s="50"/>
      <c r="H27" s="6"/>
    </row>
    <row r="28" spans="2:8" ht="18.75">
      <c r="B28" s="3" t="s">
        <v>90</v>
      </c>
      <c r="C28" s="3" t="s">
        <v>91</v>
      </c>
      <c r="D28" s="8">
        <v>5</v>
      </c>
      <c r="E28" s="4" t="s">
        <v>8</v>
      </c>
      <c r="F28" s="10" t="s">
        <v>9</v>
      </c>
      <c r="G28" s="10" t="s">
        <v>10</v>
      </c>
      <c r="H28" s="14" t="s">
        <v>92</v>
      </c>
    </row>
    <row r="29" spans="2:8" ht="18.75">
      <c r="B29" s="1" t="s">
        <v>90</v>
      </c>
      <c r="C29" s="1" t="s">
        <v>93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94</v>
      </c>
    </row>
    <row r="30" spans="2:8" ht="18.75">
      <c r="B30" s="1" t="s">
        <v>90</v>
      </c>
      <c r="C30" s="1" t="s">
        <v>95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96</v>
      </c>
    </row>
    <row r="31" spans="2:8" ht="18.75">
      <c r="B31" s="1" t="s">
        <v>90</v>
      </c>
      <c r="C31" s="1" t="s">
        <v>98</v>
      </c>
      <c r="D31" s="7">
        <v>2</v>
      </c>
      <c r="E31" s="5" t="s">
        <v>8</v>
      </c>
      <c r="F31" s="11" t="s">
        <v>9</v>
      </c>
      <c r="G31" s="11" t="s">
        <v>99</v>
      </c>
      <c r="H31" s="15"/>
    </row>
    <row r="32" spans="2:8" ht="18.75">
      <c r="B32" s="1" t="s">
        <v>90</v>
      </c>
      <c r="C32" s="1" t="s">
        <v>100</v>
      </c>
      <c r="D32" s="7">
        <v>6</v>
      </c>
      <c r="E32" s="5" t="s">
        <v>8</v>
      </c>
      <c r="F32" s="11" t="s">
        <v>13</v>
      </c>
      <c r="G32" s="11" t="s">
        <v>10</v>
      </c>
      <c r="H32" s="15" t="s">
        <v>101</v>
      </c>
    </row>
    <row r="33" spans="2:8" ht="18.75">
      <c r="B33" s="1" t="s">
        <v>90</v>
      </c>
      <c r="C33" s="1" t="s">
        <v>102</v>
      </c>
      <c r="D33" s="7">
        <v>3</v>
      </c>
      <c r="E33" s="5" t="s">
        <v>16</v>
      </c>
      <c r="F33" s="11" t="s">
        <v>13</v>
      </c>
      <c r="G33" s="11" t="s">
        <v>10</v>
      </c>
      <c r="H33" s="15"/>
    </row>
    <row r="34" spans="2:8" ht="18.75">
      <c r="B34" s="1" t="s">
        <v>121</v>
      </c>
      <c r="C34" s="1" t="s">
        <v>122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45</v>
      </c>
      <c r="C36" s="1" t="s">
        <v>107</v>
      </c>
      <c r="D36" s="4">
        <v>1.5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45</v>
      </c>
      <c r="C37" s="1" t="s">
        <v>105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45</v>
      </c>
      <c r="C38" s="1" t="s">
        <v>104</v>
      </c>
      <c r="D38" s="7">
        <v>2</v>
      </c>
      <c r="E38" s="5" t="s">
        <v>8</v>
      </c>
      <c r="F38" s="11" t="s">
        <v>13</v>
      </c>
      <c r="G38" s="11" t="s">
        <v>10</v>
      </c>
      <c r="H38" s="15"/>
    </row>
    <row r="39" spans="2:8" ht="18.75">
      <c r="B39" s="1" t="s">
        <v>45</v>
      </c>
      <c r="C39" s="1" t="s">
        <v>137</v>
      </c>
      <c r="D39" s="7">
        <v>2</v>
      </c>
      <c r="E39" s="5" t="s">
        <v>16</v>
      </c>
      <c r="F39" s="11" t="s">
        <v>13</v>
      </c>
      <c r="G39" s="11" t="s">
        <v>10</v>
      </c>
      <c r="H39" s="15"/>
    </row>
    <row r="40" spans="2:8" ht="18.75">
      <c r="B40" s="1" t="s">
        <v>45</v>
      </c>
      <c r="C40" s="1" t="s">
        <v>143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45</v>
      </c>
      <c r="C41" s="1" t="s">
        <v>123</v>
      </c>
      <c r="D41" s="7">
        <v>1</v>
      </c>
      <c r="E41" s="5" t="s">
        <v>8</v>
      </c>
      <c r="F41" s="11" t="s">
        <v>124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46</v>
      </c>
      <c r="C43" s="3" t="s">
        <v>106</v>
      </c>
      <c r="D43" s="8">
        <v>1</v>
      </c>
      <c r="E43" s="4" t="s">
        <v>8</v>
      </c>
      <c r="F43" s="10" t="s">
        <v>9</v>
      </c>
      <c r="G43" s="10" t="s">
        <v>10</v>
      </c>
      <c r="H43" s="47"/>
    </row>
    <row r="44" spans="2:8" ht="18.75">
      <c r="B44" s="1" t="s">
        <v>46</v>
      </c>
      <c r="C44" s="1" t="s">
        <v>107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46</v>
      </c>
      <c r="C45" s="1" t="s">
        <v>105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46</v>
      </c>
      <c r="C46" s="1" t="s">
        <v>104</v>
      </c>
      <c r="D46" s="7">
        <v>2</v>
      </c>
      <c r="E46" s="5" t="s">
        <v>8</v>
      </c>
      <c r="F46" s="11" t="s">
        <v>13</v>
      </c>
      <c r="G46" s="11" t="s">
        <v>10</v>
      </c>
      <c r="H46" s="15"/>
    </row>
    <row r="47" spans="2:8" ht="18.75">
      <c r="B47" s="1" t="s">
        <v>46</v>
      </c>
      <c r="C47" s="1" t="s">
        <v>137</v>
      </c>
      <c r="D47" s="7">
        <v>2</v>
      </c>
      <c r="E47" s="5" t="s">
        <v>16</v>
      </c>
      <c r="F47" s="11" t="s">
        <v>13</v>
      </c>
      <c r="G47" s="11" t="s">
        <v>10</v>
      </c>
      <c r="H47" s="15"/>
    </row>
    <row r="48" spans="2:8" ht="18.75">
      <c r="B48" s="1" t="s">
        <v>46</v>
      </c>
      <c r="C48" s="1" t="s">
        <v>143</v>
      </c>
      <c r="D48" s="7">
        <v>3</v>
      </c>
      <c r="E48" s="5" t="s">
        <v>8</v>
      </c>
      <c r="F48" s="11" t="s">
        <v>9</v>
      </c>
      <c r="G48" s="11" t="s">
        <v>14</v>
      </c>
      <c r="H48" s="15"/>
    </row>
    <row r="49" spans="2:8" ht="18.75">
      <c r="B49" s="1" t="s">
        <v>46</v>
      </c>
      <c r="C49" s="1" t="s">
        <v>123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89</v>
      </c>
      <c r="C51" s="1" t="s">
        <v>108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89</v>
      </c>
      <c r="C52" s="1" t="s">
        <v>105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89</v>
      </c>
      <c r="C53" s="1" t="s">
        <v>104</v>
      </c>
      <c r="D53" s="7">
        <v>2</v>
      </c>
      <c r="E53" s="5" t="s">
        <v>8</v>
      </c>
      <c r="F53" s="11" t="s">
        <v>13</v>
      </c>
      <c r="G53" s="11" t="s">
        <v>10</v>
      </c>
      <c r="H53" s="15"/>
    </row>
    <row r="54" spans="2:8" ht="18.75">
      <c r="B54" s="1" t="s">
        <v>89</v>
      </c>
      <c r="C54" s="1" t="s">
        <v>137</v>
      </c>
      <c r="D54" s="7">
        <v>2</v>
      </c>
      <c r="E54" s="5" t="s">
        <v>16</v>
      </c>
      <c r="F54" s="11" t="s">
        <v>13</v>
      </c>
      <c r="G54" s="11" t="s">
        <v>10</v>
      </c>
      <c r="H54" s="15"/>
    </row>
    <row r="55" spans="2:8" ht="18.75">
      <c r="B55" s="1" t="s">
        <v>89</v>
      </c>
      <c r="C55" s="1" t="s">
        <v>143</v>
      </c>
      <c r="D55" s="7">
        <v>3</v>
      </c>
      <c r="E55" s="5" t="s">
        <v>8</v>
      </c>
      <c r="F55" s="11" t="s">
        <v>9</v>
      </c>
      <c r="G55" s="11" t="s">
        <v>14</v>
      </c>
      <c r="H55" s="15"/>
    </row>
    <row r="56" spans="2:8" ht="18.75">
      <c r="B56" s="1" t="s">
        <v>89</v>
      </c>
      <c r="C56" s="1" t="s">
        <v>123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77</v>
      </c>
      <c r="C58" s="3" t="s">
        <v>125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77</v>
      </c>
      <c r="C59" s="1" t="s">
        <v>126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77</v>
      </c>
      <c r="C60" s="1" t="s">
        <v>105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97</v>
      </c>
      <c r="C61" s="1" t="s">
        <v>127</v>
      </c>
      <c r="D61" s="7">
        <v>5</v>
      </c>
      <c r="E61" s="5" t="s">
        <v>8</v>
      </c>
      <c r="F61" s="11" t="s">
        <v>13</v>
      </c>
      <c r="G61" s="11" t="s">
        <v>10</v>
      </c>
      <c r="H61" s="15" t="s">
        <v>48</v>
      </c>
    </row>
    <row r="62" spans="2:8" ht="18.75">
      <c r="B62" s="1" t="s">
        <v>77</v>
      </c>
      <c r="C62" s="1" t="s">
        <v>104</v>
      </c>
      <c r="D62" s="7">
        <v>3</v>
      </c>
      <c r="E62" s="5" t="s">
        <v>8</v>
      </c>
      <c r="F62" s="11" t="s">
        <v>13</v>
      </c>
      <c r="G62" s="11" t="s">
        <v>10</v>
      </c>
      <c r="H62" s="15"/>
    </row>
    <row r="63" spans="2:8" ht="18.75">
      <c r="B63" s="1" t="s">
        <v>77</v>
      </c>
      <c r="C63" s="1" t="s">
        <v>137</v>
      </c>
      <c r="D63" s="7">
        <v>2</v>
      </c>
      <c r="E63" s="5" t="s">
        <v>16</v>
      </c>
      <c r="F63" s="11" t="s">
        <v>13</v>
      </c>
      <c r="G63" s="11" t="s">
        <v>10</v>
      </c>
      <c r="H63" s="15"/>
    </row>
    <row r="64" spans="2:8" ht="18.75">
      <c r="B64" s="1" t="s">
        <v>77</v>
      </c>
      <c r="C64" s="1" t="s">
        <v>143</v>
      </c>
      <c r="D64" s="7">
        <v>3</v>
      </c>
      <c r="E64" s="5" t="s">
        <v>8</v>
      </c>
      <c r="F64" s="11" t="s">
        <v>9</v>
      </c>
      <c r="G64" s="11" t="s">
        <v>14</v>
      </c>
      <c r="H64" s="15"/>
    </row>
    <row r="65" spans="2:8" ht="18.75">
      <c r="B65" s="1" t="s">
        <v>77</v>
      </c>
      <c r="C65" s="1" t="s">
        <v>123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131</v>
      </c>
      <c r="C67" s="1" t="s">
        <v>132</v>
      </c>
      <c r="D67" s="4">
        <v>1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131</v>
      </c>
      <c r="C68" s="1" t="s">
        <v>133</v>
      </c>
      <c r="D68" s="7">
        <v>1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131</v>
      </c>
      <c r="C69" s="1" t="s">
        <v>134</v>
      </c>
      <c r="D69" s="7">
        <v>1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131</v>
      </c>
      <c r="C70" s="1" t="s">
        <v>135</v>
      </c>
      <c r="D70" s="7">
        <v>1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140</v>
      </c>
      <c r="C72" s="3" t="s">
        <v>50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51</v>
      </c>
    </row>
    <row r="73" spans="2:8" ht="18.75">
      <c r="B73" s="1" t="s">
        <v>140</v>
      </c>
      <c r="C73" s="1" t="s">
        <v>52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140</v>
      </c>
      <c r="C74" s="1" t="s">
        <v>111</v>
      </c>
      <c r="D74" s="7">
        <v>3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140</v>
      </c>
      <c r="C75" s="1" t="s">
        <v>53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54</v>
      </c>
    </row>
    <row r="76" spans="2:8" ht="18.75">
      <c r="B76" s="1" t="s">
        <v>140</v>
      </c>
      <c r="C76" s="1" t="s">
        <v>55</v>
      </c>
      <c r="D76" s="7">
        <v>2</v>
      </c>
      <c r="E76" s="5" t="s">
        <v>8</v>
      </c>
      <c r="F76" s="11" t="s">
        <v>9</v>
      </c>
      <c r="G76" s="11" t="s">
        <v>10</v>
      </c>
      <c r="H76" s="15" t="s">
        <v>138</v>
      </c>
    </row>
    <row r="77" spans="2:8" ht="18.75">
      <c r="B77" s="1" t="s">
        <v>140</v>
      </c>
      <c r="C77" s="1" t="s">
        <v>109</v>
      </c>
      <c r="D77" s="7">
        <v>8</v>
      </c>
      <c r="E77" s="5" t="s">
        <v>8</v>
      </c>
      <c r="F77" s="11" t="s">
        <v>9</v>
      </c>
      <c r="G77" s="11" t="s">
        <v>10</v>
      </c>
      <c r="H77" s="15" t="s">
        <v>120</v>
      </c>
    </row>
    <row r="78" spans="2:8" ht="18.75">
      <c r="B78" s="1" t="s">
        <v>140</v>
      </c>
      <c r="C78" s="1" t="s">
        <v>110</v>
      </c>
      <c r="D78" s="7">
        <v>3</v>
      </c>
      <c r="E78" s="5" t="s">
        <v>16</v>
      </c>
      <c r="F78" s="11" t="s">
        <v>13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56</v>
      </c>
      <c r="C80" s="3" t="s">
        <v>80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81</v>
      </c>
      <c r="C81" s="1" t="s">
        <v>82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56</v>
      </c>
      <c r="C82" s="1" t="s">
        <v>79</v>
      </c>
      <c r="D82" s="7">
        <v>2</v>
      </c>
      <c r="E82" s="5" t="s">
        <v>16</v>
      </c>
      <c r="F82" s="11" t="s">
        <v>13</v>
      </c>
      <c r="G82" s="11" t="s">
        <v>10</v>
      </c>
      <c r="H82" s="15"/>
    </row>
    <row r="83" spans="2:8" ht="18.75">
      <c r="B83" s="1" t="s">
        <v>56</v>
      </c>
      <c r="C83" s="1" t="s">
        <v>58</v>
      </c>
      <c r="D83" s="7">
        <v>2</v>
      </c>
      <c r="E83" s="5" t="s">
        <v>16</v>
      </c>
      <c r="F83" s="11" t="s">
        <v>13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60</v>
      </c>
      <c r="C85" s="1" t="s">
        <v>61</v>
      </c>
      <c r="D85" s="4">
        <v>1</v>
      </c>
      <c r="E85" s="5" t="s">
        <v>8</v>
      </c>
      <c r="F85" s="11" t="s">
        <v>20</v>
      </c>
      <c r="G85" s="11" t="s">
        <v>10</v>
      </c>
      <c r="H85" s="15"/>
    </row>
    <row r="86" spans="2:8" ht="18.75">
      <c r="B86" s="1" t="s">
        <v>60</v>
      </c>
      <c r="C86" s="1" t="s">
        <v>62</v>
      </c>
      <c r="D86" s="7">
        <v>1</v>
      </c>
      <c r="E86" s="5" t="s">
        <v>8</v>
      </c>
      <c r="F86" s="11" t="s">
        <v>9</v>
      </c>
      <c r="G86" s="11" t="s">
        <v>15</v>
      </c>
      <c r="H86" s="15"/>
    </row>
    <row r="87" spans="2:8" ht="18.75">
      <c r="B87" s="1" t="s">
        <v>60</v>
      </c>
      <c r="C87" s="1" t="s">
        <v>63</v>
      </c>
      <c r="D87" s="7">
        <v>1</v>
      </c>
      <c r="E87" s="5" t="s">
        <v>16</v>
      </c>
      <c r="F87" s="11" t="s">
        <v>13</v>
      </c>
      <c r="G87" s="11" t="s">
        <v>10</v>
      </c>
      <c r="H87" s="15"/>
    </row>
    <row r="88" spans="2:8" ht="18.75">
      <c r="B88" s="1" t="s">
        <v>60</v>
      </c>
      <c r="C88" s="1" t="s">
        <v>64</v>
      </c>
      <c r="D88" s="7">
        <v>2</v>
      </c>
      <c r="E88" s="5" t="s">
        <v>16</v>
      </c>
      <c r="F88" s="11" t="s">
        <v>13</v>
      </c>
      <c r="G88" s="11" t="s">
        <v>10</v>
      </c>
      <c r="H88" s="15"/>
    </row>
    <row r="89" spans="2:8" ht="18.75">
      <c r="B89" s="1"/>
      <c r="C89" s="1"/>
      <c r="D89" s="7"/>
      <c r="E89" s="5"/>
      <c r="F89" s="11"/>
      <c r="G89" s="11"/>
      <c r="H89" s="15"/>
    </row>
    <row r="90" spans="2:8" ht="18.75">
      <c r="B90" s="3" t="s">
        <v>65</v>
      </c>
      <c r="C90" s="3" t="s">
        <v>66</v>
      </c>
      <c r="D90" s="4">
        <v>2</v>
      </c>
      <c r="E90" s="4" t="s">
        <v>11</v>
      </c>
      <c r="F90" s="4" t="s">
        <v>9</v>
      </c>
      <c r="G90" s="10" t="s">
        <v>10</v>
      </c>
      <c r="H90" s="14" t="s">
        <v>67</v>
      </c>
    </row>
    <row r="91" spans="2:8" ht="18.75">
      <c r="B91" s="1" t="s">
        <v>65</v>
      </c>
      <c r="C91" s="1" t="s">
        <v>68</v>
      </c>
      <c r="D91" s="7">
        <v>1</v>
      </c>
      <c r="E91" s="5" t="s">
        <v>8</v>
      </c>
      <c r="F91" s="11" t="s">
        <v>9</v>
      </c>
      <c r="G91" s="11" t="s">
        <v>10</v>
      </c>
      <c r="H91" s="15"/>
    </row>
    <row r="92" spans="2:8" ht="18.75">
      <c r="B92" s="1" t="s">
        <v>65</v>
      </c>
      <c r="C92" s="1" t="s">
        <v>69</v>
      </c>
      <c r="D92" s="7">
        <v>1</v>
      </c>
      <c r="E92" s="5" t="s">
        <v>8</v>
      </c>
      <c r="F92" s="11" t="s">
        <v>9</v>
      </c>
      <c r="G92" s="11" t="s">
        <v>10</v>
      </c>
      <c r="H92" s="15" t="s">
        <v>88</v>
      </c>
    </row>
    <row r="93" spans="2:8" ht="18.75">
      <c r="B93" s="1" t="s">
        <v>65</v>
      </c>
      <c r="C93" s="1" t="s">
        <v>62</v>
      </c>
      <c r="D93" s="7">
        <v>1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65</v>
      </c>
      <c r="C94" s="1" t="s">
        <v>63</v>
      </c>
      <c r="D94" s="7">
        <v>1</v>
      </c>
      <c r="E94" s="5" t="s">
        <v>16</v>
      </c>
      <c r="F94" s="11" t="s">
        <v>13</v>
      </c>
      <c r="G94" s="11" t="s">
        <v>10</v>
      </c>
      <c r="H94" s="15"/>
    </row>
    <row r="95" spans="2:8" ht="18.75">
      <c r="B95" s="1" t="s">
        <v>65</v>
      </c>
      <c r="C95" s="1" t="s">
        <v>64</v>
      </c>
      <c r="D95" s="7">
        <v>1</v>
      </c>
      <c r="E95" s="5" t="s">
        <v>16</v>
      </c>
      <c r="F95" s="11" t="s">
        <v>13</v>
      </c>
      <c r="G95" s="11" t="s">
        <v>10</v>
      </c>
      <c r="H95" s="15"/>
    </row>
    <row r="96" spans="2:8" ht="18.75">
      <c r="B96" s="2"/>
      <c r="C96" s="2"/>
      <c r="D96" s="7"/>
      <c r="E96" s="6"/>
      <c r="F96" s="12"/>
      <c r="G96" s="12"/>
      <c r="H96" s="16"/>
    </row>
    <row r="97" spans="2:8" ht="18.75">
      <c r="B97" s="1" t="s">
        <v>17</v>
      </c>
      <c r="C97" s="1" t="s">
        <v>130</v>
      </c>
      <c r="D97" s="4">
        <v>1</v>
      </c>
      <c r="E97" s="5" t="s">
        <v>16</v>
      </c>
      <c r="F97" s="11" t="s">
        <v>13</v>
      </c>
      <c r="G97" s="11" t="s">
        <v>10</v>
      </c>
      <c r="H97" s="15"/>
    </row>
    <row r="98" spans="2:8" ht="18.75">
      <c r="B98" s="1" t="s">
        <v>17</v>
      </c>
      <c r="C98" s="1" t="s">
        <v>129</v>
      </c>
      <c r="D98" s="7">
        <v>4</v>
      </c>
      <c r="E98" s="5" t="s">
        <v>16</v>
      </c>
      <c r="F98" s="11" t="s">
        <v>13</v>
      </c>
      <c r="G98" s="11" t="s">
        <v>10</v>
      </c>
      <c r="H98" s="15"/>
    </row>
    <row r="99" spans="2:8" ht="18.75">
      <c r="B99" s="1" t="s">
        <v>17</v>
      </c>
      <c r="C99" s="1" t="s">
        <v>18</v>
      </c>
      <c r="D99" s="7">
        <v>1</v>
      </c>
      <c r="E99" s="5" t="s">
        <v>16</v>
      </c>
      <c r="F99" s="11" t="s">
        <v>13</v>
      </c>
      <c r="G99" s="11" t="s">
        <v>10</v>
      </c>
      <c r="H99" s="15"/>
    </row>
    <row r="100" spans="2:8" ht="18.75">
      <c r="B100" s="1" t="s">
        <v>17</v>
      </c>
      <c r="C100" s="1" t="s">
        <v>128</v>
      </c>
      <c r="D100" s="7">
        <v>2</v>
      </c>
      <c r="E100" s="5" t="s">
        <v>16</v>
      </c>
      <c r="F100" s="11" t="s">
        <v>13</v>
      </c>
      <c r="G100" s="11" t="s">
        <v>10</v>
      </c>
      <c r="H100" s="15"/>
    </row>
    <row r="101" spans="2:8" ht="18.75">
      <c r="B101" s="2"/>
      <c r="C101" s="2"/>
      <c r="D101" s="9"/>
      <c r="E101" s="6"/>
      <c r="F101" s="12"/>
      <c r="G101" s="12"/>
      <c r="H101" s="16"/>
    </row>
    <row r="102" spans="2:8" ht="18.75">
      <c r="C102"/>
      <c r="D102" s="7"/>
      <c r="H102" s="13"/>
    </row>
    <row r="103" spans="2:8" ht="18.75">
      <c r="C103"/>
      <c r="D103" s="7"/>
      <c r="H103" s="13"/>
    </row>
    <row r="104" spans="2:8" ht="18.75">
      <c r="C104"/>
      <c r="D104" s="7"/>
      <c r="H104" s="13"/>
    </row>
    <row r="105" spans="2:8" ht="18.75">
      <c r="C105"/>
      <c r="D105" s="7"/>
      <c r="H105" s="13"/>
    </row>
    <row r="106" spans="2:8" ht="18.75">
      <c r="C106"/>
      <c r="D106" s="7"/>
      <c r="H106" s="13"/>
    </row>
    <row r="107" spans="2:8" ht="18.75">
      <c r="C107"/>
      <c r="D107" s="7"/>
      <c r="H107" s="13"/>
    </row>
    <row r="108" spans="2:8" ht="18.75">
      <c r="C108"/>
      <c r="D108" s="7"/>
      <c r="H108" s="13"/>
    </row>
    <row r="109" spans="2:8" ht="18.75">
      <c r="C109"/>
      <c r="D109" s="7"/>
      <c r="H109" s="13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/>
    <row r="115" spans="3:8" ht="18.75"/>
    <row r="116" spans="3:8" ht="18.75"/>
    <row r="117" spans="3:8" ht="18.75"/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>
      <c r="C123"/>
      <c r="D123" s="7"/>
      <c r="H123" s="13"/>
    </row>
    <row r="124" spans="3:8" ht="18.75">
      <c r="C124"/>
      <c r="D124" s="7"/>
      <c r="H124" s="13"/>
    </row>
  </sheetData>
  <autoFilter ref="E2:G124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G118:G119 G121:G1048576 G1:G26 G28:G113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F118:F119 F121:F1048576 F1:F26 F28:F113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E118:E119 E121:E1048576 E1:E26 E28:E113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5"/>
  <sheetViews>
    <sheetView tabSelected="1" workbookViewId="0">
      <selection activeCell="F7" sqref="F7"/>
    </sheetView>
  </sheetViews>
  <sheetFormatPr defaultRowHeight="18.75"/>
  <cols>
    <col min="2" max="2" width="21.25" bestFit="1" customWidth="1"/>
    <col min="3" max="4" width="11.25" bestFit="1" customWidth="1"/>
    <col min="5" max="5" width="11.125" bestFit="1" customWidth="1"/>
    <col min="7" max="7" width="48.125" bestFit="1" customWidth="1"/>
    <col min="8" max="8" width="11.25" bestFit="1" customWidth="1"/>
    <col min="9" max="9" width="18.875" bestFit="1" customWidth="1"/>
    <col min="10" max="10" width="17.75" customWidth="1"/>
    <col min="11" max="11" width="16.25" customWidth="1"/>
  </cols>
  <sheetData>
    <row r="2" spans="2:11" ht="19.5">
      <c r="B2" s="40" t="s">
        <v>0</v>
      </c>
      <c r="C2" s="40" t="s">
        <v>139</v>
      </c>
      <c r="D2" s="53" t="s">
        <v>115</v>
      </c>
      <c r="E2" s="38" t="s">
        <v>72</v>
      </c>
      <c r="G2" s="31" t="s">
        <v>23</v>
      </c>
      <c r="H2" s="29">
        <f>SUM(C:C)</f>
        <v>176</v>
      </c>
      <c r="I2" s="29"/>
      <c r="J2" s="28"/>
      <c r="K2" s="28"/>
    </row>
    <row r="3" spans="2:11" ht="19.5">
      <c r="B3" s="18" t="s">
        <v>7</v>
      </c>
      <c r="C3" s="19">
        <f>SUMIF(コスト表!B:B, B3, コスト表!D:D)</f>
        <v>34.5</v>
      </c>
      <c r="D3" s="54">
        <f>SUMIFS(コスト表!D:D, コスト表!B:B, "プレイヤー", コスト表!G:G, "完了")</f>
        <v>10</v>
      </c>
      <c r="E3" s="41">
        <f>ROUNDDOWN(COUNTIFS(コスト表!B:B, "プレイヤー", コスト表!G:G, "完了") / COUNTIF(コスト表!B:B, "プレイヤー") * 100,1)</f>
        <v>41.6</v>
      </c>
      <c r="G3" s="32" t="s">
        <v>24</v>
      </c>
      <c r="H3" s="29">
        <f>SUMIF(コスト表!G:G,"完了",コスト表!D:D)</f>
        <v>11</v>
      </c>
      <c r="I3" s="28" t="s">
        <v>25</v>
      </c>
      <c r="K3" s="28"/>
    </row>
    <row r="4" spans="2:11" ht="19.5">
      <c r="B4" s="1" t="s">
        <v>103</v>
      </c>
      <c r="C4" s="19">
        <f>SUMIF(コスト表!B:B, B4, コスト表!D:D)</f>
        <v>29</v>
      </c>
      <c r="D4" s="54">
        <f>SUMIFS(コスト表!D:D, コスト表!B:B, "敵基底クラス", コスト表!G:G, "完了")</f>
        <v>0</v>
      </c>
      <c r="E4" s="41">
        <f>ROUNDDOWN(COUNTIFS(コスト表!B:B, "敵基底クラス", コスト表!G:G, "完了") / COUNTIF(コスト表!B:B, "敵基底クラス") * 100,1)</f>
        <v>0</v>
      </c>
      <c r="G4" s="33" t="s">
        <v>26</v>
      </c>
      <c r="H4" s="29">
        <f ca="1">NETWORKDAYS(H5,H6)</f>
        <v>25</v>
      </c>
      <c r="I4" s="29">
        <f ca="1" xml:space="preserve"> ROUNDDOWN(H3 / H4,1)</f>
        <v>0.4</v>
      </c>
      <c r="K4" s="28"/>
    </row>
    <row r="5" spans="2:11" ht="19.5">
      <c r="B5" s="18" t="s">
        <v>45</v>
      </c>
      <c r="C5" s="19">
        <f>SUMIF(コスト表!B:B, B5, コスト表!D:D)</f>
        <v>10.5</v>
      </c>
      <c r="D5" s="54">
        <f>SUMIFS(コスト表!D:D, コスト表!B:B, "敵1(通常ゾンビ)", コスト表!G:G, "完了")</f>
        <v>0</v>
      </c>
      <c r="E5" s="41">
        <f>ROUNDDOWN(COUNTIFS(コスト表!B:B, "敵1(通常ゾンビ)", コスト表!G:G, "完了") / COUNTIF(コスト表!B:B, "敵1(通常ゾンビ)") * 100,1)</f>
        <v>0</v>
      </c>
      <c r="G5" s="34" t="s">
        <v>27</v>
      </c>
      <c r="H5" s="48">
        <f>DATE(2025,5,2)</f>
        <v>45779</v>
      </c>
      <c r="I5" s="48"/>
      <c r="J5" s="28"/>
      <c r="K5" s="28"/>
    </row>
    <row r="6" spans="2:11" ht="19.5">
      <c r="B6" s="18" t="s">
        <v>46</v>
      </c>
      <c r="C6" s="19">
        <f>SUMIF(コスト表!B:B, B6, コスト表!D:D)</f>
        <v>11.5</v>
      </c>
      <c r="D6" s="54">
        <f>SUMIFS(コスト表!D:D, コスト表!B:B, "敵2(ランナーゾンビ)", コスト表!G:G, "完了")</f>
        <v>0</v>
      </c>
      <c r="E6" s="41">
        <f>ROUNDDOWN(COUNTIFS(コスト表!B:B, "敵2(ランナーゾンビ)", コスト表!G:G, "完了") / COUNTIF(コスト表!B:B, "敵2(ランナーゾンビ)") * 100,1)</f>
        <v>0</v>
      </c>
      <c r="G6" s="35" t="s">
        <v>28</v>
      </c>
      <c r="H6" s="48">
        <f ca="1">TODAY()</f>
        <v>45813</v>
      </c>
      <c r="I6" s="48"/>
      <c r="J6" s="28"/>
      <c r="K6" s="28"/>
    </row>
    <row r="7" spans="2:11">
      <c r="B7" s="18" t="s">
        <v>89</v>
      </c>
      <c r="C7" s="19">
        <f>SUMIF(コスト表!B:B, B7, コスト表!D:D)</f>
        <v>10.5</v>
      </c>
      <c r="D7" s="54">
        <f>SUMIFS(コスト表!D:D, コスト表!B:B, "敵3(遠距離型ゾンビ)", コスト表!G:G, "完了")</f>
        <v>0</v>
      </c>
      <c r="E7" s="41">
        <f>ROUNDDOWN(COUNTIFS(コスト表!B:B, "敵3(遠距離型ゾンビ)", コスト表!G:G, "完了") / COUNTIF(コスト表!B:B, "敵3(遠距離型ゾンビ)") * 100,1)</f>
        <v>0</v>
      </c>
      <c r="K7" s="28"/>
    </row>
    <row r="8" spans="2:11">
      <c r="B8" s="18" t="s">
        <v>78</v>
      </c>
      <c r="C8" s="19">
        <f>SUMIF(コスト表!B:B, B8, コスト表!D:D)</f>
        <v>24</v>
      </c>
      <c r="D8" s="54">
        <f>SUMIFS(コスト表!D:D, コスト表!B:B, "ボス(ゾンビを召喚)", コスト表!G:G, "完了")</f>
        <v>0</v>
      </c>
      <c r="E8" s="41">
        <f>ROUNDDOWN(COUNTIFS(コスト表!B:B, "ボス(ゾンビを召喚)", コスト表!G:G, "完了") / COUNTIF(コスト表!B:B, "ボス(ゾンビを召喚)") * 100,1)</f>
        <v>0</v>
      </c>
      <c r="G8" s="28"/>
      <c r="H8" s="28"/>
      <c r="I8" s="28" t="s">
        <v>29</v>
      </c>
      <c r="J8" s="28" t="s">
        <v>30</v>
      </c>
    </row>
    <row r="9" spans="2:11" ht="24">
      <c r="B9" s="1" t="s">
        <v>136</v>
      </c>
      <c r="C9" s="19">
        <f>SUMIF(コスト表!B:B, B9, コスト表!D:D)</f>
        <v>4</v>
      </c>
      <c r="D9" s="54">
        <f>SUMIFS(コスト表!D:D, コスト表!B:B, "マップ", コスト表!G:G, "完了")</f>
        <v>0</v>
      </c>
      <c r="E9" s="41">
        <f>ROUNDDOWN(COUNTIFS(コスト表!B:B, "マップ", コスト表!G:G, "完了") / COUNTIF(コスト表!B:B, "マップ") * 100,1)</f>
        <v>0</v>
      </c>
      <c r="G9" s="30" t="s">
        <v>71</v>
      </c>
      <c r="H9" s="49">
        <f>DATE(2025,7,23)</f>
        <v>45861</v>
      </c>
      <c r="I9" s="46">
        <f ca="1">NETWORKDAYS(TODAY(),H9)</f>
        <v>35</v>
      </c>
      <c r="J9" s="7">
        <f ca="1">ROUNDDOWN(($H$2-$H$3)/I9, 1)</f>
        <v>4.7</v>
      </c>
    </row>
    <row r="10" spans="2:11" ht="19.5">
      <c r="B10" s="18" t="s">
        <v>140</v>
      </c>
      <c r="C10" s="19">
        <f>SUMIF(コスト表!B:B, B10, コスト表!D:D)</f>
        <v>24</v>
      </c>
      <c r="D10" s="54">
        <f>SUMIFS(コスト表!D:D, コスト表!B:B, "ウェーブ管理", コスト表!G:G, "完了")</f>
        <v>0</v>
      </c>
      <c r="E10" s="41">
        <f>ROUNDDOWN(COUNTIFS(コスト表!B:B, "ウェーブ管理", コスト表!G:G, "完了") / COUNTIF(コスト表!B:B, "ウェーブ管理") * 100,1)</f>
        <v>0</v>
      </c>
      <c r="G10" s="31" t="s">
        <v>31</v>
      </c>
      <c r="H10" s="48">
        <f>DATE(2025,8,11)</f>
        <v>45880</v>
      </c>
      <c r="I10" s="45">
        <f ca="1">NETWORKDAYS(TODAY(),H10)</f>
        <v>48</v>
      </c>
      <c r="J10" s="29">
        <f ca="1">ROUNDDOWN(($H$2 - $H$3) / I10,1)</f>
        <v>3.4</v>
      </c>
    </row>
    <row r="11" spans="2:11" ht="19.5">
      <c r="B11" s="18" t="s">
        <v>57</v>
      </c>
      <c r="C11" s="19">
        <f>SUMIF(コスト表!B:B, B11, コスト表!D:D)</f>
        <v>8</v>
      </c>
      <c r="D11" s="54">
        <f>SUMIFS(コスト表!D:D, コスト表!B:B, "アイテム", コスト表!G:G, "完了")</f>
        <v>0</v>
      </c>
      <c r="E11" s="41">
        <f>ROUNDDOWN(COUNTIFS(コスト表!B:B, "アイテム", コスト表!G:G, "完了") / COUNTIF(コスト表!B:B, "アイテム") * 100,1)</f>
        <v>0</v>
      </c>
      <c r="G11" s="32" t="s">
        <v>32</v>
      </c>
      <c r="H11" s="48">
        <f>DATE(2025,8,17)</f>
        <v>45886</v>
      </c>
      <c r="I11" s="45">
        <f ca="1">NETWORKDAYS(TODAY(),H11)</f>
        <v>52</v>
      </c>
      <c r="J11" s="29">
        <f ca="1">ROUNDDOWN(($H$2 - $H$3) / I11,1)</f>
        <v>3.1</v>
      </c>
    </row>
    <row r="12" spans="2:11" ht="19.5">
      <c r="B12" s="18" t="s">
        <v>60</v>
      </c>
      <c r="C12" s="19">
        <f>SUMIF(コスト表!B:B, B12, コスト表!D:D)</f>
        <v>5</v>
      </c>
      <c r="D12" s="54">
        <f>SUMIFS(コスト表!D:D, コスト表!B:B, "タイトル", コスト表!G:G, "完了")</f>
        <v>1</v>
      </c>
      <c r="E12" s="41">
        <f>ROUNDDOWN(COUNTIFS(コスト表!B:B, "タイトル", コスト表!G:G, "完了") / COUNTIF(コスト表!B:B, "タイトル") * 100,1)</f>
        <v>25</v>
      </c>
      <c r="G12" s="33" t="s">
        <v>33</v>
      </c>
      <c r="H12" s="48">
        <f>DATE(2025,9,1)</f>
        <v>45901</v>
      </c>
      <c r="I12" s="45">
        <f ca="1">NETWORKDAYS(TODAY(),H12)</f>
        <v>63</v>
      </c>
      <c r="J12" s="29">
        <f ca="1">ROUNDDOWN(($H$2 - $H$3) / I12,1)</f>
        <v>2.6</v>
      </c>
    </row>
    <row r="13" spans="2:11">
      <c r="B13" s="18" t="s">
        <v>65</v>
      </c>
      <c r="C13" s="19">
        <f>SUMIF(コスト表!B:B, B13, コスト表!D:D)</f>
        <v>7</v>
      </c>
      <c r="D13" s="54">
        <f>SUMIFS(コスト表!D:D, コスト表!B:B, "オプション", コスト表!G:G, "完了")</f>
        <v>0</v>
      </c>
      <c r="E13" s="41">
        <f>ROUNDDOWN(COUNTIFS(コスト表!B:B, "オプション", コスト表!G:G, "完了") / COUNTIF(コスト表!B:B, "オプション") * 100,1)</f>
        <v>0</v>
      </c>
    </row>
    <row r="14" spans="2:11">
      <c r="B14" s="18" t="s">
        <v>49</v>
      </c>
      <c r="C14" s="19">
        <f>SUMIF(コスト表!B:B, B14, コスト表!D:D)</f>
        <v>8</v>
      </c>
      <c r="D14" s="54">
        <f>SUMIFS(コスト表!D:D, コスト表!B:B, "エフェクト", コスト表!G:G, "完了")</f>
        <v>0</v>
      </c>
      <c r="E14" s="41">
        <f>ROUNDDOWN(COUNTIFS(コスト表!B:B, "エフェクト", コスト表!G:G, "完了") / COUNTIF(コスト表!B:B, "エフェクト") * 100,1)</f>
        <v>0</v>
      </c>
    </row>
    <row r="15" spans="2:11">
      <c r="B15" s="42" t="s">
        <v>73</v>
      </c>
      <c r="C15" s="9"/>
      <c r="D15" s="9"/>
      <c r="E15" s="41">
        <f>ROUNDDOWN(COUNTIF(コスト表!G:G, "完了") / COUNTA(コスト表!G:G) * 100,1)</f>
        <v>12.5</v>
      </c>
      <c r="G15" s="43" t="s">
        <v>4</v>
      </c>
      <c r="H15" s="43" t="s">
        <v>74</v>
      </c>
      <c r="I15" s="43" t="s">
        <v>115</v>
      </c>
      <c r="J15" s="43" t="s">
        <v>75</v>
      </c>
    </row>
    <row r="16" spans="2:11">
      <c r="G16" s="44" t="s">
        <v>9</v>
      </c>
      <c r="H16" s="44">
        <f>SUMIF(コスト表!F:F, "プロト", コスト表!D:D)</f>
        <v>116.5</v>
      </c>
      <c r="I16" s="44">
        <f>SUMIFS(コスト表!D:D, コスト表!F:F, "プロト", コスト表!G:G, "完了")</f>
        <v>9</v>
      </c>
      <c r="J16" s="44">
        <f>ROUNDDOWN(COUNTIFS(コスト表!F:F, "プロト", コスト表!G:G, "完了") / COUNTIF(コスト表!F:F, "プロト") * 100,1)</f>
        <v>12.9</v>
      </c>
    </row>
    <row r="17" spans="3:10">
      <c r="C17" s="7"/>
      <c r="D17" s="7"/>
      <c r="E17" s="39"/>
      <c r="G17" s="44" t="s">
        <v>13</v>
      </c>
      <c r="H17" s="44">
        <f>SUMIF(コスト表!F:F, "アルファ", コスト表!D:D)</f>
        <v>58.5</v>
      </c>
      <c r="I17" s="44">
        <f>SUMIFS(コスト表!D:D, コスト表!F:F, "アルファ", コスト表!G:G, "完了")</f>
        <v>2</v>
      </c>
      <c r="J17" s="44">
        <f>ROUNDDOWN(COUNTIFS(コスト表!F:F, "アルファ", コスト表!G:G, "完了") / COUNTIF(コスト表!F:F, "アルファ") * 100,1)</f>
        <v>12.5</v>
      </c>
    </row>
    <row r="18" spans="3:10">
      <c r="C18" s="7"/>
      <c r="D18" s="7"/>
      <c r="E18" s="39"/>
      <c r="G18" s="44" t="s">
        <v>20</v>
      </c>
      <c r="H18" s="44">
        <f>SUMIF(コスト表!F:F, "ベータ", コスト表!D:D)</f>
        <v>1</v>
      </c>
      <c r="I18" s="44">
        <f>SUMIFS(コスト表!D:D, コスト表!F:F, "ベータ", コスト表!G:G, "完了")</f>
        <v>0</v>
      </c>
      <c r="J18" s="44">
        <f>ROUNDDOWN(COUNTIFS(コスト表!F:F, "ベータ", コスト表!G:G, "完了") / COUNTIF(コスト表!F:F, "ベータ") * 100,1)</f>
        <v>0</v>
      </c>
    </row>
    <row r="19" spans="3:10">
      <c r="E19" s="39"/>
      <c r="G19" s="44" t="s">
        <v>21</v>
      </c>
      <c r="H19" s="44">
        <f>SUMIF(コスト表!F:F, "マスター", コスト表!D:D)</f>
        <v>0</v>
      </c>
      <c r="I19" s="44">
        <f>SUMIFS(コスト表!D:D, コスト表!F:F, "マスター", コスト表!G:G, "完了")</f>
        <v>0</v>
      </c>
      <c r="J19" s="44" t="e">
        <f>ROUNDDOWN(COUNTIFS(コスト表!F:F, "マスター", コスト表!G:G, "完了") / COUNTIF(コスト表!F:F, "マスター") * 100,1)</f>
        <v>#DIV/0!</v>
      </c>
    </row>
    <row r="20" spans="3:10">
      <c r="E20" s="39"/>
    </row>
    <row r="22" spans="3:10">
      <c r="E22" s="37"/>
    </row>
    <row r="23" spans="3:10">
      <c r="E23" s="37"/>
    </row>
    <row r="24" spans="3:10">
      <c r="E24" s="37"/>
    </row>
    <row r="25" spans="3:10">
      <c r="E25" s="37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36" t="s">
        <v>19</v>
      </c>
      <c r="D2" s="36" t="s">
        <v>4</v>
      </c>
      <c r="F2" s="36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20</v>
      </c>
      <c r="F5" s="22" t="s">
        <v>11</v>
      </c>
    </row>
    <row r="6" spans="2:6">
      <c r="B6" s="2" t="s">
        <v>76</v>
      </c>
      <c r="D6" s="21" t="s">
        <v>21</v>
      </c>
      <c r="F6" s="23" t="s">
        <v>22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2025-06-05T01:00:55Z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