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\Documents\PHD\Experiments\Force Measurements\Exp2_Pendulum\"/>
    </mc:Choice>
  </mc:AlternateContent>
  <bookViews>
    <workbookView xWindow="0" yWindow="0" windowWidth="2150" windowHeight="0" tabRatio="517"/>
  </bookViews>
  <sheets>
    <sheet name="Exp2_supplementary_measurements" sheetId="1" r:id="rId1"/>
    <sheet name="Sheet1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6" i="1" l="1"/>
  <c r="AC114" i="1"/>
  <c r="AC112" i="1"/>
  <c r="AL96" i="1"/>
  <c r="AM96" i="1" s="1"/>
  <c r="AL97" i="1" s="1"/>
  <c r="AM97" i="1" s="1"/>
  <c r="AL374" i="1"/>
  <c r="AL368" i="1"/>
  <c r="AL288" i="1"/>
  <c r="AL280" i="1"/>
  <c r="AL235" i="1"/>
  <c r="AL234" i="1"/>
  <c r="AL229" i="1"/>
  <c r="AL228" i="1"/>
  <c r="AL225" i="1"/>
  <c r="AL224" i="1"/>
  <c r="AL150" i="1"/>
  <c r="AL149" i="1"/>
  <c r="BB149" i="1"/>
  <c r="AL148" i="1"/>
  <c r="AM148" i="1"/>
  <c r="AL147" i="1"/>
  <c r="AM147" i="1"/>
  <c r="AL110" i="1"/>
  <c r="AL10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8" i="1"/>
  <c r="AM99" i="1"/>
  <c r="AM100" i="1"/>
  <c r="AM101" i="1"/>
  <c r="AM102" i="1"/>
  <c r="AM103" i="1"/>
  <c r="AM104" i="1"/>
  <c r="AM105" i="1"/>
  <c r="AM106" i="1"/>
  <c r="AM107" i="1"/>
  <c r="AM108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6" i="1"/>
  <c r="AM227" i="1"/>
  <c r="AM230" i="1"/>
  <c r="AM231" i="1"/>
  <c r="AM232" i="1"/>
  <c r="AM233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2" i="1"/>
  <c r="AM283" i="1"/>
  <c r="AM284" i="1"/>
  <c r="AM285" i="1"/>
  <c r="AM286" i="1"/>
  <c r="AM287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70" i="1"/>
  <c r="AM371" i="1"/>
  <c r="AM372" i="1"/>
  <c r="AM373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2" i="1"/>
  <c r="AO76" i="1" l="1"/>
  <c r="AR75" i="1"/>
  <c r="AS75" i="1" s="1"/>
  <c r="AQ75" i="1"/>
  <c r="AO75" i="1"/>
  <c r="AC75" i="1"/>
  <c r="W75" i="1"/>
  <c r="X75" i="1" s="1"/>
  <c r="T75" i="1"/>
  <c r="Q75" i="1" s="1"/>
  <c r="M75" i="1"/>
  <c r="M76" i="1" l="1"/>
  <c r="T76" i="1"/>
  <c r="Q76" i="1" s="1"/>
  <c r="W76" i="1"/>
  <c r="X76" i="1"/>
  <c r="AC76" i="1"/>
  <c r="AQ76" i="1"/>
  <c r="AR76" i="1"/>
  <c r="AS76" i="1" s="1"/>
  <c r="AR321" i="1" l="1"/>
  <c r="AS321" i="1" s="1"/>
  <c r="AI273" i="1"/>
  <c r="AI275" i="1"/>
  <c r="R421" i="1" l="1"/>
  <c r="AL113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2" i="1"/>
  <c r="AL273" i="1" l="1"/>
  <c r="AG290" i="1" l="1"/>
  <c r="AG288" i="1"/>
  <c r="AG286" i="1"/>
  <c r="AG284" i="1"/>
  <c r="AG282" i="1"/>
  <c r="AG280" i="1"/>
  <c r="AG278" i="1"/>
  <c r="AG276" i="1"/>
  <c r="AG274" i="1"/>
  <c r="AG272" i="1"/>
  <c r="AG270" i="1"/>
  <c r="AG268" i="1"/>
  <c r="AG266" i="1"/>
  <c r="AG262" i="1"/>
  <c r="AG260" i="1"/>
  <c r="AG258" i="1"/>
  <c r="AG256" i="1"/>
  <c r="AG254" i="1"/>
  <c r="AG252" i="1"/>
  <c r="AG250" i="1"/>
  <c r="AG248" i="1"/>
  <c r="AG244" i="1"/>
  <c r="AG242" i="1"/>
  <c r="AG240" i="1"/>
  <c r="AG238" i="1"/>
  <c r="AG239" i="1"/>
  <c r="AG236" i="1"/>
  <c r="AG234" i="1"/>
  <c r="AG232" i="1"/>
  <c r="AG230" i="1"/>
  <c r="AG228" i="1"/>
  <c r="AG226" i="1"/>
  <c r="AG224" i="1"/>
  <c r="AG222" i="1"/>
  <c r="AG220" i="1"/>
  <c r="AG218" i="1"/>
  <c r="AG216" i="1"/>
  <c r="AG214" i="1"/>
  <c r="AG212" i="1"/>
  <c r="AG210" i="1"/>
  <c r="AG208" i="1"/>
  <c r="AG206" i="1"/>
  <c r="AG204" i="1"/>
  <c r="AG202" i="1"/>
  <c r="AG200" i="1"/>
  <c r="AG196" i="1"/>
  <c r="AG194" i="1"/>
  <c r="AG192" i="1"/>
  <c r="AG193" i="1"/>
  <c r="AG195" i="1"/>
  <c r="AG197" i="1"/>
  <c r="AG201" i="1"/>
  <c r="AG203" i="1"/>
  <c r="AG205" i="1"/>
  <c r="AG207" i="1"/>
  <c r="AG209" i="1"/>
  <c r="AG211" i="1"/>
  <c r="AG213" i="1"/>
  <c r="AG215" i="1"/>
  <c r="AG217" i="1"/>
  <c r="AG219" i="1"/>
  <c r="AG221" i="1"/>
  <c r="AG223" i="1"/>
  <c r="AG225" i="1"/>
  <c r="AG227" i="1"/>
  <c r="AG229" i="1"/>
  <c r="AG231" i="1"/>
  <c r="AG233" i="1"/>
  <c r="AG235" i="1"/>
  <c r="AG237" i="1"/>
  <c r="AG241" i="1"/>
  <c r="AG243" i="1"/>
  <c r="AG245" i="1"/>
  <c r="AG249" i="1"/>
  <c r="AG251" i="1"/>
  <c r="AG253" i="1"/>
  <c r="AG255" i="1"/>
  <c r="AG257" i="1"/>
  <c r="AG259" i="1"/>
  <c r="AG261" i="1"/>
  <c r="AG263" i="1"/>
  <c r="AG267" i="1"/>
  <c r="AG269" i="1"/>
  <c r="AG271" i="1"/>
  <c r="AG273" i="1"/>
  <c r="AG275" i="1"/>
  <c r="AG277" i="1"/>
  <c r="AG279" i="1"/>
  <c r="AG281" i="1"/>
  <c r="AG283" i="1"/>
  <c r="AG285" i="1"/>
  <c r="AG287" i="1"/>
  <c r="AG289" i="1"/>
  <c r="AG291" i="1"/>
  <c r="AG292" i="1"/>
  <c r="AG293" i="1"/>
  <c r="AI287" i="1" l="1"/>
  <c r="AH288" i="1"/>
  <c r="AI289" i="1"/>
  <c r="AH290" i="1"/>
  <c r="AI291" i="1"/>
  <c r="AH293" i="1"/>
  <c r="AI292" i="1"/>
  <c r="AH292" i="1"/>
  <c r="AI293" i="1"/>
  <c r="AO426" i="1" l="1"/>
  <c r="AQ426" i="1"/>
  <c r="AR426" i="1"/>
  <c r="AS426" i="1" s="1"/>
  <c r="AQ427" i="1"/>
  <c r="AR427" i="1"/>
  <c r="AS427" i="1" s="1"/>
  <c r="AO428" i="1"/>
  <c r="AQ428" i="1"/>
  <c r="AR428" i="1"/>
  <c r="AS428" i="1" s="1"/>
  <c r="AQ429" i="1"/>
  <c r="AR429" i="1"/>
  <c r="AS429" i="1" s="1"/>
  <c r="AO430" i="1"/>
  <c r="AQ430" i="1"/>
  <c r="AR430" i="1"/>
  <c r="AS430" i="1" s="1"/>
  <c r="AQ431" i="1"/>
  <c r="AR431" i="1"/>
  <c r="AS431" i="1" s="1"/>
  <c r="AO432" i="1"/>
  <c r="AQ432" i="1"/>
  <c r="AR432" i="1"/>
  <c r="AS432" i="1" s="1"/>
  <c r="AQ433" i="1"/>
  <c r="AR433" i="1"/>
  <c r="AS433" i="1" s="1"/>
  <c r="AO434" i="1"/>
  <c r="AQ434" i="1"/>
  <c r="AR434" i="1"/>
  <c r="AS434" i="1" s="1"/>
  <c r="AQ435" i="1"/>
  <c r="AR435" i="1"/>
  <c r="AS435" i="1" s="1"/>
  <c r="AO436" i="1"/>
  <c r="AQ436" i="1"/>
  <c r="AR436" i="1"/>
  <c r="AS436" i="1" s="1"/>
  <c r="AQ437" i="1"/>
  <c r="AR437" i="1"/>
  <c r="AS437" i="1" s="1"/>
  <c r="AO438" i="1"/>
  <c r="AQ438" i="1"/>
  <c r="AR438" i="1"/>
  <c r="AS438" i="1" s="1"/>
  <c r="AQ439" i="1"/>
  <c r="AR439" i="1"/>
  <c r="AS439" i="1" s="1"/>
  <c r="AL439" i="1"/>
  <c r="AO439" i="1" s="1"/>
  <c r="AL437" i="1"/>
  <c r="AO437" i="1" s="1"/>
  <c r="AL435" i="1"/>
  <c r="AO435" i="1" s="1"/>
  <c r="AL433" i="1"/>
  <c r="AO433" i="1" s="1"/>
  <c r="AL431" i="1"/>
  <c r="AO431" i="1" s="1"/>
  <c r="AL429" i="1"/>
  <c r="AO429" i="1" s="1"/>
  <c r="AL427" i="1"/>
  <c r="AO427" i="1" s="1"/>
  <c r="AR3" i="1" l="1"/>
  <c r="AS3" i="1" s="1"/>
  <c r="AR4" i="1"/>
  <c r="AS4" i="1" s="1"/>
  <c r="AR5" i="1"/>
  <c r="AS5" i="1" s="1"/>
  <c r="AR6" i="1"/>
  <c r="AS6" i="1" s="1"/>
  <c r="AR7" i="1"/>
  <c r="AS7" i="1" s="1"/>
  <c r="AR8" i="1"/>
  <c r="AS8" i="1" s="1"/>
  <c r="AR9" i="1"/>
  <c r="AS9" i="1" s="1"/>
  <c r="AR10" i="1"/>
  <c r="AS10" i="1" s="1"/>
  <c r="AR11" i="1"/>
  <c r="AS11" i="1" s="1"/>
  <c r="AR12" i="1"/>
  <c r="AS12" i="1" s="1"/>
  <c r="AR13" i="1"/>
  <c r="AS13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0" i="1"/>
  <c r="AS20" i="1" s="1"/>
  <c r="AR21" i="1"/>
  <c r="AS21" i="1" s="1"/>
  <c r="AR22" i="1"/>
  <c r="AS22" i="1" s="1"/>
  <c r="AR23" i="1"/>
  <c r="AS23" i="1" s="1"/>
  <c r="AR24" i="1"/>
  <c r="AS24" i="1" s="1"/>
  <c r="AR25" i="1"/>
  <c r="AS25" i="1" s="1"/>
  <c r="AR26" i="1"/>
  <c r="AS26" i="1" s="1"/>
  <c r="AR27" i="1"/>
  <c r="AS27" i="1" s="1"/>
  <c r="AR28" i="1"/>
  <c r="AS28" i="1" s="1"/>
  <c r="AR29" i="1"/>
  <c r="AS29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S45" i="1" s="1"/>
  <c r="AR46" i="1"/>
  <c r="AS46" i="1" s="1"/>
  <c r="AR47" i="1"/>
  <c r="AS47" i="1" s="1"/>
  <c r="AR48" i="1"/>
  <c r="AS48" i="1" s="1"/>
  <c r="AR49" i="1"/>
  <c r="AS49" i="1" s="1"/>
  <c r="AR50" i="1"/>
  <c r="AS50" i="1" s="1"/>
  <c r="AR51" i="1"/>
  <c r="AS51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AR73" i="1"/>
  <c r="AS73" i="1" s="1"/>
  <c r="AR74" i="1"/>
  <c r="AS74" i="1" s="1"/>
  <c r="AR77" i="1"/>
  <c r="AS77" i="1" s="1"/>
  <c r="AR78" i="1"/>
  <c r="AS78" i="1" s="1"/>
  <c r="AR79" i="1"/>
  <c r="AS79" i="1" s="1"/>
  <c r="AR80" i="1"/>
  <c r="AS80" i="1" s="1"/>
  <c r="AR81" i="1"/>
  <c r="AS81" i="1" s="1"/>
  <c r="AR82" i="1"/>
  <c r="AS82" i="1" s="1"/>
  <c r="AR83" i="1"/>
  <c r="AS83" i="1" s="1"/>
  <c r="AR84" i="1"/>
  <c r="AS84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6" i="1"/>
  <c r="AS96" i="1" s="1"/>
  <c r="AR97" i="1"/>
  <c r="AS97" i="1" s="1"/>
  <c r="AR98" i="1"/>
  <c r="AS98" i="1" s="1"/>
  <c r="AR99" i="1"/>
  <c r="AS99" i="1" s="1"/>
  <c r="AR100" i="1"/>
  <c r="AS100" i="1" s="1"/>
  <c r="AR101" i="1"/>
  <c r="AS101" i="1" s="1"/>
  <c r="AR102" i="1"/>
  <c r="AS102" i="1" s="1"/>
  <c r="AR103" i="1"/>
  <c r="AS103" i="1" s="1"/>
  <c r="AR104" i="1"/>
  <c r="AS104" i="1" s="1"/>
  <c r="AR105" i="1"/>
  <c r="AS105" i="1" s="1"/>
  <c r="AR106" i="1"/>
  <c r="AS106" i="1" s="1"/>
  <c r="AR107" i="1"/>
  <c r="AS107" i="1" s="1"/>
  <c r="AR108" i="1"/>
  <c r="AS108" i="1" s="1"/>
  <c r="AR109" i="1"/>
  <c r="AS109" i="1" s="1"/>
  <c r="AR110" i="1"/>
  <c r="AS110" i="1" s="1"/>
  <c r="AR111" i="1"/>
  <c r="AS111" i="1" s="1"/>
  <c r="AR112" i="1"/>
  <c r="AS112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131" i="1"/>
  <c r="AS131" i="1" s="1"/>
  <c r="AR132" i="1"/>
  <c r="AS132" i="1" s="1"/>
  <c r="AR133" i="1"/>
  <c r="AS133" i="1" s="1"/>
  <c r="AR134" i="1"/>
  <c r="AS134" i="1" s="1"/>
  <c r="AR135" i="1"/>
  <c r="AS135" i="1" s="1"/>
  <c r="AR136" i="1"/>
  <c r="AS136" i="1" s="1"/>
  <c r="AR137" i="1"/>
  <c r="AS137" i="1" s="1"/>
  <c r="AR138" i="1"/>
  <c r="AS138" i="1" s="1"/>
  <c r="AR139" i="1"/>
  <c r="AS139" i="1" s="1"/>
  <c r="AR140" i="1"/>
  <c r="AS140" i="1" s="1"/>
  <c r="AR141" i="1"/>
  <c r="AS141" i="1" s="1"/>
  <c r="AR142" i="1"/>
  <c r="AS142" i="1" s="1"/>
  <c r="AR143" i="1"/>
  <c r="AS143" i="1" s="1"/>
  <c r="AR144" i="1"/>
  <c r="AS144" i="1" s="1"/>
  <c r="AR145" i="1"/>
  <c r="AS145" i="1" s="1"/>
  <c r="AR146" i="1"/>
  <c r="AS146" i="1" s="1"/>
  <c r="AR147" i="1"/>
  <c r="AS147" i="1" s="1"/>
  <c r="AR149" i="1"/>
  <c r="AS149" i="1" s="1"/>
  <c r="AR151" i="1"/>
  <c r="AS151" i="1" s="1"/>
  <c r="AR153" i="1"/>
  <c r="AS153" i="1" s="1"/>
  <c r="AR155" i="1"/>
  <c r="AS155" i="1" s="1"/>
  <c r="AR157" i="1"/>
  <c r="AS157" i="1" s="1"/>
  <c r="AR159" i="1"/>
  <c r="AS159" i="1" s="1"/>
  <c r="AR161" i="1"/>
  <c r="AS161" i="1" s="1"/>
  <c r="AR163" i="1"/>
  <c r="AS163" i="1" s="1"/>
  <c r="AR165" i="1"/>
  <c r="AS165" i="1" s="1"/>
  <c r="AR167" i="1"/>
  <c r="AS167" i="1" s="1"/>
  <c r="AR168" i="1"/>
  <c r="AS168" i="1" s="1"/>
  <c r="AR169" i="1"/>
  <c r="AS169" i="1" s="1"/>
  <c r="AR171" i="1"/>
  <c r="AS171" i="1" s="1"/>
  <c r="AR173" i="1"/>
  <c r="AS173" i="1" s="1"/>
  <c r="AR174" i="1"/>
  <c r="AS174" i="1" s="1"/>
  <c r="AR176" i="1"/>
  <c r="AS176" i="1" s="1"/>
  <c r="AR178" i="1"/>
  <c r="AS178" i="1" s="1"/>
  <c r="AR180" i="1"/>
  <c r="AS180" i="1" s="1"/>
  <c r="AR182" i="1"/>
  <c r="AS182" i="1" s="1"/>
  <c r="AR184" i="1"/>
  <c r="AS184" i="1" s="1"/>
  <c r="AR186" i="1"/>
  <c r="AS186" i="1" s="1"/>
  <c r="AR188" i="1"/>
  <c r="AS188" i="1" s="1"/>
  <c r="AR190" i="1"/>
  <c r="AS190" i="1" s="1"/>
  <c r="AR192" i="1"/>
  <c r="AS192" i="1" s="1"/>
  <c r="AR194" i="1"/>
  <c r="AS194" i="1" s="1"/>
  <c r="AR196" i="1"/>
  <c r="AS196" i="1" s="1"/>
  <c r="AR198" i="1"/>
  <c r="AS198" i="1" s="1"/>
  <c r="AR200" i="1"/>
  <c r="AS200" i="1" s="1"/>
  <c r="AR202" i="1"/>
  <c r="AS202" i="1" s="1"/>
  <c r="AR204" i="1"/>
  <c r="AS204" i="1" s="1"/>
  <c r="AR206" i="1"/>
  <c r="AS206" i="1" s="1"/>
  <c r="AR208" i="1"/>
  <c r="AS208" i="1" s="1"/>
  <c r="AR210" i="1"/>
  <c r="AS210" i="1" s="1"/>
  <c r="AR212" i="1"/>
  <c r="AS212" i="1" s="1"/>
  <c r="AR214" i="1"/>
  <c r="AS214" i="1" s="1"/>
  <c r="AR216" i="1"/>
  <c r="AS216" i="1" s="1"/>
  <c r="AR218" i="1"/>
  <c r="AS218" i="1" s="1"/>
  <c r="AR220" i="1"/>
  <c r="AS220" i="1" s="1"/>
  <c r="AR222" i="1"/>
  <c r="AS222" i="1" s="1"/>
  <c r="AR224" i="1"/>
  <c r="AS224" i="1" s="1"/>
  <c r="AR226" i="1"/>
  <c r="AS226" i="1" s="1"/>
  <c r="AR228" i="1"/>
  <c r="AS228" i="1" s="1"/>
  <c r="AR230" i="1"/>
  <c r="AS230" i="1" s="1"/>
  <c r="AR232" i="1"/>
  <c r="AS232" i="1" s="1"/>
  <c r="AR234" i="1"/>
  <c r="AS234" i="1" s="1"/>
  <c r="AR236" i="1"/>
  <c r="AS236" i="1" s="1"/>
  <c r="AR238" i="1"/>
  <c r="AS238" i="1" s="1"/>
  <c r="AR240" i="1"/>
  <c r="AS240" i="1" s="1"/>
  <c r="AR242" i="1"/>
  <c r="AS242" i="1" s="1"/>
  <c r="AR244" i="1"/>
  <c r="AS244" i="1" s="1"/>
  <c r="AR246" i="1"/>
  <c r="AS246" i="1" s="1"/>
  <c r="AR248" i="1"/>
  <c r="AS248" i="1" s="1"/>
  <c r="AR250" i="1"/>
  <c r="AS250" i="1" s="1"/>
  <c r="AR252" i="1"/>
  <c r="AS252" i="1" s="1"/>
  <c r="AR254" i="1"/>
  <c r="AS254" i="1" s="1"/>
  <c r="AR256" i="1"/>
  <c r="AS256" i="1" s="1"/>
  <c r="AR258" i="1"/>
  <c r="AS258" i="1" s="1"/>
  <c r="AR260" i="1"/>
  <c r="AS260" i="1" s="1"/>
  <c r="AR262" i="1"/>
  <c r="AS262" i="1" s="1"/>
  <c r="AR264" i="1"/>
  <c r="AS264" i="1" s="1"/>
  <c r="AR266" i="1"/>
  <c r="AS266" i="1" s="1"/>
  <c r="AR268" i="1"/>
  <c r="AS268" i="1" s="1"/>
  <c r="AR270" i="1"/>
  <c r="AS270" i="1" s="1"/>
  <c r="AR272" i="1"/>
  <c r="AS272" i="1" s="1"/>
  <c r="AR274" i="1"/>
  <c r="AS274" i="1" s="1"/>
  <c r="AR276" i="1"/>
  <c r="AS276" i="1" s="1"/>
  <c r="AR278" i="1"/>
  <c r="AS278" i="1" s="1"/>
  <c r="AR280" i="1"/>
  <c r="AS280" i="1" s="1"/>
  <c r="AR282" i="1"/>
  <c r="AS282" i="1" s="1"/>
  <c r="AR284" i="1"/>
  <c r="AS284" i="1" s="1"/>
  <c r="AR286" i="1"/>
  <c r="AS286" i="1" s="1"/>
  <c r="AR288" i="1"/>
  <c r="AS288" i="1" s="1"/>
  <c r="AR290" i="1"/>
  <c r="AS290" i="1" s="1"/>
  <c r="AR292" i="1"/>
  <c r="AS292" i="1" s="1"/>
  <c r="AR294" i="1"/>
  <c r="AS294" i="1" s="1"/>
  <c r="AR295" i="1"/>
  <c r="AS295" i="1" s="1"/>
  <c r="AR296" i="1"/>
  <c r="AS296" i="1" s="1"/>
  <c r="AR297" i="1"/>
  <c r="AS297" i="1" s="1"/>
  <c r="AR298" i="1"/>
  <c r="AS298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2" i="1"/>
  <c r="AS312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2" i="1"/>
  <c r="AS322" i="1" s="1"/>
  <c r="AR323" i="1"/>
  <c r="AS323" i="1" s="1"/>
  <c r="AR324" i="1"/>
  <c r="AS324" i="1" s="1"/>
  <c r="AR325" i="1"/>
  <c r="AS325" i="1" s="1"/>
  <c r="AR326" i="1"/>
  <c r="AS326" i="1" s="1"/>
  <c r="AR327" i="1"/>
  <c r="AS327" i="1" s="1"/>
  <c r="AR328" i="1"/>
  <c r="AS328" i="1" s="1"/>
  <c r="AR329" i="1"/>
  <c r="AS329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5" i="1"/>
  <c r="AS335" i="1" s="1"/>
  <c r="AR336" i="1"/>
  <c r="AS336" i="1" s="1"/>
  <c r="AR337" i="1"/>
  <c r="AS337" i="1" s="1"/>
  <c r="AR338" i="1"/>
  <c r="AS338" i="1" s="1"/>
  <c r="AR339" i="1"/>
  <c r="AS339" i="1" s="1"/>
  <c r="AR340" i="1"/>
  <c r="AS340" i="1" s="1"/>
  <c r="AR341" i="1"/>
  <c r="AS341" i="1" s="1"/>
  <c r="AR342" i="1"/>
  <c r="AS342" i="1" s="1"/>
  <c r="AR343" i="1"/>
  <c r="AS343" i="1" s="1"/>
  <c r="AR344" i="1"/>
  <c r="AS344" i="1" s="1"/>
  <c r="AR345" i="1"/>
  <c r="AS345" i="1" s="1"/>
  <c r="AR346" i="1"/>
  <c r="AS346" i="1" s="1"/>
  <c r="AR347" i="1"/>
  <c r="AS347" i="1" s="1"/>
  <c r="AR348" i="1"/>
  <c r="AS348" i="1" s="1"/>
  <c r="AR349" i="1"/>
  <c r="AS349" i="1" s="1"/>
  <c r="AR350" i="1"/>
  <c r="AS350" i="1" s="1"/>
  <c r="AR351" i="1"/>
  <c r="AS351" i="1" s="1"/>
  <c r="AR352" i="1"/>
  <c r="AS352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59" i="1"/>
  <c r="AS359" i="1" s="1"/>
  <c r="AR360" i="1"/>
  <c r="AS360" i="1" s="1"/>
  <c r="AR361" i="1"/>
  <c r="AS361" i="1" s="1"/>
  <c r="AR362" i="1"/>
  <c r="AS362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0" i="1"/>
  <c r="AS370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8" i="1"/>
  <c r="AS378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89" i="1"/>
  <c r="AS389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2" i="1"/>
  <c r="AS402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0" i="1"/>
  <c r="AS410" i="1" s="1"/>
  <c r="AR411" i="1"/>
  <c r="AS411" i="1" s="1"/>
  <c r="AR412" i="1"/>
  <c r="AS412" i="1" s="1"/>
  <c r="AR413" i="1"/>
  <c r="AS413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0" i="1"/>
  <c r="AS420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2" i="1"/>
  <c r="AS2" i="1" s="1"/>
  <c r="AQ392" i="1"/>
  <c r="AQ421" i="1"/>
  <c r="AQ411" i="1" l="1"/>
  <c r="AQ410" i="1"/>
  <c r="AQ412" i="1"/>
  <c r="AQ413" i="1"/>
  <c r="AQ414" i="1"/>
  <c r="AQ415" i="1"/>
  <c r="AQ416" i="1"/>
  <c r="AQ417" i="1"/>
  <c r="AQ418" i="1"/>
  <c r="AQ419" i="1"/>
  <c r="AQ420" i="1"/>
  <c r="AQ422" i="1"/>
  <c r="AQ423" i="1"/>
  <c r="AQ424" i="1"/>
  <c r="AQ425" i="1"/>
  <c r="AO400" i="1"/>
  <c r="AO402" i="1"/>
  <c r="AO403" i="1"/>
  <c r="AO404" i="1"/>
  <c r="AL413" i="1"/>
  <c r="AL417" i="1"/>
  <c r="AL419" i="1"/>
  <c r="AL421" i="1"/>
  <c r="AL423" i="1"/>
  <c r="AL425" i="1"/>
  <c r="R406" i="1"/>
  <c r="AO406" i="1" s="1"/>
  <c r="R392" i="1"/>
  <c r="R374" i="1"/>
  <c r="R340" i="1"/>
  <c r="R338" i="1"/>
  <c r="R312" i="1"/>
  <c r="R298" i="1"/>
  <c r="R292" i="1"/>
  <c r="R288" i="1"/>
  <c r="R278" i="1"/>
  <c r="R270" i="1"/>
  <c r="R268" i="1"/>
  <c r="R276" i="1"/>
  <c r="R258" i="1"/>
  <c r="R255" i="1"/>
  <c r="R254" i="1"/>
  <c r="R259" i="1"/>
  <c r="R391" i="1"/>
  <c r="R390" i="1"/>
  <c r="R394" i="1"/>
  <c r="R409" i="1"/>
  <c r="R411" i="1"/>
  <c r="AO411" i="1" s="1"/>
  <c r="R413" i="1"/>
  <c r="R415" i="1"/>
  <c r="AO415" i="1" s="1"/>
  <c r="R417" i="1"/>
  <c r="R419" i="1"/>
  <c r="R423" i="1"/>
  <c r="R425" i="1"/>
  <c r="R424" i="1"/>
  <c r="AO424" i="1" s="1"/>
  <c r="R422" i="1"/>
  <c r="AO422" i="1" s="1"/>
  <c r="R420" i="1"/>
  <c r="AO420" i="1" s="1"/>
  <c r="R418" i="1"/>
  <c r="AO418" i="1" s="1"/>
  <c r="R416" i="1"/>
  <c r="AO416" i="1" s="1"/>
  <c r="R414" i="1"/>
  <c r="AO414" i="1" s="1"/>
  <c r="R412" i="1"/>
  <c r="AO412" i="1" s="1"/>
  <c r="R410" i="1"/>
  <c r="AO410" i="1" s="1"/>
  <c r="R408" i="1"/>
  <c r="AO408" i="1" s="1"/>
  <c r="AO423" i="1" l="1"/>
  <c r="AO413" i="1"/>
  <c r="AO421" i="1"/>
  <c r="AO425" i="1"/>
  <c r="AO419" i="1"/>
  <c r="AO417" i="1"/>
  <c r="AQ2" i="1"/>
  <c r="AQ3" i="1"/>
  <c r="AQ4" i="1"/>
  <c r="AQ5" i="1"/>
  <c r="AQ6" i="1"/>
  <c r="AQ7" i="1"/>
  <c r="AQ8" i="1"/>
  <c r="AQ409" i="1" l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2" i="1"/>
  <c r="AQ290" i="1"/>
  <c r="AQ288" i="1"/>
  <c r="AQ286" i="1"/>
  <c r="AQ284" i="1"/>
  <c r="AQ282" i="1"/>
  <c r="AQ280" i="1"/>
  <c r="AQ278" i="1"/>
  <c r="AQ276" i="1"/>
  <c r="AQ274" i="1"/>
  <c r="AQ272" i="1"/>
  <c r="AQ270" i="1"/>
  <c r="AQ268" i="1"/>
  <c r="AQ266" i="1"/>
  <c r="AQ264" i="1"/>
  <c r="AQ262" i="1"/>
  <c r="AQ260" i="1"/>
  <c r="AQ258" i="1"/>
  <c r="AQ256" i="1"/>
  <c r="AQ254" i="1"/>
  <c r="AQ252" i="1"/>
  <c r="AQ250" i="1"/>
  <c r="AQ248" i="1"/>
  <c r="AQ246" i="1"/>
  <c r="AQ244" i="1"/>
  <c r="AQ242" i="1"/>
  <c r="AQ240" i="1"/>
  <c r="AQ238" i="1"/>
  <c r="AQ236" i="1"/>
  <c r="AQ234" i="1"/>
  <c r="AQ232" i="1"/>
  <c r="AQ230" i="1"/>
  <c r="AQ228" i="1"/>
  <c r="AQ226" i="1"/>
  <c r="AQ224" i="1"/>
  <c r="AQ222" i="1"/>
  <c r="AQ220" i="1"/>
  <c r="AQ218" i="1"/>
  <c r="AQ216" i="1"/>
  <c r="AQ214" i="1"/>
  <c r="AQ212" i="1"/>
  <c r="AQ210" i="1"/>
  <c r="AQ208" i="1"/>
  <c r="AQ206" i="1"/>
  <c r="AQ204" i="1"/>
  <c r="AQ202" i="1"/>
  <c r="AQ200" i="1"/>
  <c r="AQ198" i="1"/>
  <c r="AQ196" i="1"/>
  <c r="AQ194" i="1"/>
  <c r="AQ192" i="1"/>
  <c r="AQ190" i="1"/>
  <c r="AQ188" i="1"/>
  <c r="AQ186" i="1"/>
  <c r="AQ184" i="1"/>
  <c r="AQ182" i="1"/>
  <c r="AQ180" i="1"/>
  <c r="AQ178" i="1"/>
  <c r="AQ176" i="1"/>
  <c r="AQ174" i="1"/>
  <c r="AQ173" i="1"/>
  <c r="AQ171" i="1"/>
  <c r="AQ169" i="1"/>
  <c r="AQ168" i="1"/>
  <c r="AQ167" i="1"/>
  <c r="AQ165" i="1"/>
  <c r="AQ163" i="1"/>
  <c r="AQ161" i="1"/>
  <c r="AQ159" i="1"/>
  <c r="AQ157" i="1"/>
  <c r="AQ155" i="1"/>
  <c r="AQ153" i="1"/>
  <c r="AQ151" i="1"/>
  <c r="AQ149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H10" i="1"/>
  <c r="AH8" i="1"/>
  <c r="AL409" i="1" l="1"/>
  <c r="AO409" i="1" s="1"/>
  <c r="AL407" i="1"/>
  <c r="AO407" i="1" s="1"/>
  <c r="AL405" i="1"/>
  <c r="AO405" i="1" s="1"/>
  <c r="AL401" i="1"/>
  <c r="AO401" i="1" s="1"/>
  <c r="Y406" i="1"/>
  <c r="Y407" i="1"/>
  <c r="Y408" i="1"/>
  <c r="Y409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2" i="1"/>
  <c r="X2" i="1" s="1"/>
  <c r="AL399" i="1" l="1"/>
  <c r="AO399" i="1" s="1"/>
  <c r="AL396" i="1"/>
  <c r="AO397" i="1"/>
  <c r="Q397" i="1"/>
  <c r="Q398" i="1"/>
  <c r="Q399" i="1"/>
  <c r="Q396" i="1"/>
  <c r="AO398" i="1" l="1"/>
  <c r="AO396" i="1"/>
  <c r="AL136" i="1"/>
  <c r="AL360" i="1" l="1"/>
  <c r="AL52" i="1"/>
  <c r="AL395" i="1"/>
  <c r="AL393" i="1"/>
  <c r="AL391" i="1"/>
  <c r="AL389" i="1"/>
  <c r="Q394" i="1"/>
  <c r="Q395" i="1"/>
  <c r="R395" i="1"/>
  <c r="AO394" i="1"/>
  <c r="AO390" i="1"/>
  <c r="AO393" i="1" l="1"/>
  <c r="AO386" i="1"/>
  <c r="AO391" i="1"/>
  <c r="AO395" i="1"/>
  <c r="AO384" i="1"/>
  <c r="AO392" i="1"/>
  <c r="AL387" i="1"/>
  <c r="AO387" i="1" s="1"/>
  <c r="AL385" i="1"/>
  <c r="AO385" i="1" s="1"/>
  <c r="Q393" i="1" l="1"/>
  <c r="Q391" i="1"/>
  <c r="Q389" i="1"/>
  <c r="Q387" i="1"/>
  <c r="Q386" i="1"/>
  <c r="Q385" i="1"/>
  <c r="Q392" i="1"/>
  <c r="Q390" i="1"/>
  <c r="Q388" i="1"/>
  <c r="Q384" i="1"/>
  <c r="AL80" i="1" l="1"/>
  <c r="AL373" i="1" l="1"/>
  <c r="AL375" i="1"/>
  <c r="AM375" i="1" s="1"/>
  <c r="AL377" i="1"/>
  <c r="AL383" i="1" l="1"/>
  <c r="AL369" i="1"/>
  <c r="AM369" i="1" s="1"/>
  <c r="AL365" i="1"/>
  <c r="AL357" i="1"/>
  <c r="AL347" i="1"/>
  <c r="AL345" i="1"/>
  <c r="AL337" i="1"/>
  <c r="AL367" i="1"/>
  <c r="AL349" i="1"/>
  <c r="AL339" i="1"/>
  <c r="AL331" i="1"/>
  <c r="AL329" i="1"/>
  <c r="AL327" i="1"/>
  <c r="AL323" i="1"/>
  <c r="AL319" i="1"/>
  <c r="AL315" i="1"/>
  <c r="AL311" i="1"/>
  <c r="AL309" i="1"/>
  <c r="AL299" i="1"/>
  <c r="AL297" i="1"/>
  <c r="AY374" i="1"/>
  <c r="AY375" i="1" s="1"/>
  <c r="AY376" i="1" s="1"/>
  <c r="AY377" i="1" s="1"/>
  <c r="AY378" i="1" s="1"/>
  <c r="AY379" i="1" s="1"/>
  <c r="AY380" i="1" s="1"/>
  <c r="AY381" i="1" s="1"/>
  <c r="AY382" i="1" s="1"/>
  <c r="AY383" i="1" s="1"/>
  <c r="AY384" i="1" s="1"/>
  <c r="AY385" i="1" s="1"/>
  <c r="AY386" i="1" s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Y407" i="1" s="1"/>
  <c r="AY408" i="1" s="1"/>
  <c r="AY409" i="1" s="1"/>
  <c r="AY410" i="1" s="1"/>
  <c r="AY411" i="1" s="1"/>
  <c r="AY412" i="1" s="1"/>
  <c r="AY413" i="1" s="1"/>
  <c r="AY414" i="1" s="1"/>
  <c r="AY415" i="1" s="1"/>
  <c r="AY416" i="1" s="1"/>
  <c r="AY417" i="1" s="1"/>
  <c r="AY418" i="1" s="1"/>
  <c r="AY419" i="1" s="1"/>
  <c r="AY420" i="1" s="1"/>
  <c r="AY421" i="1" s="1"/>
  <c r="AY422" i="1" s="1"/>
  <c r="AY423" i="1" s="1"/>
  <c r="AY424" i="1" s="1"/>
  <c r="AY425" i="1" s="1"/>
  <c r="AY426" i="1" s="1"/>
  <c r="AY427" i="1" s="1"/>
  <c r="AY428" i="1" s="1"/>
  <c r="AY429" i="1" s="1"/>
  <c r="AY430" i="1" s="1"/>
  <c r="AY431" i="1" s="1"/>
  <c r="AY432" i="1" s="1"/>
  <c r="AY433" i="1" s="1"/>
  <c r="AY434" i="1" s="1"/>
  <c r="AY435" i="1" s="1"/>
  <c r="AY436" i="1" s="1"/>
  <c r="AY437" i="1" s="1"/>
  <c r="AY438" i="1" s="1"/>
  <c r="AY439" i="1" s="1"/>
  <c r="AO379" i="1"/>
  <c r="AO380" i="1"/>
  <c r="AO382" i="1"/>
  <c r="AO378" i="1"/>
  <c r="R377" i="1"/>
  <c r="AO377" i="1" s="1"/>
  <c r="R376" i="1"/>
  <c r="AO374" i="1"/>
  <c r="R373" i="1"/>
  <c r="R372" i="1"/>
  <c r="R369" i="1"/>
  <c r="R370" i="1"/>
  <c r="R371" i="1"/>
  <c r="R368" i="1"/>
  <c r="AO368" i="1" s="1"/>
  <c r="Q365" i="1"/>
  <c r="Q364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AO370" i="1" l="1"/>
  <c r="AO383" i="1"/>
  <c r="AO367" i="1"/>
  <c r="AO369" i="1"/>
  <c r="AO371" i="1"/>
  <c r="AO373" i="1"/>
  <c r="AO366" i="1"/>
  <c r="AO365" i="1"/>
  <c r="AO364" i="1"/>
  <c r="AO376" i="1"/>
  <c r="AO372" i="1"/>
  <c r="AO381" i="1"/>
  <c r="AO375" i="1"/>
  <c r="Q366" i="1"/>
  <c r="R342" i="1" l="1"/>
  <c r="R343" i="1"/>
  <c r="AO343" i="1" s="1"/>
  <c r="R344" i="1"/>
  <c r="R345" i="1"/>
  <c r="R346" i="1"/>
  <c r="R347" i="1"/>
  <c r="R333" i="1"/>
  <c r="R334" i="1"/>
  <c r="R335" i="1"/>
  <c r="R336" i="1"/>
  <c r="R337" i="1"/>
  <c r="R317" i="1"/>
  <c r="R332" i="1"/>
  <c r="R316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41" i="1"/>
  <c r="Q342" i="1"/>
  <c r="Q343" i="1"/>
  <c r="Q344" i="1"/>
  <c r="Q345" i="1"/>
  <c r="Q346" i="1"/>
  <c r="Q347" i="1"/>
  <c r="Q340" i="1"/>
  <c r="AO307" i="1" l="1"/>
  <c r="AO297" i="1"/>
  <c r="AO296" i="1"/>
  <c r="AO295" i="1"/>
  <c r="AO356" i="1"/>
  <c r="AO350" i="1"/>
  <c r="AO335" i="1"/>
  <c r="AO342" i="1"/>
  <c r="AO355" i="1"/>
  <c r="AO352" i="1"/>
  <c r="AO334" i="1"/>
  <c r="AO341" i="1"/>
  <c r="AO354" i="1"/>
  <c r="AO348" i="1"/>
  <c r="AO336" i="1"/>
  <c r="AO359" i="1"/>
  <c r="AO358" i="1"/>
  <c r="AO333" i="1"/>
  <c r="AO340" i="1"/>
  <c r="AO353" i="1"/>
  <c r="AO347" i="1"/>
  <c r="AO339" i="1"/>
  <c r="AO363" i="1"/>
  <c r="AO330" i="1"/>
  <c r="AO349" i="1"/>
  <c r="AO332" i="1"/>
  <c r="AO331" i="1"/>
  <c r="AO345" i="1"/>
  <c r="AO351" i="1"/>
  <c r="AO361" i="1"/>
  <c r="AO346" i="1"/>
  <c r="AO362" i="1"/>
  <c r="AO338" i="1"/>
  <c r="AO337" i="1"/>
  <c r="AO344" i="1"/>
  <c r="AO357" i="1"/>
  <c r="AO360" i="1"/>
  <c r="Q331" i="1"/>
  <c r="Q332" i="1"/>
  <c r="Q333" i="1"/>
  <c r="Q334" i="1"/>
  <c r="Q335" i="1"/>
  <c r="Q336" i="1"/>
  <c r="Q337" i="1"/>
  <c r="Q338" i="1"/>
  <c r="Q339" i="1"/>
  <c r="Q330" i="1"/>
  <c r="Q325" i="1"/>
  <c r="Q321" i="1"/>
  <c r="Q322" i="1"/>
  <c r="Q323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4" i="1"/>
  <c r="AO196" i="1"/>
  <c r="AO198" i="1"/>
  <c r="AO200" i="1"/>
  <c r="AO202" i="1"/>
  <c r="AO204" i="1"/>
  <c r="AO206" i="1"/>
  <c r="AO208" i="1"/>
  <c r="AO210" i="1"/>
  <c r="AO212" i="1"/>
  <c r="AO214" i="1"/>
  <c r="AO216" i="1"/>
  <c r="AO218" i="1"/>
  <c r="AO220" i="1"/>
  <c r="AO222" i="1"/>
  <c r="AO224" i="1"/>
  <c r="AO226" i="1"/>
  <c r="AO228" i="1"/>
  <c r="AO230" i="1"/>
  <c r="AO232" i="1"/>
  <c r="AO234" i="1"/>
  <c r="AO237" i="1"/>
  <c r="AO238" i="1"/>
  <c r="AO294" i="1"/>
  <c r="AO298" i="1"/>
  <c r="AO299" i="1"/>
  <c r="AO300" i="1"/>
  <c r="AO301" i="1"/>
  <c r="AO302" i="1"/>
  <c r="AO303" i="1"/>
  <c r="AO304" i="1"/>
  <c r="AO305" i="1"/>
  <c r="AO306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2" i="1"/>
  <c r="Q324" i="1"/>
  <c r="Q326" i="1"/>
  <c r="Q327" i="1"/>
  <c r="Q328" i="1"/>
  <c r="Q329" i="1"/>
  <c r="Q320" i="1"/>
  <c r="T2" i="1" l="1"/>
  <c r="Q2" i="1" s="1"/>
  <c r="AC2" i="1"/>
  <c r="T3" i="1"/>
  <c r="Q3" i="1" s="1"/>
  <c r="AC3" i="1"/>
  <c r="T4" i="1"/>
  <c r="Q4" i="1" s="1"/>
  <c r="AC4" i="1"/>
  <c r="T5" i="1"/>
  <c r="Q5" i="1" s="1"/>
  <c r="AC5" i="1"/>
  <c r="T6" i="1"/>
  <c r="Q6" i="1" s="1"/>
  <c r="AC6" i="1"/>
  <c r="T7" i="1"/>
  <c r="Q7" i="1" s="1"/>
  <c r="AC7" i="1"/>
  <c r="T8" i="1"/>
  <c r="Q8" i="1" s="1"/>
  <c r="T9" i="1"/>
  <c r="Q9" i="1" s="1"/>
  <c r="AC9" i="1"/>
  <c r="T10" i="1"/>
  <c r="Q10" i="1" s="1"/>
  <c r="T11" i="1"/>
  <c r="Q11" i="1" s="1"/>
  <c r="AC11" i="1"/>
  <c r="T12" i="1"/>
  <c r="Q12" i="1" s="1"/>
  <c r="T13" i="1"/>
  <c r="Q13" i="1" s="1"/>
  <c r="AC13" i="1"/>
  <c r="T14" i="1"/>
  <c r="Q14" i="1" s="1"/>
  <c r="T15" i="1"/>
  <c r="Q15" i="1" s="1"/>
  <c r="AC15" i="1"/>
  <c r="T16" i="1"/>
  <c r="Q16" i="1" s="1"/>
  <c r="T17" i="1"/>
  <c r="Q17" i="1" s="1"/>
  <c r="AC17" i="1"/>
  <c r="T18" i="1"/>
  <c r="Q18" i="1" s="1"/>
  <c r="T19" i="1"/>
  <c r="Q19" i="1" s="1"/>
  <c r="AC19" i="1"/>
  <c r="T20" i="1"/>
  <c r="Q20" i="1" s="1"/>
  <c r="T21" i="1"/>
  <c r="Q21" i="1" s="1"/>
  <c r="AC21" i="1"/>
  <c r="T22" i="1"/>
  <c r="Q22" i="1" s="1"/>
  <c r="T23" i="1"/>
  <c r="Q23" i="1" s="1"/>
  <c r="AC23" i="1"/>
  <c r="T24" i="1"/>
  <c r="Q24" i="1" s="1"/>
  <c r="T25" i="1"/>
  <c r="Q25" i="1" s="1"/>
  <c r="AC25" i="1"/>
  <c r="T26" i="1"/>
  <c r="Q26" i="1" s="1"/>
  <c r="T27" i="1"/>
  <c r="Q27" i="1" s="1"/>
  <c r="AC27" i="1"/>
  <c r="T28" i="1"/>
  <c r="Q28" i="1" s="1"/>
  <c r="T29" i="1"/>
  <c r="Q29" i="1" s="1"/>
  <c r="AC29" i="1"/>
  <c r="T30" i="1"/>
  <c r="Q30" i="1" s="1"/>
  <c r="T31" i="1"/>
  <c r="Q31" i="1" s="1"/>
  <c r="AC31" i="1"/>
  <c r="T32" i="1"/>
  <c r="Q32" i="1" s="1"/>
  <c r="T33" i="1"/>
  <c r="Q33" i="1" s="1"/>
  <c r="AC33" i="1"/>
  <c r="T34" i="1"/>
  <c r="Q34" i="1" s="1"/>
  <c r="T35" i="1"/>
  <c r="Q35" i="1" s="1"/>
  <c r="AC35" i="1"/>
  <c r="T36" i="1"/>
  <c r="Q36" i="1" s="1"/>
  <c r="T37" i="1"/>
  <c r="Q37" i="1" s="1"/>
  <c r="AC37" i="1"/>
  <c r="T38" i="1"/>
  <c r="Q38" i="1" s="1"/>
  <c r="T39" i="1"/>
  <c r="Q39" i="1" s="1"/>
  <c r="AC39" i="1"/>
  <c r="T40" i="1"/>
  <c r="Q40" i="1" s="1"/>
  <c r="T41" i="1"/>
  <c r="Q41" i="1" s="1"/>
  <c r="AC41" i="1"/>
  <c r="T42" i="1"/>
  <c r="Q42" i="1" s="1"/>
  <c r="T43" i="1"/>
  <c r="Q43" i="1" s="1"/>
  <c r="AC43" i="1"/>
  <c r="T44" i="1"/>
  <c r="Q44" i="1" s="1"/>
  <c r="T45" i="1"/>
  <c r="Q45" i="1" s="1"/>
  <c r="AC45" i="1"/>
  <c r="T46" i="1"/>
  <c r="Q46" i="1" s="1"/>
  <c r="T47" i="1"/>
  <c r="Q47" i="1" s="1"/>
  <c r="AC47" i="1"/>
  <c r="T48" i="1"/>
  <c r="Q48" i="1" s="1"/>
  <c r="T49" i="1"/>
  <c r="Q49" i="1" s="1"/>
  <c r="AC49" i="1"/>
  <c r="T50" i="1"/>
  <c r="Q50" i="1" s="1"/>
  <c r="T51" i="1"/>
  <c r="Q51" i="1" s="1"/>
  <c r="AC51" i="1"/>
  <c r="T52" i="1"/>
  <c r="Q52" i="1" s="1"/>
  <c r="T53" i="1"/>
  <c r="Q53" i="1" s="1"/>
  <c r="AC53" i="1"/>
  <c r="T54" i="1"/>
  <c r="Q54" i="1" s="1"/>
  <c r="T55" i="1"/>
  <c r="Q55" i="1" s="1"/>
  <c r="AC55" i="1"/>
  <c r="T56" i="1"/>
  <c r="Q56" i="1" s="1"/>
  <c r="T57" i="1"/>
  <c r="Q57" i="1" s="1"/>
  <c r="AC57" i="1"/>
  <c r="T58" i="1"/>
  <c r="Q58" i="1" s="1"/>
  <c r="T59" i="1"/>
  <c r="Q59" i="1" s="1"/>
  <c r="AC59" i="1"/>
  <c r="T60" i="1"/>
  <c r="Q60" i="1" s="1"/>
  <c r="T61" i="1"/>
  <c r="Q61" i="1" s="1"/>
  <c r="AC61" i="1"/>
  <c r="T62" i="1"/>
  <c r="Q62" i="1" s="1"/>
  <c r="T63" i="1"/>
  <c r="Q63" i="1" s="1"/>
  <c r="AC63" i="1"/>
  <c r="T64" i="1"/>
  <c r="Q64" i="1" s="1"/>
  <c r="T65" i="1"/>
  <c r="Q65" i="1" s="1"/>
  <c r="AC65" i="1"/>
  <c r="T66" i="1"/>
  <c r="Q66" i="1" s="1"/>
  <c r="T67" i="1"/>
  <c r="Q67" i="1" s="1"/>
  <c r="AC67" i="1"/>
  <c r="T68" i="1"/>
  <c r="Q68" i="1" s="1"/>
  <c r="T69" i="1"/>
  <c r="Q69" i="1" s="1"/>
  <c r="AC69" i="1"/>
  <c r="T70" i="1"/>
  <c r="Q70" i="1" s="1"/>
  <c r="T71" i="1"/>
  <c r="Q71" i="1" s="1"/>
  <c r="AC71" i="1"/>
  <c r="T72" i="1"/>
  <c r="Q72" i="1" s="1"/>
  <c r="T73" i="1"/>
  <c r="Q73" i="1" s="1"/>
  <c r="AC73" i="1"/>
  <c r="T74" i="1"/>
  <c r="Q74" i="1" s="1"/>
  <c r="T77" i="1"/>
  <c r="Q77" i="1" s="1"/>
  <c r="AC77" i="1"/>
  <c r="T78" i="1"/>
  <c r="Q78" i="1" s="1"/>
  <c r="T79" i="1"/>
  <c r="Q79" i="1" s="1"/>
  <c r="AC79" i="1"/>
  <c r="T80" i="1"/>
  <c r="Q80" i="1" s="1"/>
  <c r="T81" i="1"/>
  <c r="Q81" i="1" s="1"/>
  <c r="AC81" i="1"/>
  <c r="T82" i="1"/>
  <c r="Q82" i="1" s="1"/>
  <c r="T83" i="1"/>
  <c r="Q83" i="1" s="1"/>
  <c r="AC83" i="1"/>
  <c r="T84" i="1"/>
  <c r="Q84" i="1" s="1"/>
  <c r="T85" i="1"/>
  <c r="Q85" i="1" s="1"/>
  <c r="AC85" i="1"/>
  <c r="T86" i="1"/>
  <c r="Q86" i="1" s="1"/>
  <c r="T87" i="1"/>
  <c r="Q87" i="1" s="1"/>
  <c r="AC87" i="1"/>
  <c r="T88" i="1"/>
  <c r="Q88" i="1" s="1"/>
  <c r="T89" i="1"/>
  <c r="Q89" i="1" s="1"/>
  <c r="AC89" i="1"/>
  <c r="T90" i="1"/>
  <c r="Q90" i="1" s="1"/>
  <c r="T91" i="1"/>
  <c r="Q91" i="1" s="1"/>
  <c r="AC91" i="1"/>
  <c r="T92" i="1"/>
  <c r="Q92" i="1" s="1"/>
  <c r="T93" i="1"/>
  <c r="Q93" i="1" s="1"/>
  <c r="AC93" i="1"/>
  <c r="T94" i="1"/>
  <c r="Q94" i="1" s="1"/>
  <c r="T95" i="1"/>
  <c r="Q95" i="1" s="1"/>
  <c r="AC95" i="1"/>
  <c r="T96" i="1"/>
  <c r="Q96" i="1" s="1"/>
  <c r="T97" i="1"/>
  <c r="Q97" i="1" s="1"/>
  <c r="AC97" i="1"/>
  <c r="T98" i="1"/>
  <c r="Q98" i="1" s="1"/>
  <c r="T99" i="1"/>
  <c r="Q99" i="1" s="1"/>
  <c r="AC99" i="1"/>
  <c r="T100" i="1"/>
  <c r="Q100" i="1" s="1"/>
  <c r="T101" i="1"/>
  <c r="Q101" i="1" s="1"/>
  <c r="AC101" i="1"/>
  <c r="T102" i="1"/>
  <c r="Q102" i="1" s="1"/>
  <c r="T103" i="1"/>
  <c r="Q103" i="1" s="1"/>
  <c r="AC103" i="1"/>
  <c r="T104" i="1"/>
  <c r="Q104" i="1" s="1"/>
  <c r="T105" i="1"/>
  <c r="Q105" i="1" s="1"/>
  <c r="AC105" i="1"/>
  <c r="T106" i="1"/>
  <c r="Q106" i="1" s="1"/>
  <c r="T107" i="1"/>
  <c r="Q107" i="1" s="1"/>
  <c r="AC107" i="1"/>
  <c r="T108" i="1"/>
  <c r="Q108" i="1" s="1"/>
  <c r="T109" i="1"/>
  <c r="Q109" i="1" s="1"/>
  <c r="AC109" i="1"/>
  <c r="T110" i="1"/>
  <c r="Q110" i="1" s="1"/>
  <c r="T111" i="1"/>
  <c r="Q111" i="1" s="1"/>
  <c r="AC111" i="1"/>
  <c r="T112" i="1"/>
  <c r="Q112" i="1" s="1"/>
  <c r="T113" i="1"/>
  <c r="Q113" i="1" s="1"/>
  <c r="AC113" i="1"/>
  <c r="T114" i="1"/>
  <c r="Q114" i="1" s="1"/>
  <c r="T115" i="1"/>
  <c r="Q115" i="1" s="1"/>
  <c r="AC115" i="1"/>
  <c r="T116" i="1"/>
  <c r="Q116" i="1" s="1"/>
  <c r="T117" i="1"/>
  <c r="Q117" i="1" s="1"/>
  <c r="AC117" i="1"/>
  <c r="T118" i="1"/>
  <c r="Q118" i="1" s="1"/>
  <c r="T119" i="1"/>
  <c r="Q119" i="1" s="1"/>
  <c r="AC119" i="1"/>
  <c r="T120" i="1"/>
  <c r="Q120" i="1" s="1"/>
  <c r="T121" i="1"/>
  <c r="Q121" i="1" s="1"/>
  <c r="AC121" i="1"/>
  <c r="T122" i="1"/>
  <c r="Q122" i="1" s="1"/>
  <c r="T123" i="1"/>
  <c r="Q123" i="1" s="1"/>
  <c r="AC123" i="1"/>
  <c r="T124" i="1"/>
  <c r="Q124" i="1" s="1"/>
  <c r="T125" i="1"/>
  <c r="Q125" i="1" s="1"/>
  <c r="AC125" i="1"/>
  <c r="T126" i="1"/>
  <c r="Q126" i="1" s="1"/>
  <c r="T127" i="1"/>
  <c r="Q127" i="1" s="1"/>
  <c r="AC127" i="1"/>
  <c r="T128" i="1"/>
  <c r="Q128" i="1" s="1"/>
  <c r="T129" i="1"/>
  <c r="Q129" i="1" s="1"/>
  <c r="AC129" i="1"/>
  <c r="T130" i="1"/>
  <c r="Q130" i="1" s="1"/>
  <c r="T131" i="1"/>
  <c r="Q131" i="1" s="1"/>
  <c r="AC131" i="1"/>
  <c r="T132" i="1"/>
  <c r="Q132" i="1" s="1"/>
  <c r="T133" i="1"/>
  <c r="Q133" i="1" s="1"/>
  <c r="AC133" i="1"/>
  <c r="T134" i="1"/>
  <c r="Q134" i="1" s="1"/>
  <c r="AC134" i="1"/>
  <c r="T135" i="1"/>
  <c r="Q135" i="1" s="1"/>
  <c r="AC135" i="1"/>
  <c r="T136" i="1"/>
  <c r="Q136" i="1" s="1"/>
  <c r="T137" i="1"/>
  <c r="Q137" i="1" s="1"/>
  <c r="AC137" i="1"/>
  <c r="T138" i="1"/>
  <c r="Q138" i="1" s="1"/>
  <c r="T139" i="1"/>
  <c r="Q139" i="1" s="1"/>
  <c r="AC139" i="1"/>
  <c r="T140" i="1"/>
  <c r="Q140" i="1" s="1"/>
  <c r="T141" i="1"/>
  <c r="Q141" i="1" s="1"/>
  <c r="AC141" i="1"/>
  <c r="T142" i="1"/>
  <c r="Q142" i="1" s="1"/>
  <c r="T143" i="1"/>
  <c r="Q143" i="1" s="1"/>
  <c r="AC143" i="1"/>
  <c r="T144" i="1"/>
  <c r="Q144" i="1" s="1"/>
  <c r="T145" i="1"/>
  <c r="Q145" i="1" s="1"/>
  <c r="AC145" i="1"/>
  <c r="T146" i="1"/>
  <c r="Q146" i="1" s="1"/>
  <c r="T147" i="1"/>
  <c r="Q147" i="1" s="1"/>
  <c r="AC147" i="1"/>
  <c r="T148" i="1"/>
  <c r="Q148" i="1" s="1"/>
  <c r="AI148" i="1"/>
  <c r="T149" i="1"/>
  <c r="Q149" i="1" s="1"/>
  <c r="AC149" i="1"/>
  <c r="T150" i="1"/>
  <c r="Q150" i="1" s="1"/>
  <c r="AI150" i="1"/>
  <c r="T151" i="1"/>
  <c r="Q151" i="1" s="1"/>
  <c r="AC151" i="1"/>
  <c r="T152" i="1"/>
  <c r="Q152" i="1" s="1"/>
  <c r="AI152" i="1"/>
  <c r="T153" i="1"/>
  <c r="Q153" i="1" s="1"/>
  <c r="AC153" i="1"/>
  <c r="T154" i="1"/>
  <c r="Q154" i="1" s="1"/>
  <c r="AI154" i="1"/>
  <c r="T155" i="1"/>
  <c r="Q155" i="1" s="1"/>
  <c r="AC155" i="1"/>
  <c r="T156" i="1"/>
  <c r="Q156" i="1" s="1"/>
  <c r="AI156" i="1"/>
  <c r="T157" i="1"/>
  <c r="Q157" i="1" s="1"/>
  <c r="AC157" i="1"/>
  <c r="T158" i="1"/>
  <c r="Q158" i="1" s="1"/>
  <c r="AI158" i="1"/>
  <c r="T159" i="1"/>
  <c r="Q159" i="1" s="1"/>
  <c r="AC159" i="1"/>
  <c r="T160" i="1"/>
  <c r="Q160" i="1" s="1"/>
  <c r="AI160" i="1"/>
  <c r="T161" i="1"/>
  <c r="Q161" i="1" s="1"/>
  <c r="AC161" i="1"/>
  <c r="T162" i="1"/>
  <c r="Q162" i="1" s="1"/>
  <c r="AI162" i="1"/>
  <c r="T163" i="1"/>
  <c r="Q163" i="1" s="1"/>
  <c r="AC163" i="1"/>
  <c r="T164" i="1"/>
  <c r="Q164" i="1" s="1"/>
  <c r="AI164" i="1"/>
  <c r="T165" i="1"/>
  <c r="Q165" i="1" s="1"/>
  <c r="AC165" i="1"/>
  <c r="T166" i="1"/>
  <c r="Q166" i="1" s="1"/>
  <c r="AI166" i="1"/>
  <c r="T167" i="1"/>
  <c r="Q167" i="1" s="1"/>
  <c r="AC167" i="1"/>
  <c r="T168" i="1"/>
  <c r="Q168" i="1" s="1"/>
  <c r="T169" i="1"/>
  <c r="Q169" i="1" s="1"/>
  <c r="AC169" i="1"/>
  <c r="T170" i="1"/>
  <c r="Q170" i="1" s="1"/>
  <c r="AI170" i="1"/>
  <c r="T171" i="1"/>
  <c r="Q171" i="1" s="1"/>
  <c r="AC171" i="1"/>
  <c r="T172" i="1"/>
  <c r="Q172" i="1" s="1"/>
  <c r="AI172" i="1"/>
  <c r="T173" i="1"/>
  <c r="Q173" i="1" s="1"/>
  <c r="AC173" i="1"/>
  <c r="T174" i="1"/>
  <c r="Q174" i="1" s="1"/>
  <c r="AC174" i="1"/>
  <c r="T175" i="1"/>
  <c r="Q175" i="1" s="1"/>
  <c r="AI175" i="1"/>
  <c r="T176" i="1"/>
  <c r="Q176" i="1" s="1"/>
  <c r="AC176" i="1"/>
  <c r="T177" i="1"/>
  <c r="Q177" i="1" s="1"/>
  <c r="AI177" i="1"/>
  <c r="T178" i="1"/>
  <c r="Q178" i="1" s="1"/>
  <c r="AC178" i="1"/>
  <c r="T179" i="1"/>
  <c r="Q179" i="1" s="1"/>
  <c r="AI179" i="1"/>
  <c r="T180" i="1"/>
  <c r="Q180" i="1" s="1"/>
  <c r="AC180" i="1"/>
  <c r="T181" i="1"/>
  <c r="Q181" i="1" s="1"/>
  <c r="AI181" i="1"/>
  <c r="T182" i="1"/>
  <c r="Q182" i="1" s="1"/>
  <c r="AC182" i="1"/>
  <c r="T183" i="1"/>
  <c r="Q183" i="1" s="1"/>
  <c r="AI183" i="1"/>
  <c r="T184" i="1"/>
  <c r="Q184" i="1" s="1"/>
  <c r="AC184" i="1"/>
  <c r="T185" i="1"/>
  <c r="Q185" i="1" s="1"/>
  <c r="AI185" i="1"/>
  <c r="T186" i="1"/>
  <c r="Q186" i="1" s="1"/>
  <c r="AC186" i="1"/>
  <c r="T187" i="1"/>
  <c r="Q187" i="1" s="1"/>
  <c r="AI187" i="1"/>
  <c r="T188" i="1"/>
  <c r="Q188" i="1" s="1"/>
  <c r="AC188" i="1"/>
  <c r="T189" i="1"/>
  <c r="Q189" i="1" s="1"/>
  <c r="AI189" i="1"/>
  <c r="T190" i="1"/>
  <c r="Q190" i="1" s="1"/>
  <c r="AC190" i="1"/>
  <c r="T191" i="1"/>
  <c r="Q191" i="1" s="1"/>
  <c r="AI191" i="1"/>
  <c r="T192" i="1"/>
  <c r="Q192" i="1" s="1"/>
  <c r="AH192" i="1"/>
  <c r="AC192" i="1" s="1"/>
  <c r="T193" i="1"/>
  <c r="Q193" i="1" s="1"/>
  <c r="AI193" i="1"/>
  <c r="AL193" i="1"/>
  <c r="AO193" i="1" s="1"/>
  <c r="T194" i="1"/>
  <c r="Q194" i="1" s="1"/>
  <c r="AH194" i="1"/>
  <c r="AC194" i="1" s="1"/>
  <c r="T195" i="1"/>
  <c r="Q195" i="1" s="1"/>
  <c r="AI195" i="1"/>
  <c r="AL195" i="1"/>
  <c r="AO195" i="1" s="1"/>
  <c r="T196" i="1"/>
  <c r="Q196" i="1" s="1"/>
  <c r="AH196" i="1"/>
  <c r="AC196" i="1" s="1"/>
  <c r="T197" i="1"/>
  <c r="Q197" i="1" s="1"/>
  <c r="AI197" i="1"/>
  <c r="AL197" i="1"/>
  <c r="AO197" i="1" s="1"/>
  <c r="T198" i="1"/>
  <c r="Q198" i="1" s="1"/>
  <c r="AH198" i="1"/>
  <c r="AC198" i="1" s="1"/>
  <c r="T199" i="1"/>
  <c r="Q199" i="1" s="1"/>
  <c r="AI199" i="1"/>
  <c r="AL199" i="1"/>
  <c r="AO199" i="1" s="1"/>
  <c r="T200" i="1"/>
  <c r="Q200" i="1" s="1"/>
  <c r="AH200" i="1"/>
  <c r="T201" i="1"/>
  <c r="Q201" i="1" s="1"/>
  <c r="AI201" i="1"/>
  <c r="AL201" i="1"/>
  <c r="AO201" i="1" s="1"/>
  <c r="T202" i="1"/>
  <c r="Q202" i="1" s="1"/>
  <c r="AH202" i="1"/>
  <c r="AC202" i="1" s="1"/>
  <c r="T203" i="1"/>
  <c r="Q203" i="1" s="1"/>
  <c r="AI203" i="1"/>
  <c r="AL203" i="1"/>
  <c r="AO203" i="1" s="1"/>
  <c r="T204" i="1"/>
  <c r="Q204" i="1" s="1"/>
  <c r="AH204" i="1"/>
  <c r="AC204" i="1" s="1"/>
  <c r="T205" i="1"/>
  <c r="Q205" i="1" s="1"/>
  <c r="AI205" i="1"/>
  <c r="AL205" i="1"/>
  <c r="AO205" i="1" s="1"/>
  <c r="T206" i="1"/>
  <c r="Q206" i="1" s="1"/>
  <c r="AH206" i="1"/>
  <c r="AC200" i="1" s="1"/>
  <c r="T207" i="1"/>
  <c r="Q207" i="1" s="1"/>
  <c r="AI207" i="1"/>
  <c r="AR207" i="1" s="1"/>
  <c r="AS207" i="1" s="1"/>
  <c r="AL207" i="1"/>
  <c r="AO207" i="1" s="1"/>
  <c r="T208" i="1"/>
  <c r="Q208" i="1" s="1"/>
  <c r="AH208" i="1"/>
  <c r="AC208" i="1" s="1"/>
  <c r="T209" i="1"/>
  <c r="Q209" i="1" s="1"/>
  <c r="AI209" i="1"/>
  <c r="AL209" i="1"/>
  <c r="AO209" i="1" s="1"/>
  <c r="T210" i="1"/>
  <c r="Q210" i="1" s="1"/>
  <c r="AH210" i="1"/>
  <c r="AC210" i="1" s="1"/>
  <c r="T211" i="1"/>
  <c r="Q211" i="1" s="1"/>
  <c r="AI211" i="1"/>
  <c r="AL211" i="1"/>
  <c r="AO211" i="1" s="1"/>
  <c r="T212" i="1"/>
  <c r="Q212" i="1" s="1"/>
  <c r="AH212" i="1"/>
  <c r="AC212" i="1" s="1"/>
  <c r="T213" i="1"/>
  <c r="Q213" i="1" s="1"/>
  <c r="AI213" i="1"/>
  <c r="AL213" i="1"/>
  <c r="AO213" i="1" s="1"/>
  <c r="T214" i="1"/>
  <c r="Q214" i="1" s="1"/>
  <c r="AH214" i="1"/>
  <c r="AC214" i="1" s="1"/>
  <c r="T215" i="1"/>
  <c r="Q215" i="1" s="1"/>
  <c r="AI215" i="1"/>
  <c r="AR215" i="1" s="1"/>
  <c r="AS215" i="1" s="1"/>
  <c r="AL215" i="1"/>
  <c r="AO215" i="1" s="1"/>
  <c r="T216" i="1"/>
  <c r="Q216" i="1" s="1"/>
  <c r="AH216" i="1"/>
  <c r="AC216" i="1" s="1"/>
  <c r="T217" i="1"/>
  <c r="Q217" i="1" s="1"/>
  <c r="AI217" i="1"/>
  <c r="AL217" i="1"/>
  <c r="AO217" i="1" s="1"/>
  <c r="T218" i="1"/>
  <c r="Q218" i="1" s="1"/>
  <c r="AH218" i="1"/>
  <c r="AC218" i="1" s="1"/>
  <c r="T219" i="1"/>
  <c r="Q219" i="1" s="1"/>
  <c r="AI219" i="1"/>
  <c r="AL219" i="1"/>
  <c r="AO219" i="1" s="1"/>
  <c r="T220" i="1"/>
  <c r="Q220" i="1" s="1"/>
  <c r="AH220" i="1"/>
  <c r="AC220" i="1" s="1"/>
  <c r="T221" i="1"/>
  <c r="Q221" i="1" s="1"/>
  <c r="AI221" i="1"/>
  <c r="AL221" i="1"/>
  <c r="AO221" i="1" s="1"/>
  <c r="T222" i="1"/>
  <c r="Q222" i="1" s="1"/>
  <c r="AH222" i="1"/>
  <c r="AC222" i="1" s="1"/>
  <c r="T223" i="1"/>
  <c r="Q223" i="1" s="1"/>
  <c r="AI223" i="1"/>
  <c r="AR223" i="1" s="1"/>
  <c r="AS223" i="1" s="1"/>
  <c r="AL223" i="1"/>
  <c r="AO223" i="1" s="1"/>
  <c r="T224" i="1"/>
  <c r="Q224" i="1" s="1"/>
  <c r="AH224" i="1"/>
  <c r="AC224" i="1" s="1"/>
  <c r="T225" i="1"/>
  <c r="Q225" i="1" s="1"/>
  <c r="AI225" i="1"/>
  <c r="T226" i="1"/>
  <c r="Q226" i="1" s="1"/>
  <c r="AH226" i="1"/>
  <c r="AC226" i="1" s="1"/>
  <c r="T227" i="1"/>
  <c r="Q227" i="1" s="1"/>
  <c r="AI227" i="1"/>
  <c r="AL227" i="1"/>
  <c r="AO227" i="1" s="1"/>
  <c r="T228" i="1"/>
  <c r="Q228" i="1" s="1"/>
  <c r="AH228" i="1"/>
  <c r="AC228" i="1" s="1"/>
  <c r="T229" i="1"/>
  <c r="Q229" i="1" s="1"/>
  <c r="AI229" i="1"/>
  <c r="T230" i="1"/>
  <c r="Q230" i="1" s="1"/>
  <c r="AH230" i="1"/>
  <c r="AC230" i="1" s="1"/>
  <c r="T231" i="1"/>
  <c r="Q231" i="1" s="1"/>
  <c r="AI231" i="1"/>
  <c r="AR231" i="1" s="1"/>
  <c r="AS231" i="1" s="1"/>
  <c r="AL231" i="1"/>
  <c r="AO231" i="1" s="1"/>
  <c r="T232" i="1"/>
  <c r="Q232" i="1" s="1"/>
  <c r="AH232" i="1"/>
  <c r="AC232" i="1" s="1"/>
  <c r="T233" i="1"/>
  <c r="Q233" i="1" s="1"/>
  <c r="AI233" i="1"/>
  <c r="AL233" i="1"/>
  <c r="AO233" i="1" s="1"/>
  <c r="T234" i="1"/>
  <c r="Q234" i="1" s="1"/>
  <c r="AH234" i="1"/>
  <c r="AC234" i="1" s="1"/>
  <c r="T235" i="1"/>
  <c r="Q235" i="1" s="1"/>
  <c r="AI235" i="1"/>
  <c r="T236" i="1"/>
  <c r="Q236" i="1" s="1"/>
  <c r="AH236" i="1"/>
  <c r="AC236" i="1" s="1"/>
  <c r="AL236" i="1"/>
  <c r="AO236" i="1" s="1"/>
  <c r="T237" i="1"/>
  <c r="Q237" i="1" s="1"/>
  <c r="AI237" i="1"/>
  <c r="T238" i="1"/>
  <c r="Q238" i="1" s="1"/>
  <c r="AH238" i="1"/>
  <c r="AC238" i="1" s="1"/>
  <c r="T239" i="1"/>
  <c r="Q239" i="1" s="1"/>
  <c r="AI239" i="1"/>
  <c r="AR239" i="1" s="1"/>
  <c r="AS239" i="1" s="1"/>
  <c r="AL239" i="1"/>
  <c r="AO239" i="1" s="1"/>
  <c r="R240" i="1"/>
  <c r="T240" i="1"/>
  <c r="Q240" i="1" s="1"/>
  <c r="AH240" i="1"/>
  <c r="AC240" i="1" s="1"/>
  <c r="R241" i="1"/>
  <c r="T241" i="1"/>
  <c r="Q241" i="1" s="1"/>
  <c r="AI241" i="1"/>
  <c r="AR241" i="1" s="1"/>
  <c r="AS241" i="1" s="1"/>
  <c r="AL241" i="1"/>
  <c r="R242" i="1"/>
  <c r="T242" i="1"/>
  <c r="Q242" i="1" s="1"/>
  <c r="AH242" i="1"/>
  <c r="AC242" i="1" s="1"/>
  <c r="R243" i="1"/>
  <c r="T243" i="1"/>
  <c r="Q243" i="1" s="1"/>
  <c r="AI243" i="1"/>
  <c r="AR243" i="1" s="1"/>
  <c r="AS243" i="1" s="1"/>
  <c r="AL243" i="1"/>
  <c r="R244" i="1"/>
  <c r="T244" i="1"/>
  <c r="Q244" i="1" s="1"/>
  <c r="AH244" i="1"/>
  <c r="AC244" i="1" s="1"/>
  <c r="R245" i="1"/>
  <c r="T245" i="1"/>
  <c r="Q245" i="1" s="1"/>
  <c r="AI245" i="1"/>
  <c r="AR245" i="1" s="1"/>
  <c r="AS245" i="1" s="1"/>
  <c r="R246" i="1"/>
  <c r="T246" i="1"/>
  <c r="Q246" i="1" s="1"/>
  <c r="AH246" i="1"/>
  <c r="AC246" i="1" s="1"/>
  <c r="R247" i="1"/>
  <c r="T247" i="1"/>
  <c r="Q247" i="1" s="1"/>
  <c r="AI247" i="1"/>
  <c r="AL247" i="1"/>
  <c r="R248" i="1"/>
  <c r="T248" i="1"/>
  <c r="Q248" i="1" s="1"/>
  <c r="AH248" i="1"/>
  <c r="AC248" i="1" s="1"/>
  <c r="R249" i="1"/>
  <c r="T249" i="1"/>
  <c r="Q249" i="1" s="1"/>
  <c r="AI249" i="1"/>
  <c r="R250" i="1"/>
  <c r="T250" i="1"/>
  <c r="Q250" i="1" s="1"/>
  <c r="AH250" i="1"/>
  <c r="AC250" i="1" s="1"/>
  <c r="R251" i="1"/>
  <c r="T251" i="1"/>
  <c r="Q251" i="1" s="1"/>
  <c r="AI251" i="1"/>
  <c r="AL251" i="1"/>
  <c r="R252" i="1"/>
  <c r="T252" i="1"/>
  <c r="Q252" i="1" s="1"/>
  <c r="AH252" i="1"/>
  <c r="AC252" i="1" s="1"/>
  <c r="R253" i="1"/>
  <c r="T253" i="1"/>
  <c r="Q253" i="1" s="1"/>
  <c r="AI253" i="1"/>
  <c r="AL253" i="1"/>
  <c r="T254" i="1"/>
  <c r="Q254" i="1" s="1"/>
  <c r="AH254" i="1"/>
  <c r="AC254" i="1" s="1"/>
  <c r="T255" i="1"/>
  <c r="Q255" i="1" s="1"/>
  <c r="AI255" i="1"/>
  <c r="AL255" i="1"/>
  <c r="T256" i="1"/>
  <c r="Q256" i="1" s="1"/>
  <c r="AH256" i="1"/>
  <c r="AC256" i="1" s="1"/>
  <c r="AL256" i="1"/>
  <c r="AO257" i="1"/>
  <c r="T257" i="1"/>
  <c r="Q257" i="1" s="1"/>
  <c r="AI257" i="1"/>
  <c r="T258" i="1"/>
  <c r="Q258" i="1" s="1"/>
  <c r="AH258" i="1"/>
  <c r="AC258" i="1" s="1"/>
  <c r="T259" i="1"/>
  <c r="Q259" i="1" s="1"/>
  <c r="AI259" i="1"/>
  <c r="AR259" i="1" s="1"/>
  <c r="AS259" i="1" s="1"/>
  <c r="AL259" i="1"/>
  <c r="T260" i="1"/>
  <c r="Q260" i="1" s="1"/>
  <c r="AH260" i="1"/>
  <c r="AC260" i="1" s="1"/>
  <c r="T261" i="1"/>
  <c r="Q261" i="1" s="1"/>
  <c r="AI261" i="1"/>
  <c r="AL261" i="1"/>
  <c r="T262" i="1"/>
  <c r="Q262" i="1" s="1"/>
  <c r="AH262" i="1"/>
  <c r="AC262" i="1" s="1"/>
  <c r="T263" i="1"/>
  <c r="Q263" i="1" s="1"/>
  <c r="AI263" i="1"/>
  <c r="AL263" i="1"/>
  <c r="AO264" i="1"/>
  <c r="T264" i="1"/>
  <c r="Q264" i="1" s="1"/>
  <c r="AH264" i="1"/>
  <c r="AC264" i="1" s="1"/>
  <c r="T265" i="1"/>
  <c r="Q265" i="1" s="1"/>
  <c r="AI265" i="1"/>
  <c r="AL265" i="1"/>
  <c r="T266" i="1"/>
  <c r="Q266" i="1" s="1"/>
  <c r="AH266" i="1"/>
  <c r="AC266" i="1" s="1"/>
  <c r="T267" i="1"/>
  <c r="Q267" i="1" s="1"/>
  <c r="AI267" i="1"/>
  <c r="AR267" i="1" s="1"/>
  <c r="AS267" i="1" s="1"/>
  <c r="AL267" i="1"/>
  <c r="T268" i="1"/>
  <c r="Q268" i="1" s="1"/>
  <c r="AH268" i="1"/>
  <c r="T269" i="1"/>
  <c r="Q269" i="1" s="1"/>
  <c r="AI269" i="1"/>
  <c r="AL269" i="1"/>
  <c r="T270" i="1"/>
  <c r="Q270" i="1" s="1"/>
  <c r="AH270" i="1"/>
  <c r="AC270" i="1" s="1"/>
  <c r="T271" i="1"/>
  <c r="Q271" i="1" s="1"/>
  <c r="AI271" i="1"/>
  <c r="AR271" i="1" s="1"/>
  <c r="AS271" i="1" s="1"/>
  <c r="AL271" i="1"/>
  <c r="T272" i="1"/>
  <c r="Q272" i="1" s="1"/>
  <c r="AH272" i="1"/>
  <c r="T273" i="1"/>
  <c r="Q273" i="1" s="1"/>
  <c r="AO274" i="1"/>
  <c r="T274" i="1"/>
  <c r="Q274" i="1" s="1"/>
  <c r="AH274" i="1"/>
  <c r="T275" i="1"/>
  <c r="Q275" i="1" s="1"/>
  <c r="AL275" i="1"/>
  <c r="T276" i="1"/>
  <c r="Q276" i="1" s="1"/>
  <c r="AH276" i="1"/>
  <c r="AC276" i="1" s="1"/>
  <c r="T277" i="1"/>
  <c r="Q277" i="1" s="1"/>
  <c r="AI277" i="1"/>
  <c r="AL277" i="1"/>
  <c r="T278" i="1"/>
  <c r="Q278" i="1" s="1"/>
  <c r="AH278" i="1"/>
  <c r="AC278" i="1" s="1"/>
  <c r="T279" i="1"/>
  <c r="Q279" i="1" s="1"/>
  <c r="AI279" i="1"/>
  <c r="AL279" i="1"/>
  <c r="R280" i="1"/>
  <c r="T280" i="1"/>
  <c r="Q280" i="1" s="1"/>
  <c r="AH280" i="1"/>
  <c r="R281" i="1"/>
  <c r="T281" i="1"/>
  <c r="Q281" i="1" s="1"/>
  <c r="AI281" i="1"/>
  <c r="AL281" i="1"/>
  <c r="AM281" i="1" s="1"/>
  <c r="R282" i="1"/>
  <c r="T282" i="1"/>
  <c r="Q282" i="1" s="1"/>
  <c r="AH282" i="1"/>
  <c r="AL282" i="1"/>
  <c r="R283" i="1"/>
  <c r="T283" i="1"/>
  <c r="Q283" i="1" s="1"/>
  <c r="AI283" i="1"/>
  <c r="T284" i="1"/>
  <c r="Q284" i="1" s="1"/>
  <c r="AH284" i="1"/>
  <c r="AY284" i="1"/>
  <c r="T285" i="1"/>
  <c r="Q285" i="1" s="1"/>
  <c r="AI285" i="1"/>
  <c r="T286" i="1"/>
  <c r="Q286" i="1" s="1"/>
  <c r="AH286" i="1"/>
  <c r="T287" i="1"/>
  <c r="Q287" i="1" s="1"/>
  <c r="AL287" i="1"/>
  <c r="T288" i="1"/>
  <c r="Q288" i="1" s="1"/>
  <c r="AC288" i="1"/>
  <c r="T289" i="1"/>
  <c r="Q289" i="1" s="1"/>
  <c r="AC289" i="1"/>
  <c r="AR289" i="1"/>
  <c r="AS289" i="1" s="1"/>
  <c r="AL289" i="1"/>
  <c r="AM289" i="1" s="1"/>
  <c r="T290" i="1"/>
  <c r="Q290" i="1" s="1"/>
  <c r="AC290" i="1"/>
  <c r="T291" i="1"/>
  <c r="Q291" i="1" s="1"/>
  <c r="AL291" i="1"/>
  <c r="T292" i="1"/>
  <c r="Q292" i="1" s="1"/>
  <c r="T293" i="1"/>
  <c r="Q293" i="1" s="1"/>
  <c r="AL293" i="1"/>
  <c r="T294" i="1"/>
  <c r="Q294" i="1" s="1"/>
  <c r="T295" i="1"/>
  <c r="Q295" i="1" s="1"/>
  <c r="T296" i="1"/>
  <c r="Q296" i="1" s="1"/>
  <c r="T297" i="1"/>
  <c r="Q297" i="1" s="1"/>
  <c r="T298" i="1"/>
  <c r="Q298" i="1" s="1"/>
  <c r="T299" i="1"/>
  <c r="Q299" i="1" s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AO235" i="1" l="1"/>
  <c r="AM235" i="1"/>
  <c r="AO229" i="1"/>
  <c r="AM229" i="1"/>
  <c r="AO225" i="1"/>
  <c r="AM225" i="1"/>
  <c r="AR293" i="1"/>
  <c r="AS293" i="1" s="1"/>
  <c r="AR281" i="1"/>
  <c r="AS281" i="1" s="1"/>
  <c r="AR279" i="1"/>
  <c r="AS279" i="1" s="1"/>
  <c r="AR253" i="1"/>
  <c r="AS253" i="1" s="1"/>
  <c r="AR251" i="1"/>
  <c r="AS251" i="1" s="1"/>
  <c r="AR195" i="1"/>
  <c r="AS195" i="1" s="1"/>
  <c r="AR229" i="1"/>
  <c r="AS229" i="1" s="1"/>
  <c r="AR221" i="1"/>
  <c r="AS221" i="1" s="1"/>
  <c r="AR213" i="1"/>
  <c r="AS213" i="1" s="1"/>
  <c r="AR205" i="1"/>
  <c r="AS205" i="1" s="1"/>
  <c r="AQ285" i="1"/>
  <c r="AR285" i="1"/>
  <c r="AS285" i="1" s="1"/>
  <c r="AQ263" i="1"/>
  <c r="AR263" i="1"/>
  <c r="AS263" i="1" s="1"/>
  <c r="AQ235" i="1"/>
  <c r="AR235" i="1"/>
  <c r="AS235" i="1" s="1"/>
  <c r="AQ227" i="1"/>
  <c r="AR227" i="1"/>
  <c r="AS227" i="1" s="1"/>
  <c r="AQ219" i="1"/>
  <c r="AR219" i="1"/>
  <c r="AS219" i="1" s="1"/>
  <c r="AQ211" i="1"/>
  <c r="AR211" i="1"/>
  <c r="AS211" i="1" s="1"/>
  <c r="AR203" i="1"/>
  <c r="AS203" i="1" s="1"/>
  <c r="AQ172" i="1"/>
  <c r="AR172" i="1"/>
  <c r="AS172" i="1" s="1"/>
  <c r="AQ156" i="1"/>
  <c r="AR156" i="1"/>
  <c r="AS156" i="1" s="1"/>
  <c r="AR257" i="1"/>
  <c r="AS257" i="1" s="1"/>
  <c r="AR255" i="1"/>
  <c r="AS255" i="1" s="1"/>
  <c r="AR237" i="1"/>
  <c r="AS237" i="1" s="1"/>
  <c r="AR197" i="1"/>
  <c r="AS197" i="1" s="1"/>
  <c r="AQ164" i="1"/>
  <c r="AR164" i="1"/>
  <c r="AS164" i="1" s="1"/>
  <c r="AQ152" i="1"/>
  <c r="AR152" i="1"/>
  <c r="AS152" i="1" s="1"/>
  <c r="AR273" i="1"/>
  <c r="AS273" i="1" s="1"/>
  <c r="AQ265" i="1"/>
  <c r="AR265" i="1"/>
  <c r="AS265" i="1" s="1"/>
  <c r="AQ191" i="1"/>
  <c r="AR191" i="1"/>
  <c r="AS191" i="1" s="1"/>
  <c r="AQ187" i="1"/>
  <c r="AR187" i="1"/>
  <c r="AS187" i="1" s="1"/>
  <c r="AQ183" i="1"/>
  <c r="AR183" i="1"/>
  <c r="AS183" i="1" s="1"/>
  <c r="AQ179" i="1"/>
  <c r="AR179" i="1"/>
  <c r="AS179" i="1" s="1"/>
  <c r="AQ175" i="1"/>
  <c r="AR175" i="1"/>
  <c r="AS175" i="1" s="1"/>
  <c r="AR275" i="1"/>
  <c r="AS275" i="1" s="1"/>
  <c r="AQ166" i="1"/>
  <c r="AR166" i="1"/>
  <c r="AS166" i="1" s="1"/>
  <c r="AQ162" i="1"/>
  <c r="AR162" i="1"/>
  <c r="AS162" i="1" s="1"/>
  <c r="AQ158" i="1"/>
  <c r="AR158" i="1"/>
  <c r="AS158" i="1" s="1"/>
  <c r="AQ154" i="1"/>
  <c r="AR154" i="1"/>
  <c r="AS154" i="1" s="1"/>
  <c r="AQ150" i="1"/>
  <c r="AR150" i="1"/>
  <c r="AS150" i="1" s="1"/>
  <c r="AQ199" i="1"/>
  <c r="AR199" i="1"/>
  <c r="AS199" i="1" s="1"/>
  <c r="AQ170" i="1"/>
  <c r="AR170" i="1"/>
  <c r="AS170" i="1" s="1"/>
  <c r="AQ287" i="1"/>
  <c r="AR287" i="1"/>
  <c r="AS287" i="1" s="1"/>
  <c r="AR291" i="1"/>
  <c r="AS291" i="1" s="1"/>
  <c r="AR277" i="1"/>
  <c r="AS277" i="1" s="1"/>
  <c r="AR193" i="1"/>
  <c r="AS193" i="1" s="1"/>
  <c r="AQ160" i="1"/>
  <c r="AR160" i="1"/>
  <c r="AS160" i="1" s="1"/>
  <c r="AQ148" i="1"/>
  <c r="AR148" i="1"/>
  <c r="AS148" i="1" s="1"/>
  <c r="AR283" i="1"/>
  <c r="AS283" i="1" s="1"/>
  <c r="AR269" i="1"/>
  <c r="AS269" i="1" s="1"/>
  <c r="AQ261" i="1"/>
  <c r="AR261" i="1"/>
  <c r="AS261" i="1" s="1"/>
  <c r="AR249" i="1"/>
  <c r="AS249" i="1" s="1"/>
  <c r="AQ247" i="1"/>
  <c r="AR247" i="1"/>
  <c r="AS247" i="1" s="1"/>
  <c r="AR233" i="1"/>
  <c r="AS233" i="1" s="1"/>
  <c r="AR225" i="1"/>
  <c r="AS225" i="1" s="1"/>
  <c r="AR217" i="1"/>
  <c r="AS217" i="1" s="1"/>
  <c r="AR209" i="1"/>
  <c r="AS209" i="1" s="1"/>
  <c r="AR201" i="1"/>
  <c r="AS201" i="1" s="1"/>
  <c r="AQ189" i="1"/>
  <c r="AR189" i="1"/>
  <c r="AS189" i="1" s="1"/>
  <c r="AQ185" i="1"/>
  <c r="AR185" i="1"/>
  <c r="AS185" i="1" s="1"/>
  <c r="AQ181" i="1"/>
  <c r="AR181" i="1"/>
  <c r="AS181" i="1" s="1"/>
  <c r="AQ177" i="1"/>
  <c r="AR177" i="1"/>
  <c r="AS177" i="1" s="1"/>
  <c r="AQ257" i="1"/>
  <c r="AQ195" i="1"/>
  <c r="AQ259" i="1"/>
  <c r="AQ293" i="1"/>
  <c r="AQ253" i="1"/>
  <c r="AQ251" i="1"/>
  <c r="AQ255" i="1"/>
  <c r="Q400" i="1"/>
  <c r="Q401" i="1" s="1"/>
  <c r="R389" i="1"/>
  <c r="R388" i="1"/>
  <c r="AO388" i="1" s="1"/>
  <c r="AQ291" i="1"/>
  <c r="AQ289" i="1"/>
  <c r="AQ283" i="1"/>
  <c r="AQ245" i="1"/>
  <c r="AQ243" i="1"/>
  <c r="AQ241" i="1"/>
  <c r="AQ239" i="1"/>
  <c r="AQ231" i="1"/>
  <c r="AQ223" i="1"/>
  <c r="AQ193" i="1"/>
  <c r="AQ203" i="1"/>
  <c r="AQ281" i="1"/>
  <c r="AQ279" i="1"/>
  <c r="AQ277" i="1"/>
  <c r="AQ275" i="1"/>
  <c r="AQ273" i="1"/>
  <c r="AQ271" i="1"/>
  <c r="AQ269" i="1"/>
  <c r="AQ267" i="1"/>
  <c r="AQ237" i="1"/>
  <c r="AQ197" i="1"/>
  <c r="AQ229" i="1"/>
  <c r="AQ221" i="1"/>
  <c r="AQ213" i="1"/>
  <c r="AQ205" i="1"/>
  <c r="AQ215" i="1"/>
  <c r="AQ207" i="1"/>
  <c r="AQ249" i="1"/>
  <c r="AQ233" i="1"/>
  <c r="AQ225" i="1"/>
  <c r="AQ217" i="1"/>
  <c r="AQ209" i="1"/>
  <c r="AQ201" i="1"/>
  <c r="AO281" i="1"/>
  <c r="AO259" i="1"/>
  <c r="AO287" i="1"/>
  <c r="AO279" i="1"/>
  <c r="AO269" i="1"/>
  <c r="AO241" i="1"/>
  <c r="AC206" i="1"/>
  <c r="AO255" i="1"/>
  <c r="AO253" i="1"/>
  <c r="AO293" i="1"/>
  <c r="AO291" i="1"/>
  <c r="AO277" i="1"/>
  <c r="AO275" i="1"/>
  <c r="AO256" i="1"/>
  <c r="AO289" i="1"/>
  <c r="AO261" i="1"/>
  <c r="AO280" i="1"/>
  <c r="AO292" i="1"/>
  <c r="AO278" i="1"/>
  <c r="AO276" i="1"/>
  <c r="AO254" i="1"/>
  <c r="AO245" i="1"/>
  <c r="AO272" i="1"/>
  <c r="AO290" i="1"/>
  <c r="AO273" i="1"/>
  <c r="AO270" i="1"/>
  <c r="AO282" i="1"/>
  <c r="AO271" i="1"/>
  <c r="AO252" i="1"/>
  <c r="AO248" i="1"/>
  <c r="AO288" i="1"/>
  <c r="AO268" i="1"/>
  <c r="AO251" i="1"/>
  <c r="AO250" i="1"/>
  <c r="AO247" i="1"/>
  <c r="AO246" i="1"/>
  <c r="AO283" i="1"/>
  <c r="AO286" i="1"/>
  <c r="AO244" i="1"/>
  <c r="AO266" i="1"/>
  <c r="AO284" i="1"/>
  <c r="AO267" i="1"/>
  <c r="AO265" i="1"/>
  <c r="AO263" i="1"/>
  <c r="AO262" i="1"/>
  <c r="AO243" i="1"/>
  <c r="AO242" i="1"/>
  <c r="AO285" i="1"/>
  <c r="AO260" i="1"/>
  <c r="AO258" i="1"/>
  <c r="AO240" i="1"/>
  <c r="AO249" i="1"/>
  <c r="Q402" i="1" l="1"/>
  <c r="AO389" i="1"/>
  <c r="Q403" i="1" l="1"/>
  <c r="Q404" i="1" l="1"/>
  <c r="Q405" i="1" l="1"/>
  <c r="Q406" i="1" l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l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l="1"/>
  <c r="Q434" i="1" s="1"/>
  <c r="Q435" i="1" s="1"/>
  <c r="Q436" i="1" s="1"/>
  <c r="Q437" i="1" s="1"/>
  <c r="Q438" i="1" s="1"/>
  <c r="Q439" i="1" s="1"/>
  <c r="AO109" i="1" l="1"/>
</calcChain>
</file>

<file path=xl/sharedStrings.xml><?xml version="1.0" encoding="utf-8"?>
<sst xmlns="http://schemas.openxmlformats.org/spreadsheetml/2006/main" count="4928" uniqueCount="730">
  <si>
    <t>top</t>
  </si>
  <si>
    <t>085_2</t>
  </si>
  <si>
    <t>2021_10_11</t>
  </si>
  <si>
    <t>Helda</t>
  </si>
  <si>
    <t>nikon</t>
  </si>
  <si>
    <t>side</t>
  </si>
  <si>
    <t>085_1</t>
  </si>
  <si>
    <t>084_2</t>
  </si>
  <si>
    <t>2021_10_19</t>
  </si>
  <si>
    <t>084_1</t>
  </si>
  <si>
    <t>083_1</t>
  </si>
  <si>
    <t>082_4</t>
  </si>
  <si>
    <t>2021_10_14</t>
  </si>
  <si>
    <t>082_3</t>
  </si>
  <si>
    <t>082_2</t>
  </si>
  <si>
    <t>082_1</t>
  </si>
  <si>
    <t>081_1</t>
  </si>
  <si>
    <t>080_1</t>
  </si>
  <si>
    <t>079_2</t>
  </si>
  <si>
    <t>079_1</t>
  </si>
  <si>
    <t>078_1</t>
  </si>
  <si>
    <t>NA</t>
  </si>
  <si>
    <t>077_1</t>
  </si>
  <si>
    <t>2021_09_30</t>
  </si>
  <si>
    <t>076_1</t>
  </si>
  <si>
    <t>075_2</t>
  </si>
  <si>
    <t>075_1</t>
  </si>
  <si>
    <t>074_3</t>
  </si>
  <si>
    <t>074_2</t>
  </si>
  <si>
    <t>074_1</t>
  </si>
  <si>
    <t>073_1</t>
  </si>
  <si>
    <t>2021_09_12</t>
  </si>
  <si>
    <t>072_2</t>
  </si>
  <si>
    <t>072_1</t>
  </si>
  <si>
    <t>071_1</t>
  </si>
  <si>
    <t>2021_09_19</t>
  </si>
  <si>
    <t>070_1</t>
  </si>
  <si>
    <t>069_3</t>
  </si>
  <si>
    <t>069_2</t>
  </si>
  <si>
    <t>069_1</t>
  </si>
  <si>
    <t>068_1</t>
  </si>
  <si>
    <t>067_1</t>
  </si>
  <si>
    <t>2021_09_10</t>
  </si>
  <si>
    <t>2021_09_09</t>
  </si>
  <si>
    <t>066_1</t>
  </si>
  <si>
    <t>2021_09_08</t>
  </si>
  <si>
    <t>2021_09_07</t>
  </si>
  <si>
    <t>065_1</t>
  </si>
  <si>
    <t>2021_09_06</t>
  </si>
  <si>
    <t>2021_09_05</t>
  </si>
  <si>
    <t>064_2</t>
  </si>
  <si>
    <t>2021_08_26</t>
  </si>
  <si>
    <t>064_1</t>
  </si>
  <si>
    <t>063_2</t>
  </si>
  <si>
    <t>063_1</t>
  </si>
  <si>
    <t>062_1</t>
  </si>
  <si>
    <t>061_1</t>
  </si>
  <si>
    <t>2021_08_11</t>
  </si>
  <si>
    <t>060_1</t>
  </si>
  <si>
    <t>2021_08_15</t>
  </si>
  <si>
    <t>059_5</t>
  </si>
  <si>
    <t>2021_08_18</t>
  </si>
  <si>
    <t>059_4</t>
  </si>
  <si>
    <t>059_3</t>
  </si>
  <si>
    <t>059_2</t>
  </si>
  <si>
    <t>059_1</t>
  </si>
  <si>
    <t>058_2</t>
  </si>
  <si>
    <t>058_1</t>
  </si>
  <si>
    <t>057_1</t>
  </si>
  <si>
    <t>2021_08_04</t>
  </si>
  <si>
    <t>056_7</t>
  </si>
  <si>
    <t>056_6</t>
  </si>
  <si>
    <t>056_5</t>
  </si>
  <si>
    <t>056_4</t>
  </si>
  <si>
    <t>056_3</t>
  </si>
  <si>
    <t>056_2</t>
  </si>
  <si>
    <t>056_1</t>
  </si>
  <si>
    <t>056_0</t>
  </si>
  <si>
    <t>055_1</t>
  </si>
  <si>
    <t>2021_08_08</t>
  </si>
  <si>
    <t>054_4</t>
  </si>
  <si>
    <t>054_3</t>
  </si>
  <si>
    <t>054_2</t>
  </si>
  <si>
    <t>054_1</t>
  </si>
  <si>
    <t>053_1</t>
  </si>
  <si>
    <t>2021_07_31</t>
  </si>
  <si>
    <t>052_1</t>
  </si>
  <si>
    <t>051_1</t>
  </si>
  <si>
    <t>050_1</t>
  </si>
  <si>
    <t>2021_07_09</t>
  </si>
  <si>
    <t>2021_07_08</t>
  </si>
  <si>
    <t>049_4</t>
  </si>
  <si>
    <t>2021_07_15</t>
  </si>
  <si>
    <t>2021_07_14</t>
  </si>
  <si>
    <t>full cn with contact</t>
  </si>
  <si>
    <t>049_3</t>
  </si>
  <si>
    <t>2021_07_13</t>
  </si>
  <si>
    <t>2021_07_12</t>
  </si>
  <si>
    <t>049_2</t>
  </si>
  <si>
    <t>2021_07_11</t>
  </si>
  <si>
    <t>2021_07_10</t>
  </si>
  <si>
    <t>049_1</t>
  </si>
  <si>
    <t>048_1</t>
  </si>
  <si>
    <t>2021_07_05</t>
  </si>
  <si>
    <t>2021_07_04</t>
  </si>
  <si>
    <t>047_1</t>
  </si>
  <si>
    <t>046_2</t>
  </si>
  <si>
    <t>2021_06_25</t>
  </si>
  <si>
    <t>046_1</t>
  </si>
  <si>
    <t>no top view</t>
  </si>
  <si>
    <t>045_1</t>
  </si>
  <si>
    <t>044_1</t>
  </si>
  <si>
    <t>043_1</t>
  </si>
  <si>
    <t>042_3</t>
  </si>
  <si>
    <t>2021_05_20</t>
  </si>
  <si>
    <t>042_2</t>
  </si>
  <si>
    <t>042_1</t>
  </si>
  <si>
    <t>041_2</t>
  </si>
  <si>
    <t>2021_05_13</t>
  </si>
  <si>
    <t>041_1</t>
  </si>
  <si>
    <t>040_1</t>
  </si>
  <si>
    <t>2021_05_02</t>
  </si>
  <si>
    <t>collision with background</t>
  </si>
  <si>
    <t>039_1</t>
  </si>
  <si>
    <t>038_1</t>
  </si>
  <si>
    <t>2021_06_08</t>
  </si>
  <si>
    <t>037_3</t>
  </si>
  <si>
    <t>2021_05_31</t>
  </si>
  <si>
    <t>037_2</t>
  </si>
  <si>
    <t>037_1</t>
  </si>
  <si>
    <t>036_1</t>
  </si>
  <si>
    <t>2021_05_27</t>
  </si>
  <si>
    <t>035_1</t>
  </si>
  <si>
    <t>033_4</t>
  </si>
  <si>
    <t>033_3</t>
  </si>
  <si>
    <t>033_2</t>
  </si>
  <si>
    <t>033_1</t>
  </si>
  <si>
    <t xml:space="preserve"> 032_2</t>
  </si>
  <si>
    <t xml:space="preserve"> 032_1</t>
  </si>
  <si>
    <t xml:space="preserve"> 031_1</t>
  </si>
  <si>
    <t>030_1</t>
  </si>
  <si>
    <t>2021_05_24</t>
  </si>
  <si>
    <t>031_1</t>
  </si>
  <si>
    <t>029_2</t>
  </si>
  <si>
    <t>029_1</t>
  </si>
  <si>
    <t>028_3</t>
  </si>
  <si>
    <t>028_2</t>
  </si>
  <si>
    <t>028_1</t>
  </si>
  <si>
    <t>027_1</t>
  </si>
  <si>
    <t>2021_05_09</t>
  </si>
  <si>
    <t>026_3</t>
  </si>
  <si>
    <t>026_2</t>
  </si>
  <si>
    <t>026_1</t>
  </si>
  <si>
    <t>025_7</t>
  </si>
  <si>
    <t>025_6</t>
  </si>
  <si>
    <t>025_5</t>
  </si>
  <si>
    <t>025_4</t>
  </si>
  <si>
    <t>025_3</t>
  </si>
  <si>
    <t>025_1</t>
  </si>
  <si>
    <t>025_0</t>
  </si>
  <si>
    <t>024_1</t>
  </si>
  <si>
    <t>023_1</t>
  </si>
  <si>
    <t>022_2</t>
  </si>
  <si>
    <t>022_1</t>
  </si>
  <si>
    <t>021_2</t>
  </si>
  <si>
    <t>2021_04_25</t>
  </si>
  <si>
    <t>021_1</t>
  </si>
  <si>
    <t>020_2</t>
  </si>
  <si>
    <t>2021_04_13</t>
  </si>
  <si>
    <t>020_1</t>
  </si>
  <si>
    <t>different top and side</t>
  </si>
  <si>
    <t>019_2</t>
  </si>
  <si>
    <t>019_1</t>
  </si>
  <si>
    <t>018_1</t>
  </si>
  <si>
    <t>2021_02_28</t>
  </si>
  <si>
    <t>Polo</t>
  </si>
  <si>
    <t>017_2</t>
  </si>
  <si>
    <t>017_1</t>
  </si>
  <si>
    <t>016_1</t>
  </si>
  <si>
    <t>2021_02_21</t>
  </si>
  <si>
    <t>015_1</t>
  </si>
  <si>
    <t>2020_08_20</t>
  </si>
  <si>
    <t>0.24 new</t>
  </si>
  <si>
    <t>014_4</t>
  </si>
  <si>
    <t>014_3</t>
  </si>
  <si>
    <t>014_2</t>
  </si>
  <si>
    <t>014_1</t>
  </si>
  <si>
    <t>013_1</t>
  </si>
  <si>
    <t>012_2</t>
  </si>
  <si>
    <t>2020_08_02</t>
  </si>
  <si>
    <t>0.22 old</t>
  </si>
  <si>
    <t>012_1</t>
  </si>
  <si>
    <t>011_3</t>
  </si>
  <si>
    <t>0.22 new</t>
  </si>
  <si>
    <t>011_2</t>
  </si>
  <si>
    <t>011_1</t>
  </si>
  <si>
    <t>010_7</t>
  </si>
  <si>
    <t>2020_08_05</t>
  </si>
  <si>
    <t>0.23 old</t>
  </si>
  <si>
    <t>010_6</t>
  </si>
  <si>
    <t>010_5</t>
  </si>
  <si>
    <t>010_4</t>
  </si>
  <si>
    <t>010_3</t>
  </si>
  <si>
    <t>010_2</t>
  </si>
  <si>
    <t>010_1</t>
  </si>
  <si>
    <t>009_4</t>
  </si>
  <si>
    <t>009_3</t>
  </si>
  <si>
    <t>009_2</t>
  </si>
  <si>
    <t>009_1</t>
  </si>
  <si>
    <t>008_7</t>
  </si>
  <si>
    <t>008_6</t>
  </si>
  <si>
    <t>008_5</t>
  </si>
  <si>
    <t>008_4</t>
  </si>
  <si>
    <t>008_3</t>
  </si>
  <si>
    <t>008_2</t>
  </si>
  <si>
    <t>008_1</t>
  </si>
  <si>
    <t>007_1</t>
  </si>
  <si>
    <t>006_1</t>
  </si>
  <si>
    <t>005_2</t>
  </si>
  <si>
    <t>2020_07_07</t>
  </si>
  <si>
    <t>005_1</t>
  </si>
  <si>
    <t>missing frames</t>
  </si>
  <si>
    <t>004_1</t>
  </si>
  <si>
    <t>2020_05_07</t>
  </si>
  <si>
    <t>pi</t>
  </si>
  <si>
    <t>002_1</t>
  </si>
  <si>
    <t>001_1</t>
  </si>
  <si>
    <t>weight_20cm</t>
  </si>
  <si>
    <t>problem</t>
  </si>
  <si>
    <t>side_equil_ypos-bot_sup(pixels)</t>
  </si>
  <si>
    <t>View</t>
  </si>
  <si>
    <t>Exp_num</t>
  </si>
  <si>
    <t>event_num</t>
  </si>
  <si>
    <t>Slip/Twine_frame</t>
  </si>
  <si>
    <t>First_contact_frame</t>
  </si>
  <si>
    <t>Twine_status</t>
  </si>
  <si>
    <t>Top_pix2cm</t>
  </si>
  <si>
    <t>Side_pix2cm</t>
  </si>
  <si>
    <t>Contact_distance_from_stem_tip(pixels)</t>
  </si>
  <si>
    <t>Straw_length(pixels)</t>
  </si>
  <si>
    <t>Diameter_20(mm)</t>
  </si>
  <si>
    <t>Diameter_15(mm)</t>
  </si>
  <si>
    <t>Diameter_10(mm)</t>
  </si>
  <si>
    <t>Diameter_5(mm)</t>
  </si>
  <si>
    <t>Density(g/mm3)</t>
  </si>
  <si>
    <t>Weight20cm(gr)</t>
  </si>
  <si>
    <t>Final_length(cm)</t>
  </si>
  <si>
    <t>Exp_start_arm_length(cm)</t>
  </si>
  <si>
    <t>Exp_start_height(cm)</t>
  </si>
  <si>
    <t>Experiment_date(sow+x)</t>
  </si>
  <si>
    <t>Transfer2BigPot(sow+x)</t>
  </si>
  <si>
    <t>Transfer2SmPot(sow+x)</t>
  </si>
  <si>
    <t>Sowing_date_(year_month_day)</t>
  </si>
  <si>
    <t>Growth_exp_num</t>
  </si>
  <si>
    <t>Camera</t>
  </si>
  <si>
    <t>Exp_setup</t>
  </si>
  <si>
    <t>C.N_time(minutes)</t>
  </si>
  <si>
    <t>Straw_Length(cm)</t>
  </si>
  <si>
    <t>Straw_Weight(gr)</t>
  </si>
  <si>
    <t>Dist_straw_from_hinge(pixels)</t>
  </si>
  <si>
    <t>Pendulum_Length(cm)</t>
  </si>
  <si>
    <t>086_1</t>
  </si>
  <si>
    <t>087_1</t>
  </si>
  <si>
    <t>086_2</t>
  </si>
  <si>
    <t>2021_10_24</t>
  </si>
  <si>
    <t>088_1</t>
  </si>
  <si>
    <t>088_2</t>
  </si>
  <si>
    <t>089_1</t>
  </si>
  <si>
    <t>090_1</t>
  </si>
  <si>
    <t>091_1</t>
  </si>
  <si>
    <t>090_2</t>
  </si>
  <si>
    <t>090_3</t>
  </si>
  <si>
    <t>2021_11_01</t>
  </si>
  <si>
    <t>092_1</t>
  </si>
  <si>
    <t>093_1</t>
  </si>
  <si>
    <t>094_1</t>
  </si>
  <si>
    <t>095_1</t>
  </si>
  <si>
    <t>092_2</t>
  </si>
  <si>
    <t>092_4</t>
  </si>
  <si>
    <t>092_3</t>
  </si>
  <si>
    <t>096_1</t>
  </si>
  <si>
    <t>096_2</t>
  </si>
  <si>
    <t>096_3</t>
  </si>
  <si>
    <t>2021_11_07</t>
  </si>
  <si>
    <t>2021_11_15</t>
  </si>
  <si>
    <t>097_1</t>
  </si>
  <si>
    <t>2021_11_22</t>
  </si>
  <si>
    <t>098_1</t>
  </si>
  <si>
    <t>098_2</t>
  </si>
  <si>
    <t>099_1</t>
  </si>
  <si>
    <t>100_1</t>
  </si>
  <si>
    <t>2021_12_03</t>
  </si>
  <si>
    <t>101_1</t>
  </si>
  <si>
    <t>102_1</t>
  </si>
  <si>
    <t>102_2</t>
  </si>
  <si>
    <t>102_3</t>
  </si>
  <si>
    <t>2021_12_12</t>
  </si>
  <si>
    <t>095_2</t>
  </si>
  <si>
    <t>095_3</t>
  </si>
  <si>
    <t>096_4</t>
  </si>
  <si>
    <t>falls off due to distance from supp. Not sure</t>
  </si>
  <si>
    <t>dec_time</t>
  </si>
  <si>
    <t>Bean_Strain</t>
  </si>
  <si>
    <t>na</t>
  </si>
  <si>
    <t>vid_inx</t>
  </si>
  <si>
    <t>0100_1</t>
  </si>
  <si>
    <t>0101_1</t>
  </si>
  <si>
    <t>0102_1</t>
  </si>
  <si>
    <t>0102_2</t>
  </si>
  <si>
    <t>0102_3</t>
  </si>
  <si>
    <t>no side view</t>
  </si>
  <si>
    <t>touches background</t>
  </si>
  <si>
    <t>slide up &amp; down</t>
  </si>
  <si>
    <t>slide up</t>
  </si>
  <si>
    <t>slide down</t>
  </si>
  <si>
    <t>0103_1</t>
  </si>
  <si>
    <t>0104_1</t>
  </si>
  <si>
    <t>0105_1</t>
  </si>
  <si>
    <t>2022_02_14</t>
  </si>
  <si>
    <t>2022_02_22</t>
  </si>
  <si>
    <t>2022_03_08</t>
  </si>
  <si>
    <t>0106_1</t>
  </si>
  <si>
    <t>2022_03_01</t>
  </si>
  <si>
    <t>0103_2</t>
  </si>
  <si>
    <t>0107_1</t>
  </si>
  <si>
    <t>too high on support</t>
  </si>
  <si>
    <t>no cn time</t>
  </si>
  <si>
    <t>032_1</t>
  </si>
  <si>
    <t>032_2</t>
  </si>
  <si>
    <t>0108_1</t>
  </si>
  <si>
    <t>0108_2</t>
  </si>
  <si>
    <t>2022_03_13</t>
  </si>
  <si>
    <t>2022_03_14</t>
  </si>
  <si>
    <t>2022_04_12</t>
  </si>
  <si>
    <t>2022_04_13</t>
  </si>
  <si>
    <t>2022_04_14</t>
  </si>
  <si>
    <t>2022_04_15</t>
  </si>
  <si>
    <t>0109_1</t>
  </si>
  <si>
    <t>0109_2</t>
  </si>
  <si>
    <t>0109_3</t>
  </si>
  <si>
    <t>0110_1</t>
  </si>
  <si>
    <t>0111_1</t>
  </si>
  <si>
    <t>2022_04_16</t>
  </si>
  <si>
    <t>2022_04_17</t>
  </si>
  <si>
    <t>2022_04_18</t>
  </si>
  <si>
    <t>2022_04_22</t>
  </si>
  <si>
    <t>2022_04_19</t>
  </si>
  <si>
    <t>2022_04_23</t>
  </si>
  <si>
    <t>contact distance from base</t>
  </si>
  <si>
    <t>0112_1</t>
  </si>
  <si>
    <t>0112_2</t>
  </si>
  <si>
    <t>0113_1</t>
  </si>
  <si>
    <t>0114_1</t>
  </si>
  <si>
    <t>0115_1</t>
  </si>
  <si>
    <t>0116_1</t>
  </si>
  <si>
    <t>0117_1</t>
  </si>
  <si>
    <t>2022_05_02</t>
  </si>
  <si>
    <t>2022_05_17</t>
  </si>
  <si>
    <t>162, 179, 183, 177, 200, 172, 183, 188</t>
  </si>
  <si>
    <t>0118_1</t>
  </si>
  <si>
    <t>2022_05_25</t>
  </si>
  <si>
    <t>2022_05_27</t>
  </si>
  <si>
    <t>168, 168, 169, 174, 170</t>
  </si>
  <si>
    <t>177, 153, 164, 155, 167, 164, 160, 173, 170, 170, 188, 183, 209, 219, 213, 228, 184, 189, 178, 193, 202</t>
  </si>
  <si>
    <t>194, 186, 176, 171</t>
  </si>
  <si>
    <t>144, 175</t>
  </si>
  <si>
    <t>163, 187, 145, 156</t>
  </si>
  <si>
    <t>176, 160, 165</t>
  </si>
  <si>
    <t>193, 171, 203, 200, 198, 200, 211, 204, 211, 191</t>
  </si>
  <si>
    <t>199</t>
  </si>
  <si>
    <t>167, 173</t>
  </si>
  <si>
    <t>number of cn frames</t>
  </si>
  <si>
    <t xml:space="preserve"> 158, 150, 145, 156</t>
  </si>
  <si>
    <t>170, 185</t>
  </si>
  <si>
    <t>185</t>
  </si>
  <si>
    <t>151, 168</t>
  </si>
  <si>
    <t>182, 171, 175, 180</t>
  </si>
  <si>
    <t>184, 205</t>
  </si>
  <si>
    <t>217, 207, 182, 199</t>
  </si>
  <si>
    <t>213</t>
  </si>
  <si>
    <t>231, 204, 225, 190, 212, 213, 206, 219</t>
  </si>
  <si>
    <t>217, 225, 216, 217, 215, 196</t>
  </si>
  <si>
    <t>212,214</t>
  </si>
  <si>
    <t>206, 209</t>
  </si>
  <si>
    <t>219, 192, 205</t>
  </si>
  <si>
    <t>189, 195</t>
  </si>
  <si>
    <t>191, 175, 172, 161, 166</t>
  </si>
  <si>
    <t>190</t>
  </si>
  <si>
    <t>205</t>
  </si>
  <si>
    <t>202</t>
  </si>
  <si>
    <t>204</t>
  </si>
  <si>
    <t>199, 220</t>
  </si>
  <si>
    <t>199, 196</t>
  </si>
  <si>
    <t>220, 207, 200</t>
  </si>
  <si>
    <t>212, 207, 205, 206</t>
  </si>
  <si>
    <t>193, 194</t>
  </si>
  <si>
    <t>181</t>
  </si>
  <si>
    <t>205, 196, 169</t>
  </si>
  <si>
    <t>166, 192, 180, 170, 158, 171</t>
  </si>
  <si>
    <t>193, 161, 168, 170, 170</t>
  </si>
  <si>
    <t>222, 190, 193, 206</t>
  </si>
  <si>
    <t>192</t>
  </si>
  <si>
    <t>232, 216, 195, 205, 214, 193</t>
  </si>
  <si>
    <t>229</t>
  </si>
  <si>
    <t>200,  221, 195</t>
  </si>
  <si>
    <t>203</t>
  </si>
  <si>
    <t>189, 200, 217, 194</t>
  </si>
  <si>
    <t>182</t>
  </si>
  <si>
    <t>189, 183</t>
  </si>
  <si>
    <t>205, 222, 193, 247</t>
  </si>
  <si>
    <t>221</t>
  </si>
  <si>
    <t>220</t>
  </si>
  <si>
    <t>224,231,220</t>
  </si>
  <si>
    <t>316,276</t>
  </si>
  <si>
    <t>269,254</t>
  </si>
  <si>
    <t>contact distance from tip</t>
  </si>
  <si>
    <t>0119_1</t>
  </si>
  <si>
    <t>0122_1</t>
  </si>
  <si>
    <t>0122_2</t>
  </si>
  <si>
    <t>0120_1</t>
  </si>
  <si>
    <t>0121_1</t>
  </si>
  <si>
    <t>0119_2</t>
  </si>
  <si>
    <t>0119_3</t>
  </si>
  <si>
    <t>2022_07_04</t>
  </si>
  <si>
    <t>2022_07_19</t>
  </si>
  <si>
    <t>Diameter_mid(mm)</t>
  </si>
  <si>
    <t>Diameter_base(mm)</t>
  </si>
  <si>
    <t>initial_length(cm)</t>
  </si>
  <si>
    <t>Final weight(g)</t>
  </si>
  <si>
    <t>250,206,238</t>
  </si>
  <si>
    <t>contact under support</t>
  </si>
  <si>
    <t>Event Label</t>
  </si>
  <si>
    <t>Close2axis</t>
  </si>
  <si>
    <t>vid-cutoff</t>
  </si>
  <si>
    <t>jump</t>
  </si>
  <si>
    <t>comments</t>
  </si>
  <si>
    <t>cut-short</t>
  </si>
  <si>
    <t>simple slip</t>
  </si>
  <si>
    <t>multi-twine</t>
  </si>
  <si>
    <t>twine2slip</t>
  </si>
  <si>
    <t>New_Twine_status</t>
  </si>
  <si>
    <t>198,188,182,184,190</t>
  </si>
  <si>
    <t>early cutoff</t>
  </si>
  <si>
    <t>simple twine</t>
  </si>
  <si>
    <t>relative contact distance from axis</t>
  </si>
  <si>
    <t>twine-&gt;slip?</t>
  </si>
  <si>
    <t>188,183,189</t>
  </si>
  <si>
    <t>no decision frame</t>
  </si>
  <si>
    <t>111-111</t>
  </si>
  <si>
    <t>mixed! Example for tilt dynamics?</t>
  </si>
  <si>
    <t>check?</t>
  </si>
  <si>
    <t>1-1</t>
  </si>
  <si>
    <t>10</t>
  </si>
  <si>
    <t>111</t>
  </si>
  <si>
    <t>11</t>
  </si>
  <si>
    <t>110</t>
  </si>
  <si>
    <t>weird contact</t>
  </si>
  <si>
    <t>weak plant?</t>
  </si>
  <si>
    <t>(21, 1, 'side')</t>
  </si>
  <si>
    <t>(21, 1, 'top')</t>
  </si>
  <si>
    <t>(21, 2, 'side')</t>
  </si>
  <si>
    <t>(21, 2, 'top')</t>
  </si>
  <si>
    <t>(22, 1, 'side')</t>
  </si>
  <si>
    <t>(22, 1, 'top')</t>
  </si>
  <si>
    <t>(22, 2, 'side')</t>
  </si>
  <si>
    <t>(22, 2, 'top')</t>
  </si>
  <si>
    <t>(23, 1, 'side')</t>
  </si>
  <si>
    <t>(23, 1, 'top')</t>
  </si>
  <si>
    <t>(24, 1, 'side')</t>
  </si>
  <si>
    <t>(24, 1, 'top')</t>
  </si>
  <si>
    <t>(27, 1, 'side')</t>
  </si>
  <si>
    <t>(27, 1, 'top')</t>
  </si>
  <si>
    <t>(28, 1, 'side')</t>
  </si>
  <si>
    <t>(28, 1, 'top')</t>
  </si>
  <si>
    <t>(28, 2, 'side')</t>
  </si>
  <si>
    <t>(28, 2, 'top')</t>
  </si>
  <si>
    <t>(28, 3, 'side')</t>
  </si>
  <si>
    <t>(28, 3, 'top')</t>
  </si>
  <si>
    <t>(29, 1, 'side')</t>
  </si>
  <si>
    <t>(29, 1, 'top')</t>
  </si>
  <si>
    <t>(29, 2, 'side')</t>
  </si>
  <si>
    <t>(29, 2, 'top')</t>
  </si>
  <si>
    <t>(31, 1, 'side')</t>
  </si>
  <si>
    <t>(31, 1, 'top')</t>
  </si>
  <si>
    <t>(33, 1, 'side')</t>
  </si>
  <si>
    <t>(33, 1, 'top')</t>
  </si>
  <si>
    <t>(33, 2, 'side')</t>
  </si>
  <si>
    <t>(33, 2, 'top')</t>
  </si>
  <si>
    <t>(33, 3, 'side')</t>
  </si>
  <si>
    <t>(33, 3, 'top')</t>
  </si>
  <si>
    <t>(33, 4, 'side')</t>
  </si>
  <si>
    <t>(33, 4, 'top')</t>
  </si>
  <si>
    <t>(35, 1, 'side')</t>
  </si>
  <si>
    <t>(35, 1, 'top')</t>
  </si>
  <si>
    <t>(36, 1, 'side')</t>
  </si>
  <si>
    <t>(36, 1, 'top')</t>
  </si>
  <si>
    <t>(37, 1, 'side')</t>
  </si>
  <si>
    <t>(37, 1, 'top')</t>
  </si>
  <si>
    <t>(37, 3, 'side')</t>
  </si>
  <si>
    <t>(37, 3, 'top')</t>
  </si>
  <si>
    <t>(38, 1, 'side')</t>
  </si>
  <si>
    <t>(38, 1, 'top')</t>
  </si>
  <si>
    <t>(40, 1, 'side')</t>
  </si>
  <si>
    <t>(40, 1, 'top')</t>
  </si>
  <si>
    <t>(41, 1, 'side')</t>
  </si>
  <si>
    <t>(41, 1, 'top')</t>
  </si>
  <si>
    <t>(41, 2, 'side')</t>
  </si>
  <si>
    <t>(41, 2, 'top')</t>
  </si>
  <si>
    <t>(42, 1, 'side')</t>
  </si>
  <si>
    <t>(42, 1, 'top')</t>
  </si>
  <si>
    <t>(42, 2, 'side')</t>
  </si>
  <si>
    <t>(42, 2, 'top')</t>
  </si>
  <si>
    <t>(42, 3, 'side')</t>
  </si>
  <si>
    <t>(42, 3, 'top')</t>
  </si>
  <si>
    <t>(43, 1, 'side')</t>
  </si>
  <si>
    <t>(43, 1, 'top')</t>
  </si>
  <si>
    <t>(44, 1, 'side')</t>
  </si>
  <si>
    <t>(44, 1, 'top')</t>
  </si>
  <si>
    <t>(46, 1, 'side')</t>
  </si>
  <si>
    <t>(46, 1, 'top')</t>
  </si>
  <si>
    <t>(46, 2, 'side')</t>
  </si>
  <si>
    <t>(46, 2, 'top')</t>
  </si>
  <si>
    <t>(47, 1, 'side')</t>
  </si>
  <si>
    <t>(47, 1, 'top')</t>
  </si>
  <si>
    <t>(48, 1, 'side')</t>
  </si>
  <si>
    <t>(48, 1, 'top')</t>
  </si>
  <si>
    <t>(49, 1, 'side')</t>
  </si>
  <si>
    <t>(49, 1, 'top')</t>
  </si>
  <si>
    <t>(49, 4, 'side')</t>
  </si>
  <si>
    <t>(49, 4, 'top')</t>
  </si>
  <si>
    <t>(50, 1, 'side')</t>
  </si>
  <si>
    <t>(50, 1, 'top')</t>
  </si>
  <si>
    <t>(52, 1, 'side')</t>
  </si>
  <si>
    <t>(52, 1, 'top')</t>
  </si>
  <si>
    <t>(53, 1, 'side')</t>
  </si>
  <si>
    <t>(53, 1, 'top')</t>
  </si>
  <si>
    <t>(54, 1, 'side')</t>
  </si>
  <si>
    <t>(54, 1, 'top')</t>
  </si>
  <si>
    <t>(54, 3, 'side')</t>
  </si>
  <si>
    <t>(54, 3, 'top')</t>
  </si>
  <si>
    <t>(55, 1, 'side')</t>
  </si>
  <si>
    <t>(55, 1, 'top')</t>
  </si>
  <si>
    <t>(56, 0, 'side')</t>
  </si>
  <si>
    <t>(56, 0, 'top')</t>
  </si>
  <si>
    <t>(57, 1, 'side')</t>
  </si>
  <si>
    <t>(57, 1, 'top')</t>
  </si>
  <si>
    <t>(58, 2, 'side')</t>
  </si>
  <si>
    <t>(58, 2, 'top')</t>
  </si>
  <si>
    <t>(59, 1, 'side')</t>
  </si>
  <si>
    <t>(59, 1, 'top')</t>
  </si>
  <si>
    <t>(59, 2, 'side')</t>
  </si>
  <si>
    <t>(59, 2, 'top')</t>
  </si>
  <si>
    <t>(60, 1, 'side')</t>
  </si>
  <si>
    <t>(60, 1, 'top')</t>
  </si>
  <si>
    <t>(61, 1, 'side')</t>
  </si>
  <si>
    <t>(61, 1, 'top')</t>
  </si>
  <si>
    <t>(62, 1, 'side')</t>
  </si>
  <si>
    <t>(62, 1, 'top')</t>
  </si>
  <si>
    <t>(63, 1, 'side')</t>
  </si>
  <si>
    <t>(63, 1, 'top')</t>
  </si>
  <si>
    <t>(63, 2, 'side')</t>
  </si>
  <si>
    <t>(63, 2, 'top')</t>
  </si>
  <si>
    <t>(64, 1, 'side')</t>
  </si>
  <si>
    <t>(64, 1, 'top')</t>
  </si>
  <si>
    <t>(64, 2, 'side')</t>
  </si>
  <si>
    <t>(64, 2, 'top')</t>
  </si>
  <si>
    <t>(65, 1, 'side')</t>
  </si>
  <si>
    <t>(65, 1, 'top')</t>
  </si>
  <si>
    <t>(67, 1, 'side')</t>
  </si>
  <si>
    <t>(67, 1, 'top')</t>
  </si>
  <si>
    <t>(68, 1, 'side')</t>
  </si>
  <si>
    <t>(68, 1, 'top')</t>
  </si>
  <si>
    <t>(69, 1, 'side')</t>
  </si>
  <si>
    <t>(69, 1, 'top')</t>
  </si>
  <si>
    <t>(69, 3, 'side')</t>
  </si>
  <si>
    <t>(69, 3, 'top')</t>
  </si>
  <si>
    <t>(70, 1, 'side')</t>
  </si>
  <si>
    <t>(70, 1, 'top')</t>
  </si>
  <si>
    <t>(71, 1, 'side')</t>
  </si>
  <si>
    <t>(71, 1, 'top')</t>
  </si>
  <si>
    <t>(73, 1, 'side')</t>
  </si>
  <si>
    <t>(73, 1, 'top')</t>
  </si>
  <si>
    <t>(74, 1, 'side')</t>
  </si>
  <si>
    <t>(74, 1, 'top')</t>
  </si>
  <si>
    <t>(74, 2, 'side')</t>
  </si>
  <si>
    <t>(74, 2, 'top')</t>
  </si>
  <si>
    <t>(75, 1, 'side')</t>
  </si>
  <si>
    <t>(75, 1, 'top')</t>
  </si>
  <si>
    <t>(75, 2, 'side')</t>
  </si>
  <si>
    <t>(75, 2, 'top')</t>
  </si>
  <si>
    <t>(76, 1, 'side')</t>
  </si>
  <si>
    <t>(76, 1, 'top')</t>
  </si>
  <si>
    <t>(77, 1, 'side')</t>
  </si>
  <si>
    <t>(77, 1, 'top')</t>
  </si>
  <si>
    <t>(78, 1, 'side')</t>
  </si>
  <si>
    <t>(78, 1, 'top')</t>
  </si>
  <si>
    <t>(79, 1, 'side')</t>
  </si>
  <si>
    <t>(79, 1, 'top')</t>
  </si>
  <si>
    <t>(79, 2, 'side')</t>
  </si>
  <si>
    <t>(79, 2, 'top')</t>
  </si>
  <si>
    <t>(80, 1, 'side')</t>
  </si>
  <si>
    <t>(80, 1, 'top')</t>
  </si>
  <si>
    <t>(81, 1, 'side')</t>
  </si>
  <si>
    <t>(81, 1, 'top')</t>
  </si>
  <si>
    <t>(82, 1, 'side')</t>
  </si>
  <si>
    <t>(82, 1, 'top')</t>
  </si>
  <si>
    <t>(82, 2, 'side')</t>
  </si>
  <si>
    <t>(82, 2, 'top')</t>
  </si>
  <si>
    <t>(82, 3, 'side')</t>
  </si>
  <si>
    <t>(82, 3, 'top')</t>
  </si>
  <si>
    <t>(82, 4, 'side')</t>
  </si>
  <si>
    <t>(82, 4, 'top')</t>
  </si>
  <si>
    <t>(83, 1, 'side')</t>
  </si>
  <si>
    <t>(83, 1, 'top')</t>
  </si>
  <si>
    <t>(84, 1, 'side')</t>
  </si>
  <si>
    <t>(84, 1, 'top')</t>
  </si>
  <si>
    <t>(84, 2, 'side')</t>
  </si>
  <si>
    <t>(84, 2, 'top')</t>
  </si>
  <si>
    <t>(85, 1, 'side')</t>
  </si>
  <si>
    <t>(85, 1, 'top')</t>
  </si>
  <si>
    <t>(85, 2, 'side')</t>
  </si>
  <si>
    <t>(85, 2, 'top')</t>
  </si>
  <si>
    <t>(86, 1, 'side')</t>
  </si>
  <si>
    <t>(86, 1, 'top')</t>
  </si>
  <si>
    <t>(86, 2, 'side')</t>
  </si>
  <si>
    <t>(86, 2, 'top')</t>
  </si>
  <si>
    <t>(87, 1, 'side')</t>
  </si>
  <si>
    <t>(87, 1, 'top')</t>
  </si>
  <si>
    <t>(88, 2, 'side')</t>
  </si>
  <si>
    <t>(88, 2, 'top')</t>
  </si>
  <si>
    <t>(89, 1, 'side')</t>
  </si>
  <si>
    <t>(89, 1, 'top')</t>
  </si>
  <si>
    <t>(90, 3, 'side')</t>
  </si>
  <si>
    <t>(90, 3, 'top')</t>
  </si>
  <si>
    <t>(91, 1, 'side')</t>
  </si>
  <si>
    <t>(91, 1, 'top')</t>
  </si>
  <si>
    <t>(92, 2, 'side')</t>
  </si>
  <si>
    <t>(92, 2, 'top')</t>
  </si>
  <si>
    <t>(92, 3, 'side')</t>
  </si>
  <si>
    <t>(92, 3, 'top')</t>
  </si>
  <si>
    <t>(94, 1, 'side')</t>
  </si>
  <si>
    <t>(94, 1, 'top')</t>
  </si>
  <si>
    <t>(95, 1, 'side')</t>
  </si>
  <si>
    <t>(95, 1, 'top')</t>
  </si>
  <si>
    <t>(95, 2, 'side')</t>
  </si>
  <si>
    <t>(95, 2, 'top')</t>
  </si>
  <si>
    <t>(95, 3, 'side')</t>
  </si>
  <si>
    <t>(95, 3, 'top')</t>
  </si>
  <si>
    <t>(96, 1, 'side')</t>
  </si>
  <si>
    <t>(96, 1, 'top')</t>
  </si>
  <si>
    <t>(96, 2, 'side')</t>
  </si>
  <si>
    <t>(96, 2, 'top')</t>
  </si>
  <si>
    <t>(96, 4, 'side')</t>
  </si>
  <si>
    <t>(96, 4, 'top')</t>
  </si>
  <si>
    <t>(97, 1, 'side')</t>
  </si>
  <si>
    <t>(97, 1, 'top')</t>
  </si>
  <si>
    <t>(98, 2, 'side')</t>
  </si>
  <si>
    <t>(98, 2, 'top')</t>
  </si>
  <si>
    <t>(99, 1, 'side')</t>
  </si>
  <si>
    <t>(99, 1, 'top')</t>
  </si>
  <si>
    <t>(100, 1, 'side')</t>
  </si>
  <si>
    <t>(100, 1, 'top')</t>
  </si>
  <si>
    <t>(101, 1, 'side')</t>
  </si>
  <si>
    <t>(101, 1, 'top')</t>
  </si>
  <si>
    <t>(102, 1, 'side')</t>
  </si>
  <si>
    <t>(102, 1, 'top')</t>
  </si>
  <si>
    <t>(102, 2, 'side')</t>
  </si>
  <si>
    <t>(102, 2, 'top')</t>
  </si>
  <si>
    <t>(102, 3, 'side')</t>
  </si>
  <si>
    <t>(102, 3, 'top')</t>
  </si>
  <si>
    <t>(103, 1, 'side')</t>
  </si>
  <si>
    <t>(103, 1, 'top')</t>
  </si>
  <si>
    <t>(103, 2, 'side')</t>
  </si>
  <si>
    <t>(103, 2, 'top')</t>
  </si>
  <si>
    <t>(105, 1, 'side')</t>
  </si>
  <si>
    <t>(105, 1, 'top')</t>
  </si>
  <si>
    <t>(106, 1, 'side')</t>
  </si>
  <si>
    <t>(106, 1, 'top')</t>
  </si>
  <si>
    <t>(107, 1, 'side')</t>
  </si>
  <si>
    <t>(107, 1, 'top')</t>
  </si>
  <si>
    <t>(108, 1, 'side')</t>
  </si>
  <si>
    <t>(108, 1, 'top')</t>
  </si>
  <si>
    <t>(108, 2, 'side')</t>
  </si>
  <si>
    <t>(108, 2, 'top')</t>
  </si>
  <si>
    <t>(109, 1, 'side')</t>
  </si>
  <si>
    <t>(109, 1, 'top')</t>
  </si>
  <si>
    <t>(109, 2, 'side')</t>
  </si>
  <si>
    <t>(109, 2, 'top')</t>
  </si>
  <si>
    <t>(109, 3, 'side')</t>
  </si>
  <si>
    <t>(109, 3, 'top')</t>
  </si>
  <si>
    <t>(110, 1, 'side')</t>
  </si>
  <si>
    <t>(110, 1, 'top')</t>
  </si>
  <si>
    <t>(111, 1, 'side')</t>
  </si>
  <si>
    <t>(111, 1, 'top')</t>
  </si>
  <si>
    <t>(112, 1, 'side')</t>
  </si>
  <si>
    <t>(112, 1, 'top')</t>
  </si>
  <si>
    <t>(112, 2, 'side')</t>
  </si>
  <si>
    <t>(112, 2, 'top')</t>
  </si>
  <si>
    <t>(113, 1, 'side')</t>
  </si>
  <si>
    <t>(113, 1, 'top')</t>
  </si>
  <si>
    <t>(114, 1, 'side')</t>
  </si>
  <si>
    <t>(114, 1, 'top')</t>
  </si>
  <si>
    <t>(115, 1, 'side')</t>
  </si>
  <si>
    <t>(115, 1, 'top')</t>
  </si>
  <si>
    <t>(116, 1, 'side')</t>
  </si>
  <si>
    <t>(116, 1, 'top')</t>
  </si>
  <si>
    <t>(117, 1, 'side')</t>
  </si>
  <si>
    <t>(117, 1, 'top')</t>
  </si>
  <si>
    <t>(118, 1, 'side')</t>
  </si>
  <si>
    <t>(118, 1, 'top')</t>
  </si>
  <si>
    <t>(119, 1, 'side')</t>
  </si>
  <si>
    <t>(119, 1, 'top')</t>
  </si>
  <si>
    <t>(119, 3, 'side')</t>
  </si>
  <si>
    <t>(119, 3, 'top')</t>
  </si>
  <si>
    <t>(120, 1, 'side')</t>
  </si>
  <si>
    <t>(120, 1, 'top')</t>
  </si>
  <si>
    <t>(121, 1, 'side')</t>
  </si>
  <si>
    <t>(121, 1, 'top')</t>
  </si>
  <si>
    <t>(122, 1, 'side')</t>
  </si>
  <si>
    <t>(122, 1, 'top')</t>
  </si>
  <si>
    <t>(122, 2, 'side')</t>
  </si>
  <si>
    <t>(122, 2, 'top')</t>
  </si>
  <si>
    <t>exp_ev_view</t>
  </si>
  <si>
    <t>new_y_pos_supp_bot</t>
  </si>
  <si>
    <t>new_y_pos_supp_bot(pixels)</t>
  </si>
  <si>
    <t>exp_ev_view(new ysupbot)</t>
  </si>
  <si>
    <t>Dec frames</t>
  </si>
  <si>
    <t>notes</t>
  </si>
  <si>
    <t>need to write first and later decision times</t>
  </si>
  <si>
    <t>stem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</si>
</sst>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26E6E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/>
    <xf numFmtId="164" fontId="0" fillId="0" borderId="0" xfId="0" applyNumberFormat="1" applyFill="1"/>
    <xf numFmtId="0" fontId="0" fillId="0" borderId="0" xfId="0" applyNumberFormat="1"/>
    <xf numFmtId="0" fontId="0" fillId="0" borderId="0" xfId="0" quotePrefix="1"/>
    <xf numFmtId="49" fontId="0" fillId="5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right"/>
    </xf>
  </cellXfs>
  <cellStyles count="1">
    <cellStyle name="Normal" xfId="0" builtinId="0"/>
  </cellStyles>
  <dxfs count="261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6E6E"/>
      <color rgb="FFE1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9"/>
  <sheetViews>
    <sheetView tabSelected="1" zoomScale="85" zoomScaleNormal="85" workbookViewId="0">
      <pane xSplit="1" ySplit="1" topLeftCell="P368" activePane="bottomRight" state="frozen"/>
      <selection pane="topRight" activeCell="B1" sqref="B1"/>
      <selection pane="bottomLeft" activeCell="A2" sqref="A2"/>
      <selection pane="bottomRight" activeCell="Z118" sqref="Z118"/>
    </sheetView>
  </sheetViews>
  <sheetFormatPr defaultRowHeight="14.5" x14ac:dyDescent="0.35"/>
  <cols>
    <col min="5" max="5" width="11.26953125" bestFit="1" customWidth="1"/>
    <col min="6" max="6" width="16" style="1" bestFit="1" customWidth="1"/>
    <col min="7" max="7" width="11.36328125" customWidth="1"/>
    <col min="8" max="8" width="10.453125" customWidth="1"/>
    <col min="9" max="9" width="10.90625" customWidth="1"/>
    <col min="10" max="10" width="14.453125" customWidth="1"/>
    <col min="11" max="11" width="11.81640625" customWidth="1"/>
    <col min="12" max="13" width="12.7265625" customWidth="1"/>
    <col min="14" max="15" width="10.81640625" customWidth="1"/>
    <col min="16" max="16" width="10" customWidth="1"/>
    <col min="17" max="17" width="6.26953125" customWidth="1"/>
    <col min="18" max="18" width="13.54296875" style="6" customWidth="1"/>
    <col min="19" max="19" width="9.81640625" customWidth="1"/>
    <col min="20" max="20" width="10.7265625" customWidth="1"/>
    <col min="21" max="21" width="11" customWidth="1"/>
    <col min="22" max="24" width="10.90625" customWidth="1"/>
    <col min="25" max="25" width="17.453125" customWidth="1"/>
    <col min="26" max="26" width="7.08984375" customWidth="1"/>
    <col min="27" max="27" width="11.1796875" customWidth="1"/>
    <col min="28" max="28" width="26.54296875" customWidth="1"/>
    <col min="29" max="29" width="17.90625" bestFit="1" customWidth="1"/>
    <col min="30" max="30" width="13.90625" customWidth="1"/>
    <col min="31" max="31" width="25.54296875" bestFit="1" customWidth="1"/>
    <col min="32" max="32" width="28" bestFit="1" customWidth="1"/>
    <col min="33" max="33" width="35" bestFit="1" customWidth="1"/>
    <col min="34" max="34" width="13.81640625" customWidth="1"/>
    <col min="35" max="35" width="11.1796875" customWidth="1"/>
    <col min="36" max="36" width="13.26953125" customWidth="1"/>
    <col min="37" max="37" width="17.7265625" customWidth="1"/>
    <col min="38" max="39" width="15.81640625" customWidth="1"/>
    <col min="43" max="43" width="25.1796875" bestFit="1" customWidth="1"/>
    <col min="44" max="44" width="22.1796875" customWidth="1"/>
    <col min="45" max="45" width="29.54296875" bestFit="1" customWidth="1"/>
    <col min="46" max="46" width="23.54296875" style="5" customWidth="1"/>
    <col min="47" max="47" width="22.1796875" bestFit="1" customWidth="1"/>
    <col min="48" max="48" width="15.1796875" customWidth="1"/>
    <col min="49" max="49" width="18.1796875" customWidth="1"/>
    <col min="50" max="50" width="16.6328125" style="10" bestFit="1" customWidth="1"/>
    <col min="51" max="51" width="10.90625" customWidth="1"/>
    <col min="52" max="53" width="8.7265625" customWidth="1"/>
  </cols>
  <sheetData>
    <row r="1" spans="1:54" x14ac:dyDescent="0.35">
      <c r="A1" t="s">
        <v>231</v>
      </c>
      <c r="B1" t="s">
        <v>255</v>
      </c>
      <c r="C1" t="s">
        <v>230</v>
      </c>
      <c r="D1" t="s">
        <v>254</v>
      </c>
      <c r="E1" t="s">
        <v>302</v>
      </c>
      <c r="F1" s="1" t="s">
        <v>253</v>
      </c>
      <c r="G1" t="s">
        <v>252</v>
      </c>
      <c r="H1" t="s">
        <v>251</v>
      </c>
      <c r="I1" t="s">
        <v>250</v>
      </c>
      <c r="J1" t="s">
        <v>249</v>
      </c>
      <c r="K1" t="s">
        <v>248</v>
      </c>
      <c r="L1" t="s">
        <v>247</v>
      </c>
      <c r="M1" t="s">
        <v>427</v>
      </c>
      <c r="N1" t="s">
        <v>246</v>
      </c>
      <c r="O1" t="s">
        <v>428</v>
      </c>
      <c r="P1" t="s">
        <v>245</v>
      </c>
      <c r="Q1" t="s">
        <v>244</v>
      </c>
      <c r="R1" s="6" t="s">
        <v>256</v>
      </c>
      <c r="S1" t="s">
        <v>243</v>
      </c>
      <c r="T1" t="s">
        <v>242</v>
      </c>
      <c r="U1" t="s">
        <v>241</v>
      </c>
      <c r="V1" t="s">
        <v>240</v>
      </c>
      <c r="W1" t="s">
        <v>425</v>
      </c>
      <c r="X1" t="s">
        <v>426</v>
      </c>
      <c r="Y1" t="s">
        <v>258</v>
      </c>
      <c r="Z1" t="s">
        <v>257</v>
      </c>
      <c r="AA1" t="s">
        <v>260</v>
      </c>
      <c r="AB1" t="s">
        <v>259</v>
      </c>
      <c r="AC1" t="s">
        <v>239</v>
      </c>
      <c r="AD1" t="s">
        <v>725</v>
      </c>
      <c r="AE1" t="s">
        <v>724</v>
      </c>
      <c r="AF1" t="s">
        <v>229</v>
      </c>
      <c r="AG1" t="s">
        <v>238</v>
      </c>
      <c r="AH1" t="s">
        <v>237</v>
      </c>
      <c r="AI1" t="s">
        <v>236</v>
      </c>
      <c r="AJ1" t="s">
        <v>235</v>
      </c>
      <c r="AK1" t="s">
        <v>234</v>
      </c>
      <c r="AL1" t="s">
        <v>233</v>
      </c>
      <c r="AM1" t="s">
        <v>726</v>
      </c>
      <c r="AN1" t="s">
        <v>227</v>
      </c>
      <c r="AO1" t="s">
        <v>301</v>
      </c>
      <c r="AP1" t="s">
        <v>304</v>
      </c>
      <c r="AQ1" t="s">
        <v>348</v>
      </c>
      <c r="AR1" t="s">
        <v>415</v>
      </c>
      <c r="AS1" t="s">
        <v>444</v>
      </c>
      <c r="AT1" s="5" t="s">
        <v>371</v>
      </c>
      <c r="AU1" t="s">
        <v>228</v>
      </c>
      <c r="AV1" t="s">
        <v>431</v>
      </c>
      <c r="AW1" t="s">
        <v>435</v>
      </c>
      <c r="AX1" s="10" t="s">
        <v>440</v>
      </c>
      <c r="AY1" t="s">
        <v>232</v>
      </c>
      <c r="AZ1" t="s">
        <v>231</v>
      </c>
      <c r="BA1" t="s">
        <v>230</v>
      </c>
      <c r="BB1" t="s">
        <v>727</v>
      </c>
    </row>
    <row r="2" spans="1:54" x14ac:dyDescent="0.35">
      <c r="A2" t="s">
        <v>226</v>
      </c>
      <c r="B2">
        <v>1</v>
      </c>
      <c r="C2" t="s">
        <v>5</v>
      </c>
      <c r="D2" t="s">
        <v>224</v>
      </c>
      <c r="E2" t="s">
        <v>175</v>
      </c>
      <c r="F2" s="1">
        <v>0.8</v>
      </c>
      <c r="G2" t="s">
        <v>223</v>
      </c>
      <c r="H2">
        <v>5</v>
      </c>
      <c r="I2">
        <v>10</v>
      </c>
      <c r="J2">
        <v>15</v>
      </c>
      <c r="K2">
        <v>25</v>
      </c>
      <c r="L2">
        <v>4</v>
      </c>
      <c r="M2">
        <f>K2+L2</f>
        <v>29</v>
      </c>
      <c r="N2">
        <v>30</v>
      </c>
      <c r="P2">
        <v>0.2</v>
      </c>
      <c r="Q2">
        <f t="shared" ref="Q2:Q65" si="0">P2/(PI()*(5*(S2/2)^2+5*(T2/2)^2+5*(U2/2)^2+5*(V2/2)^2))</f>
        <v>1.3915186281258606E-2</v>
      </c>
      <c r="R2" s="6">
        <v>145</v>
      </c>
      <c r="S2">
        <v>0.8</v>
      </c>
      <c r="T2">
        <f t="shared" ref="T2:T65" si="1">AVERAGE(S2,U2)</f>
        <v>0.9</v>
      </c>
      <c r="U2">
        <v>1</v>
      </c>
      <c r="V2">
        <v>1.1000000000000001</v>
      </c>
      <c r="W2">
        <f>V2*1.5</f>
        <v>1.6500000000000001</v>
      </c>
      <c r="X2">
        <f t="shared" ref="X2:X65" si="2">W2*2</f>
        <v>3.3000000000000003</v>
      </c>
      <c r="Y2">
        <v>1.26</v>
      </c>
      <c r="Z2">
        <v>22</v>
      </c>
      <c r="AA2">
        <v>24.19999996</v>
      </c>
      <c r="AB2">
        <v>120</v>
      </c>
      <c r="AC2">
        <f t="shared" ref="AC2:AC7" si="3">Z2/AH2</f>
        <v>1200.0000218181822</v>
      </c>
      <c r="AF2">
        <v>1269</v>
      </c>
      <c r="AG2">
        <v>60</v>
      </c>
      <c r="AH2">
        <v>1.8333333E-2</v>
      </c>
      <c r="AI2" t="s">
        <v>21</v>
      </c>
      <c r="AJ2">
        <v>1</v>
      </c>
      <c r="AK2">
        <v>1</v>
      </c>
      <c r="AL2">
        <v>41</v>
      </c>
      <c r="AM2">
        <f>AL2-AK2</f>
        <v>40</v>
      </c>
      <c r="AN2">
        <v>0.2</v>
      </c>
      <c r="AO2">
        <f t="shared" ref="AO2:AO65" si="4">(AL2-AK2)/(2*R2)</f>
        <v>0.13793103448275862</v>
      </c>
      <c r="AP2">
        <v>0</v>
      </c>
      <c r="AQ2" t="str">
        <f t="shared" ref="AQ2:AQ65" si="5">IF(AI2&lt;&gt;"NA",K2+L2-AG2*AI2,"NA")</f>
        <v>NA</v>
      </c>
      <c r="AR2" t="str">
        <f t="shared" ref="AR2:AR33" si="6">IF(AI2&lt;&gt;"NA",AG2*AI2,"NA")</f>
        <v>NA</v>
      </c>
      <c r="AS2" t="str">
        <f t="shared" ref="AS2:AS7" si="7">IF(AR2&lt;&gt;"NA",L2-AR2,"NA")</f>
        <v>NA</v>
      </c>
      <c r="AU2" t="s">
        <v>221</v>
      </c>
      <c r="AV2" t="s">
        <v>21</v>
      </c>
      <c r="AX2" s="11">
        <v>1</v>
      </c>
      <c r="AY2">
        <v>1</v>
      </c>
      <c r="AZ2" t="s">
        <v>226</v>
      </c>
      <c r="BA2" t="s">
        <v>5</v>
      </c>
      <c r="BB2" t="s">
        <v>728</v>
      </c>
    </row>
    <row r="3" spans="1:54" x14ac:dyDescent="0.35">
      <c r="A3" t="s">
        <v>225</v>
      </c>
      <c r="B3">
        <v>1</v>
      </c>
      <c r="C3" t="s">
        <v>5</v>
      </c>
      <c r="D3" t="s">
        <v>224</v>
      </c>
      <c r="E3" t="s">
        <v>175</v>
      </c>
      <c r="F3" s="1">
        <v>0.8</v>
      </c>
      <c r="G3" t="s">
        <v>223</v>
      </c>
      <c r="H3">
        <v>5</v>
      </c>
      <c r="I3">
        <v>14</v>
      </c>
      <c r="J3">
        <v>19</v>
      </c>
      <c r="K3">
        <v>30</v>
      </c>
      <c r="L3">
        <v>8</v>
      </c>
      <c r="M3">
        <f t="shared" ref="M3:M66" si="8">K3+L3</f>
        <v>38</v>
      </c>
      <c r="N3">
        <v>35</v>
      </c>
      <c r="P3">
        <v>0.2</v>
      </c>
      <c r="Q3">
        <f t="shared" si="0"/>
        <v>1.3915186281258606E-2</v>
      </c>
      <c r="R3" s="6">
        <v>100</v>
      </c>
      <c r="S3">
        <v>0.8</v>
      </c>
      <c r="T3">
        <f t="shared" si="1"/>
        <v>0.9</v>
      </c>
      <c r="U3">
        <v>1</v>
      </c>
      <c r="V3">
        <v>1.1000000000000001</v>
      </c>
      <c r="W3">
        <f t="shared" ref="W3:W66" si="9">V3*1.5</f>
        <v>1.6500000000000001</v>
      </c>
      <c r="X3">
        <f t="shared" si="2"/>
        <v>3.3000000000000003</v>
      </c>
      <c r="Y3">
        <v>1.05</v>
      </c>
      <c r="Z3">
        <v>16</v>
      </c>
      <c r="AA3">
        <v>16.914285710000001</v>
      </c>
      <c r="AB3">
        <v>26</v>
      </c>
      <c r="AC3">
        <f t="shared" si="3"/>
        <v>455.00000213281254</v>
      </c>
      <c r="AF3" t="s">
        <v>21</v>
      </c>
      <c r="AG3">
        <v>131</v>
      </c>
      <c r="AH3">
        <v>3.5164834999999998E-2</v>
      </c>
      <c r="AI3" t="s">
        <v>21</v>
      </c>
      <c r="AJ3">
        <v>1</v>
      </c>
      <c r="AK3">
        <v>53</v>
      </c>
      <c r="AL3">
        <v>104</v>
      </c>
      <c r="AM3">
        <f t="shared" ref="AM3:AM66" si="10">AL3-AK3</f>
        <v>51</v>
      </c>
      <c r="AN3">
        <v>0.2</v>
      </c>
      <c r="AO3">
        <f t="shared" si="4"/>
        <v>0.255</v>
      </c>
      <c r="AP3">
        <v>1</v>
      </c>
      <c r="AQ3" t="str">
        <f t="shared" si="5"/>
        <v>NA</v>
      </c>
      <c r="AR3" t="str">
        <f t="shared" si="6"/>
        <v>NA</v>
      </c>
      <c r="AS3" t="str">
        <f t="shared" si="7"/>
        <v>NA</v>
      </c>
      <c r="AU3" t="s">
        <v>221</v>
      </c>
      <c r="AV3" t="s">
        <v>21</v>
      </c>
      <c r="AX3" s="11">
        <v>1</v>
      </c>
      <c r="AY3">
        <v>2</v>
      </c>
      <c r="AZ3" t="s">
        <v>225</v>
      </c>
      <c r="BA3" t="s">
        <v>5</v>
      </c>
    </row>
    <row r="4" spans="1:54" x14ac:dyDescent="0.35">
      <c r="A4" t="s">
        <v>222</v>
      </c>
      <c r="B4">
        <v>1</v>
      </c>
      <c r="C4" t="s">
        <v>5</v>
      </c>
      <c r="D4" t="s">
        <v>224</v>
      </c>
      <c r="E4" t="s">
        <v>175</v>
      </c>
      <c r="F4" s="1">
        <v>0.11</v>
      </c>
      <c r="G4" t="s">
        <v>223</v>
      </c>
      <c r="H4">
        <v>5</v>
      </c>
      <c r="I4">
        <v>14</v>
      </c>
      <c r="J4">
        <v>30</v>
      </c>
      <c r="K4">
        <v>25</v>
      </c>
      <c r="L4">
        <v>4</v>
      </c>
      <c r="M4">
        <f t="shared" si="8"/>
        <v>29</v>
      </c>
      <c r="N4">
        <v>30</v>
      </c>
      <c r="P4">
        <v>0.2</v>
      </c>
      <c r="Q4">
        <f t="shared" si="0"/>
        <v>1.4968282671390601E-2</v>
      </c>
      <c r="R4" s="6">
        <v>100</v>
      </c>
      <c r="S4">
        <v>1</v>
      </c>
      <c r="T4">
        <f t="shared" si="1"/>
        <v>1.05</v>
      </c>
      <c r="U4">
        <v>1.1000000000000001</v>
      </c>
      <c r="V4">
        <v>0.3</v>
      </c>
      <c r="W4">
        <f t="shared" si="9"/>
        <v>0.44999999999999996</v>
      </c>
      <c r="X4">
        <f t="shared" si="2"/>
        <v>0.89999999999999991</v>
      </c>
      <c r="Z4">
        <v>9.8000000000000007</v>
      </c>
      <c r="AA4">
        <v>10.50950226</v>
      </c>
      <c r="AB4">
        <v>48</v>
      </c>
      <c r="AC4">
        <f t="shared" si="3"/>
        <v>663.00000602112254</v>
      </c>
      <c r="AF4" t="s">
        <v>21</v>
      </c>
      <c r="AG4">
        <v>151</v>
      </c>
      <c r="AH4">
        <v>1.4781297000000001E-2</v>
      </c>
      <c r="AI4" t="s">
        <v>21</v>
      </c>
      <c r="AJ4">
        <v>1</v>
      </c>
      <c r="AK4">
        <v>5</v>
      </c>
      <c r="AL4">
        <v>59</v>
      </c>
      <c r="AM4">
        <f t="shared" si="10"/>
        <v>54</v>
      </c>
      <c r="AN4">
        <v>0.21272727299999999</v>
      </c>
      <c r="AO4">
        <f t="shared" si="4"/>
        <v>0.27</v>
      </c>
      <c r="AP4">
        <v>2</v>
      </c>
      <c r="AQ4" t="str">
        <f t="shared" si="5"/>
        <v>NA</v>
      </c>
      <c r="AR4" t="str">
        <f t="shared" si="6"/>
        <v>NA</v>
      </c>
      <c r="AS4" t="str">
        <f t="shared" si="7"/>
        <v>NA</v>
      </c>
      <c r="AU4" t="s">
        <v>221</v>
      </c>
      <c r="AV4" t="s">
        <v>21</v>
      </c>
      <c r="AX4" s="11">
        <v>1</v>
      </c>
      <c r="AY4">
        <v>3</v>
      </c>
      <c r="AZ4" t="s">
        <v>222</v>
      </c>
      <c r="BA4" t="s">
        <v>5</v>
      </c>
    </row>
    <row r="5" spans="1:54" x14ac:dyDescent="0.35">
      <c r="A5" t="s">
        <v>220</v>
      </c>
      <c r="B5">
        <v>1</v>
      </c>
      <c r="C5" t="s">
        <v>5</v>
      </c>
      <c r="D5" t="s">
        <v>4</v>
      </c>
      <c r="E5" t="s">
        <v>175</v>
      </c>
      <c r="F5" s="1">
        <v>0.22</v>
      </c>
      <c r="G5" t="s">
        <v>219</v>
      </c>
      <c r="H5">
        <v>5</v>
      </c>
      <c r="I5">
        <v>14</v>
      </c>
      <c r="J5">
        <v>15</v>
      </c>
      <c r="K5">
        <v>30</v>
      </c>
      <c r="L5">
        <v>6</v>
      </c>
      <c r="M5">
        <f t="shared" si="8"/>
        <v>36</v>
      </c>
      <c r="N5">
        <v>35</v>
      </c>
      <c r="P5">
        <v>0.2</v>
      </c>
      <c r="Q5">
        <f t="shared" si="0"/>
        <v>1.3915186281258606E-2</v>
      </c>
      <c r="R5" s="6">
        <v>125</v>
      </c>
      <c r="S5">
        <v>0.8</v>
      </c>
      <c r="T5">
        <f t="shared" si="1"/>
        <v>0.9</v>
      </c>
      <c r="U5">
        <v>1</v>
      </c>
      <c r="V5">
        <v>1.1000000000000001</v>
      </c>
      <c r="W5">
        <f t="shared" si="9"/>
        <v>1.6500000000000001</v>
      </c>
      <c r="X5">
        <f t="shared" si="2"/>
        <v>3.3000000000000003</v>
      </c>
      <c r="Y5">
        <v>0.65</v>
      </c>
      <c r="Z5">
        <v>17</v>
      </c>
      <c r="AA5">
        <v>17.7</v>
      </c>
      <c r="AB5">
        <v>80</v>
      </c>
      <c r="AC5">
        <f t="shared" si="3"/>
        <v>2273.999861419773</v>
      </c>
      <c r="AF5">
        <v>2508</v>
      </c>
      <c r="AG5">
        <v>150</v>
      </c>
      <c r="AH5">
        <v>7.4758139999999999E-3</v>
      </c>
      <c r="AI5" t="s">
        <v>21</v>
      </c>
      <c r="AJ5">
        <v>0</v>
      </c>
      <c r="AK5">
        <v>4</v>
      </c>
      <c r="AL5">
        <v>51</v>
      </c>
      <c r="AM5">
        <f t="shared" si="10"/>
        <v>47</v>
      </c>
      <c r="AN5">
        <v>0.22063037199999999</v>
      </c>
      <c r="AO5">
        <f t="shared" si="4"/>
        <v>0.188</v>
      </c>
      <c r="AP5">
        <v>3</v>
      </c>
      <c r="AQ5" t="str">
        <f t="shared" si="5"/>
        <v>NA</v>
      </c>
      <c r="AR5" t="str">
        <f t="shared" si="6"/>
        <v>NA</v>
      </c>
      <c r="AS5" t="str">
        <f t="shared" si="7"/>
        <v>NA</v>
      </c>
      <c r="AU5" t="s">
        <v>109</v>
      </c>
      <c r="AV5" t="s">
        <v>21</v>
      </c>
      <c r="AX5" s="11">
        <v>0</v>
      </c>
      <c r="AY5">
        <v>4</v>
      </c>
      <c r="AZ5" t="s">
        <v>220</v>
      </c>
      <c r="BA5" t="s">
        <v>5</v>
      </c>
    </row>
    <row r="6" spans="1:54" x14ac:dyDescent="0.35">
      <c r="A6" t="s">
        <v>218</v>
      </c>
      <c r="B6">
        <v>1</v>
      </c>
      <c r="C6" t="s">
        <v>5</v>
      </c>
      <c r="D6" t="s">
        <v>4</v>
      </c>
      <c r="E6" t="s">
        <v>175</v>
      </c>
      <c r="F6" s="1">
        <v>0.22</v>
      </c>
      <c r="G6" t="s">
        <v>219</v>
      </c>
      <c r="H6">
        <v>5</v>
      </c>
      <c r="I6">
        <v>14</v>
      </c>
      <c r="J6">
        <v>15</v>
      </c>
      <c r="K6">
        <v>30</v>
      </c>
      <c r="L6">
        <v>6</v>
      </c>
      <c r="M6">
        <f t="shared" si="8"/>
        <v>36</v>
      </c>
      <c r="N6">
        <v>35</v>
      </c>
      <c r="P6">
        <v>0.2</v>
      </c>
      <c r="Q6">
        <f t="shared" si="0"/>
        <v>1.3915186281258606E-2</v>
      </c>
      <c r="R6" s="6">
        <v>125</v>
      </c>
      <c r="S6">
        <v>0.8</v>
      </c>
      <c r="T6">
        <f t="shared" si="1"/>
        <v>0.9</v>
      </c>
      <c r="U6">
        <v>1</v>
      </c>
      <c r="V6">
        <v>1.1000000000000001</v>
      </c>
      <c r="W6">
        <f t="shared" si="9"/>
        <v>1.6500000000000001</v>
      </c>
      <c r="X6">
        <f t="shared" si="2"/>
        <v>3.3000000000000003</v>
      </c>
      <c r="Y6">
        <v>0.65</v>
      </c>
      <c r="Z6">
        <v>17</v>
      </c>
      <c r="AA6">
        <v>17.7</v>
      </c>
      <c r="AB6">
        <v>80</v>
      </c>
      <c r="AC6">
        <f t="shared" si="3"/>
        <v>2273.999861419773</v>
      </c>
      <c r="AF6">
        <v>2508</v>
      </c>
      <c r="AG6">
        <v>150</v>
      </c>
      <c r="AH6">
        <v>7.4758139999999999E-3</v>
      </c>
      <c r="AI6" t="s">
        <v>21</v>
      </c>
      <c r="AJ6">
        <v>1</v>
      </c>
      <c r="AK6">
        <v>29</v>
      </c>
      <c r="AL6">
        <v>103</v>
      </c>
      <c r="AM6">
        <f t="shared" si="10"/>
        <v>74</v>
      </c>
      <c r="AN6">
        <v>0.2</v>
      </c>
      <c r="AO6">
        <f t="shared" si="4"/>
        <v>0.29599999999999999</v>
      </c>
      <c r="AP6">
        <v>4</v>
      </c>
      <c r="AQ6" t="str">
        <f t="shared" si="5"/>
        <v>NA</v>
      </c>
      <c r="AR6" t="str">
        <f t="shared" si="6"/>
        <v>NA</v>
      </c>
      <c r="AS6" t="str">
        <f t="shared" si="7"/>
        <v>NA</v>
      </c>
      <c r="AU6" t="s">
        <v>109</v>
      </c>
      <c r="AV6" t="s">
        <v>21</v>
      </c>
      <c r="AX6" s="11">
        <v>1</v>
      </c>
      <c r="AY6">
        <v>5</v>
      </c>
      <c r="AZ6" t="s">
        <v>218</v>
      </c>
      <c r="BA6" t="s">
        <v>5</v>
      </c>
    </row>
    <row r="7" spans="1:54" x14ac:dyDescent="0.35">
      <c r="A7" t="s">
        <v>217</v>
      </c>
      <c r="B7">
        <v>1</v>
      </c>
      <c r="C7" t="s">
        <v>5</v>
      </c>
      <c r="D7" t="s">
        <v>4</v>
      </c>
      <c r="E7" t="s">
        <v>175</v>
      </c>
      <c r="F7" s="1" t="s">
        <v>190</v>
      </c>
      <c r="G7" t="s">
        <v>189</v>
      </c>
      <c r="H7">
        <v>5</v>
      </c>
      <c r="I7">
        <v>14</v>
      </c>
      <c r="J7">
        <v>14</v>
      </c>
      <c r="K7">
        <v>35</v>
      </c>
      <c r="L7">
        <v>4</v>
      </c>
      <c r="M7">
        <f t="shared" si="8"/>
        <v>39</v>
      </c>
      <c r="N7">
        <v>29</v>
      </c>
      <c r="P7">
        <v>0.2</v>
      </c>
      <c r="Q7">
        <f t="shared" si="0"/>
        <v>9.6588795928949887E-3</v>
      </c>
      <c r="R7" s="6">
        <v>94</v>
      </c>
      <c r="S7">
        <v>0.84</v>
      </c>
      <c r="T7">
        <f t="shared" si="1"/>
        <v>1.0649999999999999</v>
      </c>
      <c r="U7">
        <v>1.29</v>
      </c>
      <c r="V7">
        <v>1.33</v>
      </c>
      <c r="W7">
        <f t="shared" si="9"/>
        <v>1.9950000000000001</v>
      </c>
      <c r="X7">
        <f t="shared" si="2"/>
        <v>3.99</v>
      </c>
      <c r="Y7">
        <v>0.65</v>
      </c>
      <c r="Z7">
        <v>17</v>
      </c>
      <c r="AA7">
        <v>17.7</v>
      </c>
      <c r="AB7">
        <v>71</v>
      </c>
      <c r="AC7">
        <f t="shared" si="3"/>
        <v>2052.0000965647105</v>
      </c>
      <c r="AF7">
        <v>2328</v>
      </c>
      <c r="AG7">
        <v>528</v>
      </c>
      <c r="AH7">
        <v>8.2845999999999996E-3</v>
      </c>
      <c r="AI7" t="s">
        <v>21</v>
      </c>
      <c r="AJ7">
        <v>1</v>
      </c>
      <c r="AK7">
        <v>82</v>
      </c>
      <c r="AL7">
        <v>262</v>
      </c>
      <c r="AM7">
        <f t="shared" si="10"/>
        <v>180</v>
      </c>
      <c r="AN7">
        <v>0.2</v>
      </c>
      <c r="AO7">
        <f t="shared" si="4"/>
        <v>0.95744680851063835</v>
      </c>
      <c r="AP7">
        <v>5</v>
      </c>
      <c r="AQ7" t="str">
        <f t="shared" si="5"/>
        <v>NA</v>
      </c>
      <c r="AR7" t="str">
        <f t="shared" si="6"/>
        <v>NA</v>
      </c>
      <c r="AS7" t="str">
        <f t="shared" si="7"/>
        <v>NA</v>
      </c>
      <c r="AU7" t="s">
        <v>436</v>
      </c>
      <c r="AV7" t="s">
        <v>21</v>
      </c>
      <c r="AX7" s="11">
        <v>1</v>
      </c>
      <c r="AY7">
        <v>6</v>
      </c>
      <c r="AZ7" t="s">
        <v>217</v>
      </c>
      <c r="BA7" t="s">
        <v>5</v>
      </c>
    </row>
    <row r="8" spans="1:54" x14ac:dyDescent="0.35">
      <c r="A8" t="s">
        <v>217</v>
      </c>
      <c r="B8">
        <v>1</v>
      </c>
      <c r="C8" t="s">
        <v>0</v>
      </c>
      <c r="D8" t="s">
        <v>4</v>
      </c>
      <c r="E8" t="s">
        <v>175</v>
      </c>
      <c r="F8" s="1" t="s">
        <v>190</v>
      </c>
      <c r="G8" t="s">
        <v>189</v>
      </c>
      <c r="H8">
        <v>5</v>
      </c>
      <c r="I8">
        <v>14</v>
      </c>
      <c r="J8">
        <v>14</v>
      </c>
      <c r="K8">
        <v>35</v>
      </c>
      <c r="L8">
        <v>4</v>
      </c>
      <c r="M8">
        <f t="shared" si="8"/>
        <v>39</v>
      </c>
      <c r="N8">
        <v>29</v>
      </c>
      <c r="P8">
        <v>0.2</v>
      </c>
      <c r="Q8">
        <f t="shared" si="0"/>
        <v>9.6588795928949887E-3</v>
      </c>
      <c r="R8" s="6">
        <v>94</v>
      </c>
      <c r="S8">
        <v>0.84</v>
      </c>
      <c r="T8">
        <f t="shared" si="1"/>
        <v>1.0649999999999999</v>
      </c>
      <c r="U8">
        <v>1.29</v>
      </c>
      <c r="V8">
        <v>1.33</v>
      </c>
      <c r="W8">
        <f t="shared" si="9"/>
        <v>1.9950000000000001</v>
      </c>
      <c r="X8">
        <f t="shared" si="2"/>
        <v>3.99</v>
      </c>
      <c r="Y8">
        <v>0.65</v>
      </c>
      <c r="Z8">
        <v>17</v>
      </c>
      <c r="AA8">
        <v>17.7</v>
      </c>
      <c r="AB8">
        <v>71</v>
      </c>
      <c r="AC8">
        <v>2052.0000965647105</v>
      </c>
      <c r="AF8">
        <v>2328</v>
      </c>
      <c r="AG8">
        <v>1550</v>
      </c>
      <c r="AH8">
        <f>AH7</f>
        <v>8.2845999999999996E-3</v>
      </c>
      <c r="AI8">
        <v>2.4544179999999999E-3</v>
      </c>
      <c r="AJ8">
        <v>1</v>
      </c>
      <c r="AK8">
        <v>51</v>
      </c>
      <c r="AL8">
        <v>231</v>
      </c>
      <c r="AM8">
        <f t="shared" si="10"/>
        <v>180</v>
      </c>
      <c r="AN8">
        <v>0.2</v>
      </c>
      <c r="AO8">
        <f t="shared" si="4"/>
        <v>0.95744680851063835</v>
      </c>
      <c r="AP8">
        <v>6</v>
      </c>
      <c r="AQ8">
        <f t="shared" si="5"/>
        <v>35.195652100000004</v>
      </c>
      <c r="AR8">
        <f t="shared" si="6"/>
        <v>3.8043478999999998</v>
      </c>
      <c r="AS8">
        <f t="shared" ref="AS8:AS71" si="11">IF(AR8&lt;&gt;"NA",(L8-AR8)/L8,"NA")</f>
        <v>4.8913025000000054E-2</v>
      </c>
      <c r="AU8" t="s">
        <v>436</v>
      </c>
      <c r="AV8" t="s">
        <v>21</v>
      </c>
      <c r="AX8" s="11">
        <v>1</v>
      </c>
      <c r="AY8">
        <v>6</v>
      </c>
      <c r="AZ8" t="s">
        <v>217</v>
      </c>
      <c r="BA8" t="s">
        <v>0</v>
      </c>
    </row>
    <row r="9" spans="1:54" x14ac:dyDescent="0.35">
      <c r="A9" t="s">
        <v>216</v>
      </c>
      <c r="B9">
        <v>1</v>
      </c>
      <c r="C9" t="s">
        <v>5</v>
      </c>
      <c r="D9" t="s">
        <v>4</v>
      </c>
      <c r="E9" t="s">
        <v>175</v>
      </c>
      <c r="F9" s="1" t="s">
        <v>193</v>
      </c>
      <c r="G9" t="s">
        <v>189</v>
      </c>
      <c r="H9">
        <v>5</v>
      </c>
      <c r="I9">
        <v>14</v>
      </c>
      <c r="J9">
        <v>20</v>
      </c>
      <c r="K9">
        <v>40</v>
      </c>
      <c r="L9">
        <v>10</v>
      </c>
      <c r="M9">
        <f t="shared" si="8"/>
        <v>50</v>
      </c>
      <c r="N9">
        <v>39</v>
      </c>
      <c r="P9">
        <v>0.2</v>
      </c>
      <c r="Q9">
        <f t="shared" si="0"/>
        <v>1.1663107200340419E-2</v>
      </c>
      <c r="R9" s="6">
        <v>116</v>
      </c>
      <c r="S9">
        <v>0.74</v>
      </c>
      <c r="T9">
        <f t="shared" si="1"/>
        <v>0.82499999999999996</v>
      </c>
      <c r="U9">
        <v>0.91</v>
      </c>
      <c r="V9">
        <v>1.52</v>
      </c>
      <c r="W9">
        <f t="shared" si="9"/>
        <v>2.2800000000000002</v>
      </c>
      <c r="X9">
        <f t="shared" si="2"/>
        <v>4.5600000000000005</v>
      </c>
      <c r="Y9">
        <v>0.65</v>
      </c>
      <c r="Z9">
        <v>17</v>
      </c>
      <c r="AA9">
        <v>17.7</v>
      </c>
      <c r="AB9">
        <v>80</v>
      </c>
      <c r="AC9">
        <f>Z9/AH9</f>
        <v>2060.0000460470601</v>
      </c>
      <c r="AF9">
        <v>2338</v>
      </c>
      <c r="AG9">
        <v>93</v>
      </c>
      <c r="AH9">
        <v>8.2524269999999997E-3</v>
      </c>
      <c r="AI9" t="s">
        <v>21</v>
      </c>
      <c r="AJ9">
        <v>1</v>
      </c>
      <c r="AK9">
        <v>227</v>
      </c>
      <c r="AL9">
        <v>442</v>
      </c>
      <c r="AM9">
        <f t="shared" si="10"/>
        <v>215</v>
      </c>
      <c r="AN9">
        <v>0.2</v>
      </c>
      <c r="AO9">
        <f t="shared" si="4"/>
        <v>0.92672413793103448</v>
      </c>
      <c r="AP9">
        <v>7</v>
      </c>
      <c r="AQ9" t="str">
        <f t="shared" si="5"/>
        <v>NA</v>
      </c>
      <c r="AR9" t="str">
        <f t="shared" si="6"/>
        <v>NA</v>
      </c>
      <c r="AS9" t="str">
        <f t="shared" si="11"/>
        <v>NA</v>
      </c>
      <c r="AU9" t="s">
        <v>311</v>
      </c>
      <c r="AV9" t="s">
        <v>21</v>
      </c>
      <c r="AX9" s="11">
        <v>1</v>
      </c>
      <c r="AY9">
        <v>7</v>
      </c>
      <c r="AZ9" t="s">
        <v>216</v>
      </c>
      <c r="BA9" t="s">
        <v>5</v>
      </c>
    </row>
    <row r="10" spans="1:54" x14ac:dyDescent="0.35">
      <c r="A10" t="s">
        <v>216</v>
      </c>
      <c r="B10">
        <v>1</v>
      </c>
      <c r="C10" t="s">
        <v>0</v>
      </c>
      <c r="D10" t="s">
        <v>4</v>
      </c>
      <c r="E10" t="s">
        <v>175</v>
      </c>
      <c r="F10" s="1" t="s">
        <v>193</v>
      </c>
      <c r="G10" t="s">
        <v>189</v>
      </c>
      <c r="H10">
        <v>5</v>
      </c>
      <c r="I10">
        <v>14</v>
      </c>
      <c r="J10">
        <v>20</v>
      </c>
      <c r="K10">
        <v>40</v>
      </c>
      <c r="L10">
        <v>10</v>
      </c>
      <c r="M10">
        <f t="shared" si="8"/>
        <v>50</v>
      </c>
      <c r="N10">
        <v>39</v>
      </c>
      <c r="P10">
        <v>0.2</v>
      </c>
      <c r="Q10">
        <f t="shared" si="0"/>
        <v>1.1663107200340419E-2</v>
      </c>
      <c r="R10" s="6">
        <v>116</v>
      </c>
      <c r="S10">
        <v>0.74</v>
      </c>
      <c r="T10">
        <f t="shared" si="1"/>
        <v>0.82499999999999996</v>
      </c>
      <c r="U10">
        <v>0.91</v>
      </c>
      <c r="V10">
        <v>1.52</v>
      </c>
      <c r="W10">
        <f t="shared" si="9"/>
        <v>2.2800000000000002</v>
      </c>
      <c r="X10">
        <f t="shared" si="2"/>
        <v>4.5600000000000005</v>
      </c>
      <c r="Y10">
        <v>0.65</v>
      </c>
      <c r="Z10">
        <v>17</v>
      </c>
      <c r="AA10">
        <v>17.7</v>
      </c>
      <c r="AB10">
        <v>80</v>
      </c>
      <c r="AC10">
        <v>2060.0000460470601</v>
      </c>
      <c r="AF10">
        <v>2338</v>
      </c>
      <c r="AG10">
        <v>470</v>
      </c>
      <c r="AH10">
        <f>AH9</f>
        <v>8.2524269999999997E-3</v>
      </c>
      <c r="AI10">
        <v>2.4544179999999999E-3</v>
      </c>
      <c r="AJ10">
        <v>1</v>
      </c>
      <c r="AK10">
        <v>14</v>
      </c>
      <c r="AL10">
        <v>229</v>
      </c>
      <c r="AM10">
        <f t="shared" si="10"/>
        <v>215</v>
      </c>
      <c r="AN10">
        <v>0.2</v>
      </c>
      <c r="AO10">
        <f t="shared" si="4"/>
        <v>0.92672413793103448</v>
      </c>
      <c r="AP10">
        <v>8</v>
      </c>
      <c r="AQ10">
        <f t="shared" si="5"/>
        <v>48.846423540000004</v>
      </c>
      <c r="AR10">
        <f t="shared" si="6"/>
        <v>1.15357646</v>
      </c>
      <c r="AS10">
        <f t="shared" si="11"/>
        <v>0.88464235400000002</v>
      </c>
      <c r="AU10" t="s">
        <v>311</v>
      </c>
      <c r="AV10" t="s">
        <v>21</v>
      </c>
      <c r="AX10" s="11">
        <v>1</v>
      </c>
      <c r="AY10">
        <v>7</v>
      </c>
      <c r="AZ10" t="s">
        <v>216</v>
      </c>
      <c r="BA10" t="s">
        <v>0</v>
      </c>
    </row>
    <row r="11" spans="1:54" x14ac:dyDescent="0.35">
      <c r="A11" t="s">
        <v>215</v>
      </c>
      <c r="B11">
        <v>1</v>
      </c>
      <c r="C11" t="s">
        <v>5</v>
      </c>
      <c r="D11" t="s">
        <v>4</v>
      </c>
      <c r="E11" t="s">
        <v>175</v>
      </c>
      <c r="F11" s="1" t="s">
        <v>190</v>
      </c>
      <c r="G11" t="s">
        <v>189</v>
      </c>
      <c r="H11">
        <v>5</v>
      </c>
      <c r="I11">
        <v>10</v>
      </c>
      <c r="J11">
        <v>21</v>
      </c>
      <c r="K11">
        <v>31</v>
      </c>
      <c r="L11">
        <v>4</v>
      </c>
      <c r="M11">
        <f t="shared" si="8"/>
        <v>35</v>
      </c>
      <c r="N11">
        <v>41</v>
      </c>
      <c r="O11">
        <v>2.58</v>
      </c>
      <c r="P11">
        <v>0.22</v>
      </c>
      <c r="Q11">
        <f t="shared" si="0"/>
        <v>2.61494305304085E-2</v>
      </c>
      <c r="R11" s="6">
        <v>95</v>
      </c>
      <c r="S11">
        <v>0.5</v>
      </c>
      <c r="T11">
        <f t="shared" si="1"/>
        <v>0.62</v>
      </c>
      <c r="U11">
        <v>0.74</v>
      </c>
      <c r="V11">
        <v>0.98</v>
      </c>
      <c r="W11">
        <f t="shared" si="9"/>
        <v>1.47</v>
      </c>
      <c r="X11">
        <f t="shared" si="2"/>
        <v>2.94</v>
      </c>
      <c r="Y11">
        <v>0.65</v>
      </c>
      <c r="Z11">
        <v>17</v>
      </c>
      <c r="AA11">
        <v>17.7</v>
      </c>
      <c r="AB11">
        <v>80</v>
      </c>
      <c r="AC11">
        <f>Z11/AH11</f>
        <v>2060.0000460470601</v>
      </c>
      <c r="AF11">
        <v>2343</v>
      </c>
      <c r="AG11">
        <v>10</v>
      </c>
      <c r="AH11">
        <v>8.2524269999999997E-3</v>
      </c>
      <c r="AI11" t="s">
        <v>21</v>
      </c>
      <c r="AJ11">
        <v>0</v>
      </c>
      <c r="AK11">
        <v>8</v>
      </c>
      <c r="AL11">
        <v>111</v>
      </c>
      <c r="AM11">
        <f t="shared" si="10"/>
        <v>103</v>
      </c>
      <c r="AN11">
        <v>0.22</v>
      </c>
      <c r="AO11">
        <f t="shared" si="4"/>
        <v>0.54210526315789476</v>
      </c>
      <c r="AP11">
        <v>9</v>
      </c>
      <c r="AQ11" t="str">
        <f t="shared" si="5"/>
        <v>NA</v>
      </c>
      <c r="AR11" t="str">
        <f t="shared" si="6"/>
        <v>NA</v>
      </c>
      <c r="AS11" t="str">
        <f t="shared" si="11"/>
        <v>NA</v>
      </c>
      <c r="AU11" t="s">
        <v>303</v>
      </c>
      <c r="AV11" t="s">
        <v>437</v>
      </c>
      <c r="AX11" s="12">
        <v>0</v>
      </c>
      <c r="AY11">
        <v>8</v>
      </c>
      <c r="AZ11" t="s">
        <v>215</v>
      </c>
      <c r="BA11" t="s">
        <v>5</v>
      </c>
    </row>
    <row r="12" spans="1:54" x14ac:dyDescent="0.35">
      <c r="A12" t="s">
        <v>215</v>
      </c>
      <c r="B12">
        <v>1</v>
      </c>
      <c r="C12" t="s">
        <v>0</v>
      </c>
      <c r="D12" t="s">
        <v>4</v>
      </c>
      <c r="E12" t="s">
        <v>175</v>
      </c>
      <c r="F12" s="1" t="s">
        <v>190</v>
      </c>
      <c r="G12" t="s">
        <v>189</v>
      </c>
      <c r="H12">
        <v>5</v>
      </c>
      <c r="I12">
        <v>10</v>
      </c>
      <c r="J12">
        <v>21</v>
      </c>
      <c r="K12">
        <v>31</v>
      </c>
      <c r="L12">
        <v>4</v>
      </c>
      <c r="M12">
        <f t="shared" si="8"/>
        <v>35</v>
      </c>
      <c r="N12">
        <v>41</v>
      </c>
      <c r="O12">
        <v>2.58</v>
      </c>
      <c r="P12">
        <v>0.22</v>
      </c>
      <c r="Q12">
        <f t="shared" si="0"/>
        <v>2.61494305304085E-2</v>
      </c>
      <c r="R12" s="6">
        <v>95</v>
      </c>
      <c r="S12">
        <v>0.5</v>
      </c>
      <c r="T12">
        <f t="shared" si="1"/>
        <v>0.62</v>
      </c>
      <c r="U12">
        <v>0.74</v>
      </c>
      <c r="V12">
        <v>0.98</v>
      </c>
      <c r="W12">
        <f t="shared" si="9"/>
        <v>1.47</v>
      </c>
      <c r="X12">
        <f t="shared" si="2"/>
        <v>2.94</v>
      </c>
      <c r="Y12">
        <v>0.65</v>
      </c>
      <c r="Z12">
        <v>17</v>
      </c>
      <c r="AA12">
        <v>17.7</v>
      </c>
      <c r="AB12">
        <v>80</v>
      </c>
      <c r="AC12">
        <v>2060.0000460470601</v>
      </c>
      <c r="AF12">
        <v>2343</v>
      </c>
      <c r="AG12">
        <v>336</v>
      </c>
      <c r="AH12" t="s">
        <v>21</v>
      </c>
      <c r="AI12">
        <v>2.4544179999999999E-3</v>
      </c>
      <c r="AJ12">
        <v>0</v>
      </c>
      <c r="AK12">
        <v>22</v>
      </c>
      <c r="AL12">
        <v>125</v>
      </c>
      <c r="AM12">
        <f t="shared" si="10"/>
        <v>103</v>
      </c>
      <c r="AN12">
        <v>0.22</v>
      </c>
      <c r="AO12">
        <f t="shared" si="4"/>
        <v>0.54210526315789476</v>
      </c>
      <c r="AP12">
        <v>10</v>
      </c>
      <c r="AQ12">
        <f t="shared" si="5"/>
        <v>34.175315552000001</v>
      </c>
      <c r="AR12">
        <f t="shared" si="6"/>
        <v>0.82468444799999996</v>
      </c>
      <c r="AS12">
        <f t="shared" si="11"/>
        <v>0.79382888799999995</v>
      </c>
      <c r="AU12" t="s">
        <v>303</v>
      </c>
      <c r="AV12" t="s">
        <v>437</v>
      </c>
      <c r="AX12" s="12">
        <v>0</v>
      </c>
      <c r="AY12">
        <v>8</v>
      </c>
      <c r="AZ12" t="s">
        <v>215</v>
      </c>
      <c r="BA12" t="s">
        <v>0</v>
      </c>
    </row>
    <row r="13" spans="1:54" x14ac:dyDescent="0.35">
      <c r="A13" t="s">
        <v>214</v>
      </c>
      <c r="B13">
        <v>1</v>
      </c>
      <c r="C13" t="s">
        <v>5</v>
      </c>
      <c r="D13" t="s">
        <v>4</v>
      </c>
      <c r="E13" t="s">
        <v>175</v>
      </c>
      <c r="F13" s="1" t="s">
        <v>190</v>
      </c>
      <c r="G13" t="s">
        <v>189</v>
      </c>
      <c r="H13">
        <v>5</v>
      </c>
      <c r="I13">
        <v>10</v>
      </c>
      <c r="J13">
        <v>21</v>
      </c>
      <c r="K13">
        <v>31</v>
      </c>
      <c r="L13">
        <v>4</v>
      </c>
      <c r="M13">
        <f t="shared" si="8"/>
        <v>35</v>
      </c>
      <c r="N13">
        <v>41</v>
      </c>
      <c r="O13">
        <v>2.58</v>
      </c>
      <c r="P13">
        <v>0.22</v>
      </c>
      <c r="Q13">
        <f t="shared" si="0"/>
        <v>2.61494305304085E-2</v>
      </c>
      <c r="R13" s="6">
        <v>95</v>
      </c>
      <c r="S13">
        <v>0.5</v>
      </c>
      <c r="T13">
        <f t="shared" si="1"/>
        <v>0.62</v>
      </c>
      <c r="U13">
        <v>0.74</v>
      </c>
      <c r="V13">
        <v>0.98</v>
      </c>
      <c r="W13">
        <f t="shared" si="9"/>
        <v>1.47</v>
      </c>
      <c r="X13">
        <f t="shared" si="2"/>
        <v>2.94</v>
      </c>
      <c r="Y13">
        <v>0.65</v>
      </c>
      <c r="Z13">
        <v>17</v>
      </c>
      <c r="AA13">
        <v>17.7</v>
      </c>
      <c r="AB13">
        <v>80</v>
      </c>
      <c r="AC13">
        <f>Z13/AH13</f>
        <v>2060.0000460470601</v>
      </c>
      <c r="AF13">
        <v>2343</v>
      </c>
      <c r="AG13">
        <v>10</v>
      </c>
      <c r="AH13">
        <v>8.2524269999999997E-3</v>
      </c>
      <c r="AI13" t="s">
        <v>21</v>
      </c>
      <c r="AJ13">
        <v>0</v>
      </c>
      <c r="AK13">
        <v>16</v>
      </c>
      <c r="AL13">
        <v>101</v>
      </c>
      <c r="AM13">
        <f t="shared" si="10"/>
        <v>85</v>
      </c>
      <c r="AN13">
        <v>0.22</v>
      </c>
      <c r="AO13">
        <f t="shared" si="4"/>
        <v>0.44736842105263158</v>
      </c>
      <c r="AP13">
        <v>11</v>
      </c>
      <c r="AQ13" t="str">
        <f t="shared" si="5"/>
        <v>NA</v>
      </c>
      <c r="AR13" t="str">
        <f t="shared" si="6"/>
        <v>NA</v>
      </c>
      <c r="AS13" t="str">
        <f t="shared" si="11"/>
        <v>NA</v>
      </c>
      <c r="AU13" t="s">
        <v>303</v>
      </c>
      <c r="AV13" t="s">
        <v>437</v>
      </c>
      <c r="AX13" s="12">
        <v>0</v>
      </c>
      <c r="AY13">
        <v>9</v>
      </c>
      <c r="AZ13" t="s">
        <v>214</v>
      </c>
      <c r="BA13" t="s">
        <v>5</v>
      </c>
    </row>
    <row r="14" spans="1:54" x14ac:dyDescent="0.35">
      <c r="A14" t="s">
        <v>214</v>
      </c>
      <c r="B14">
        <v>1</v>
      </c>
      <c r="C14" t="s">
        <v>0</v>
      </c>
      <c r="D14" t="s">
        <v>4</v>
      </c>
      <c r="E14" t="s">
        <v>175</v>
      </c>
      <c r="F14" s="1" t="s">
        <v>190</v>
      </c>
      <c r="G14" t="s">
        <v>189</v>
      </c>
      <c r="H14">
        <v>5</v>
      </c>
      <c r="I14">
        <v>10</v>
      </c>
      <c r="J14">
        <v>21</v>
      </c>
      <c r="K14">
        <v>31</v>
      </c>
      <c r="L14">
        <v>4</v>
      </c>
      <c r="M14">
        <f t="shared" si="8"/>
        <v>35</v>
      </c>
      <c r="N14">
        <v>41</v>
      </c>
      <c r="O14">
        <v>2.58</v>
      </c>
      <c r="P14">
        <v>0.22</v>
      </c>
      <c r="Q14">
        <f t="shared" si="0"/>
        <v>2.61494305304085E-2</v>
      </c>
      <c r="R14" s="6">
        <v>95</v>
      </c>
      <c r="S14">
        <v>0.5</v>
      </c>
      <c r="T14">
        <f t="shared" si="1"/>
        <v>0.62</v>
      </c>
      <c r="U14">
        <v>0.74</v>
      </c>
      <c r="V14">
        <v>0.98</v>
      </c>
      <c r="W14">
        <f t="shared" si="9"/>
        <v>1.47</v>
      </c>
      <c r="X14">
        <f t="shared" si="2"/>
        <v>2.94</v>
      </c>
      <c r="Y14">
        <v>0.65</v>
      </c>
      <c r="Z14">
        <v>17</v>
      </c>
      <c r="AA14">
        <v>17.7</v>
      </c>
      <c r="AB14">
        <v>80</v>
      </c>
      <c r="AC14">
        <v>2060.0000460470601</v>
      </c>
      <c r="AF14">
        <v>2343</v>
      </c>
      <c r="AG14">
        <v>430</v>
      </c>
      <c r="AH14" t="s">
        <v>21</v>
      </c>
      <c r="AI14">
        <v>2.4544179999999999E-3</v>
      </c>
      <c r="AJ14">
        <v>0</v>
      </c>
      <c r="AK14">
        <v>20</v>
      </c>
      <c r="AL14">
        <v>105</v>
      </c>
      <c r="AM14">
        <f t="shared" si="10"/>
        <v>85</v>
      </c>
      <c r="AN14">
        <v>0.22</v>
      </c>
      <c r="AO14">
        <f t="shared" si="4"/>
        <v>0.44736842105263158</v>
      </c>
      <c r="AP14">
        <v>12</v>
      </c>
      <c r="AQ14">
        <f t="shared" si="5"/>
        <v>33.944600260000001</v>
      </c>
      <c r="AR14">
        <f t="shared" si="6"/>
        <v>1.0553997399999999</v>
      </c>
      <c r="AS14">
        <f t="shared" si="11"/>
        <v>0.73615006500000002</v>
      </c>
      <c r="AU14" t="s">
        <v>303</v>
      </c>
      <c r="AV14" t="s">
        <v>437</v>
      </c>
      <c r="AX14" s="12">
        <v>0</v>
      </c>
      <c r="AY14">
        <v>9</v>
      </c>
      <c r="AZ14" t="s">
        <v>214</v>
      </c>
      <c r="BA14" t="s">
        <v>0</v>
      </c>
    </row>
    <row r="15" spans="1:54" x14ac:dyDescent="0.35">
      <c r="A15" t="s">
        <v>213</v>
      </c>
      <c r="B15">
        <v>1</v>
      </c>
      <c r="C15" t="s">
        <v>5</v>
      </c>
      <c r="D15" t="s">
        <v>4</v>
      </c>
      <c r="E15" t="s">
        <v>175</v>
      </c>
      <c r="F15" s="1" t="s">
        <v>190</v>
      </c>
      <c r="G15" t="s">
        <v>189</v>
      </c>
      <c r="H15">
        <v>5</v>
      </c>
      <c r="I15">
        <v>10</v>
      </c>
      <c r="J15">
        <v>21</v>
      </c>
      <c r="K15">
        <v>31</v>
      </c>
      <c r="L15">
        <v>4</v>
      </c>
      <c r="M15">
        <f t="shared" si="8"/>
        <v>35</v>
      </c>
      <c r="N15">
        <v>41</v>
      </c>
      <c r="O15">
        <v>2.58</v>
      </c>
      <c r="P15">
        <v>0.22</v>
      </c>
      <c r="Q15">
        <f t="shared" si="0"/>
        <v>2.61494305304085E-2</v>
      </c>
      <c r="R15" s="6">
        <v>95</v>
      </c>
      <c r="S15">
        <v>0.5</v>
      </c>
      <c r="T15">
        <f t="shared" si="1"/>
        <v>0.62</v>
      </c>
      <c r="U15">
        <v>0.74</v>
      </c>
      <c r="V15">
        <v>0.98</v>
      </c>
      <c r="W15">
        <f t="shared" si="9"/>
        <v>1.47</v>
      </c>
      <c r="X15">
        <f t="shared" si="2"/>
        <v>2.94</v>
      </c>
      <c r="Y15">
        <v>0.65</v>
      </c>
      <c r="Z15">
        <v>17</v>
      </c>
      <c r="AA15">
        <v>17.7</v>
      </c>
      <c r="AB15">
        <v>80</v>
      </c>
      <c r="AC15">
        <f>Z15/AH15</f>
        <v>2060.0000460470601</v>
      </c>
      <c r="AF15">
        <v>2343</v>
      </c>
      <c r="AG15">
        <v>10</v>
      </c>
      <c r="AH15">
        <v>8.2524269999999997E-3</v>
      </c>
      <c r="AI15" t="s">
        <v>21</v>
      </c>
      <c r="AJ15">
        <v>0</v>
      </c>
      <c r="AK15">
        <v>17</v>
      </c>
      <c r="AL15">
        <v>95</v>
      </c>
      <c r="AM15">
        <f t="shared" si="10"/>
        <v>78</v>
      </c>
      <c r="AN15">
        <v>0.22</v>
      </c>
      <c r="AO15">
        <f t="shared" si="4"/>
        <v>0.41052631578947368</v>
      </c>
      <c r="AP15">
        <v>13</v>
      </c>
      <c r="AQ15" t="str">
        <f t="shared" si="5"/>
        <v>NA</v>
      </c>
      <c r="AR15" t="str">
        <f t="shared" si="6"/>
        <v>NA</v>
      </c>
      <c r="AS15" t="str">
        <f t="shared" si="11"/>
        <v>NA</v>
      </c>
      <c r="AU15" t="s">
        <v>303</v>
      </c>
      <c r="AV15" t="s">
        <v>437</v>
      </c>
      <c r="AX15" s="12">
        <v>0</v>
      </c>
      <c r="AY15">
        <v>10</v>
      </c>
      <c r="AZ15" t="s">
        <v>213</v>
      </c>
      <c r="BA15" t="s">
        <v>5</v>
      </c>
    </row>
    <row r="16" spans="1:54" x14ac:dyDescent="0.35">
      <c r="A16" t="s">
        <v>213</v>
      </c>
      <c r="B16">
        <v>1</v>
      </c>
      <c r="C16" t="s">
        <v>0</v>
      </c>
      <c r="D16" t="s">
        <v>4</v>
      </c>
      <c r="E16" t="s">
        <v>175</v>
      </c>
      <c r="F16" s="1" t="s">
        <v>190</v>
      </c>
      <c r="G16" t="s">
        <v>189</v>
      </c>
      <c r="H16">
        <v>5</v>
      </c>
      <c r="I16">
        <v>10</v>
      </c>
      <c r="J16">
        <v>21</v>
      </c>
      <c r="K16">
        <v>31</v>
      </c>
      <c r="L16">
        <v>4</v>
      </c>
      <c r="M16">
        <f t="shared" si="8"/>
        <v>35</v>
      </c>
      <c r="N16">
        <v>41</v>
      </c>
      <c r="O16">
        <v>2.58</v>
      </c>
      <c r="P16">
        <v>0.22</v>
      </c>
      <c r="Q16">
        <f t="shared" si="0"/>
        <v>2.61494305304085E-2</v>
      </c>
      <c r="R16" s="6">
        <v>95</v>
      </c>
      <c r="S16">
        <v>0.5</v>
      </c>
      <c r="T16">
        <f t="shared" si="1"/>
        <v>0.62</v>
      </c>
      <c r="U16">
        <v>0.74</v>
      </c>
      <c r="V16">
        <v>0.98</v>
      </c>
      <c r="W16">
        <f t="shared" si="9"/>
        <v>1.47</v>
      </c>
      <c r="X16">
        <f t="shared" si="2"/>
        <v>2.94</v>
      </c>
      <c r="Y16">
        <v>0.65</v>
      </c>
      <c r="Z16">
        <v>17</v>
      </c>
      <c r="AA16">
        <v>17.7</v>
      </c>
      <c r="AB16">
        <v>80</v>
      </c>
      <c r="AC16">
        <v>2060.0000460470601</v>
      </c>
      <c r="AF16">
        <v>2343</v>
      </c>
      <c r="AG16">
        <v>283</v>
      </c>
      <c r="AH16" t="s">
        <v>21</v>
      </c>
      <c r="AI16">
        <v>2.4544179999999999E-3</v>
      </c>
      <c r="AJ16">
        <v>0</v>
      </c>
      <c r="AK16">
        <v>11</v>
      </c>
      <c r="AL16">
        <v>89</v>
      </c>
      <c r="AM16">
        <f t="shared" si="10"/>
        <v>78</v>
      </c>
      <c r="AN16">
        <v>0.22</v>
      </c>
      <c r="AO16">
        <f t="shared" si="4"/>
        <v>0.41052631578947368</v>
      </c>
      <c r="AP16">
        <v>14</v>
      </c>
      <c r="AQ16">
        <f t="shared" si="5"/>
        <v>34.305399706000003</v>
      </c>
      <c r="AR16">
        <f t="shared" si="6"/>
        <v>0.69460029400000001</v>
      </c>
      <c r="AS16">
        <f t="shared" si="11"/>
        <v>0.82634992650000005</v>
      </c>
      <c r="AU16" t="s">
        <v>303</v>
      </c>
      <c r="AV16" t="s">
        <v>437</v>
      </c>
      <c r="AX16" s="12">
        <v>0</v>
      </c>
      <c r="AY16">
        <v>10</v>
      </c>
      <c r="AZ16" t="s">
        <v>213</v>
      </c>
      <c r="BA16" t="s">
        <v>0</v>
      </c>
    </row>
    <row r="17" spans="1:53" x14ac:dyDescent="0.35">
      <c r="A17" t="s">
        <v>212</v>
      </c>
      <c r="B17">
        <v>1</v>
      </c>
      <c r="C17" t="s">
        <v>5</v>
      </c>
      <c r="D17" t="s">
        <v>4</v>
      </c>
      <c r="E17" t="s">
        <v>175</v>
      </c>
      <c r="F17" s="1" t="s">
        <v>190</v>
      </c>
      <c r="G17" t="s">
        <v>189</v>
      </c>
      <c r="H17">
        <v>5</v>
      </c>
      <c r="I17">
        <v>10</v>
      </c>
      <c r="J17">
        <v>21</v>
      </c>
      <c r="K17">
        <v>31</v>
      </c>
      <c r="L17">
        <v>4</v>
      </c>
      <c r="M17">
        <f t="shared" si="8"/>
        <v>35</v>
      </c>
      <c r="N17">
        <v>41</v>
      </c>
      <c r="O17">
        <v>2.58</v>
      </c>
      <c r="P17">
        <v>0.22</v>
      </c>
      <c r="Q17">
        <f t="shared" si="0"/>
        <v>2.61494305304085E-2</v>
      </c>
      <c r="R17" s="6">
        <v>95</v>
      </c>
      <c r="S17">
        <v>0.5</v>
      </c>
      <c r="T17">
        <f t="shared" si="1"/>
        <v>0.62</v>
      </c>
      <c r="U17">
        <v>0.74</v>
      </c>
      <c r="V17">
        <v>0.98</v>
      </c>
      <c r="W17">
        <f t="shared" si="9"/>
        <v>1.47</v>
      </c>
      <c r="X17">
        <f t="shared" si="2"/>
        <v>2.94</v>
      </c>
      <c r="Y17">
        <v>0.65</v>
      </c>
      <c r="Z17">
        <v>17</v>
      </c>
      <c r="AA17">
        <v>17.7</v>
      </c>
      <c r="AB17">
        <v>80</v>
      </c>
      <c r="AC17">
        <f>Z17/AH17</f>
        <v>2060.0000460470601</v>
      </c>
      <c r="AF17">
        <v>2343</v>
      </c>
      <c r="AG17">
        <v>10</v>
      </c>
      <c r="AH17">
        <v>8.2524269999999997E-3</v>
      </c>
      <c r="AI17" t="s">
        <v>21</v>
      </c>
      <c r="AJ17">
        <v>0</v>
      </c>
      <c r="AK17">
        <v>18</v>
      </c>
      <c r="AL17">
        <v>146</v>
      </c>
      <c r="AM17">
        <f t="shared" si="10"/>
        <v>128</v>
      </c>
      <c r="AN17">
        <v>0.22</v>
      </c>
      <c r="AO17">
        <f t="shared" si="4"/>
        <v>0.67368421052631577</v>
      </c>
      <c r="AP17">
        <v>15</v>
      </c>
      <c r="AQ17" t="str">
        <f t="shared" si="5"/>
        <v>NA</v>
      </c>
      <c r="AR17" t="str">
        <f t="shared" si="6"/>
        <v>NA</v>
      </c>
      <c r="AS17" t="str">
        <f t="shared" si="11"/>
        <v>NA</v>
      </c>
      <c r="AU17" t="s">
        <v>303</v>
      </c>
      <c r="AV17" t="s">
        <v>437</v>
      </c>
      <c r="AX17" s="12">
        <v>0</v>
      </c>
      <c r="AY17">
        <v>11</v>
      </c>
      <c r="AZ17" t="s">
        <v>212</v>
      </c>
      <c r="BA17" t="s">
        <v>5</v>
      </c>
    </row>
    <row r="18" spans="1:53" x14ac:dyDescent="0.35">
      <c r="A18" t="s">
        <v>212</v>
      </c>
      <c r="B18">
        <v>1</v>
      </c>
      <c r="C18" t="s">
        <v>0</v>
      </c>
      <c r="D18" t="s">
        <v>4</v>
      </c>
      <c r="E18" t="s">
        <v>175</v>
      </c>
      <c r="F18" s="1" t="s">
        <v>190</v>
      </c>
      <c r="G18" t="s">
        <v>189</v>
      </c>
      <c r="H18">
        <v>5</v>
      </c>
      <c r="I18">
        <v>10</v>
      </c>
      <c r="J18">
        <v>21</v>
      </c>
      <c r="K18">
        <v>31</v>
      </c>
      <c r="L18">
        <v>4</v>
      </c>
      <c r="M18">
        <f t="shared" si="8"/>
        <v>35</v>
      </c>
      <c r="N18">
        <v>41</v>
      </c>
      <c r="O18">
        <v>2.58</v>
      </c>
      <c r="P18">
        <v>0.22</v>
      </c>
      <c r="Q18">
        <f t="shared" si="0"/>
        <v>2.61494305304085E-2</v>
      </c>
      <c r="R18" s="6">
        <v>95</v>
      </c>
      <c r="S18">
        <v>0.5</v>
      </c>
      <c r="T18">
        <f t="shared" si="1"/>
        <v>0.62</v>
      </c>
      <c r="U18">
        <v>0.74</v>
      </c>
      <c r="V18">
        <v>0.98</v>
      </c>
      <c r="W18">
        <f t="shared" si="9"/>
        <v>1.47</v>
      </c>
      <c r="X18">
        <f t="shared" si="2"/>
        <v>2.94</v>
      </c>
      <c r="Y18">
        <v>0.65</v>
      </c>
      <c r="Z18">
        <v>17</v>
      </c>
      <c r="AA18">
        <v>17.7</v>
      </c>
      <c r="AB18">
        <v>80</v>
      </c>
      <c r="AC18">
        <v>2060.0000460470601</v>
      </c>
      <c r="AF18">
        <v>2343</v>
      </c>
      <c r="AG18">
        <v>510</v>
      </c>
      <c r="AH18" t="s">
        <v>21</v>
      </c>
      <c r="AI18">
        <v>2.4544179999999999E-3</v>
      </c>
      <c r="AJ18">
        <v>0</v>
      </c>
      <c r="AK18">
        <v>11</v>
      </c>
      <c r="AL18">
        <v>139</v>
      </c>
      <c r="AM18">
        <f t="shared" si="10"/>
        <v>128</v>
      </c>
      <c r="AN18">
        <v>0.22</v>
      </c>
      <c r="AO18">
        <f t="shared" si="4"/>
        <v>0.67368421052631577</v>
      </c>
      <c r="AP18">
        <v>16</v>
      </c>
      <c r="AQ18">
        <f t="shared" si="5"/>
        <v>33.748246819999999</v>
      </c>
      <c r="AR18">
        <f t="shared" si="6"/>
        <v>1.2517531799999999</v>
      </c>
      <c r="AS18">
        <f t="shared" si="11"/>
        <v>0.68706170500000008</v>
      </c>
      <c r="AU18" t="s">
        <v>303</v>
      </c>
      <c r="AV18" t="s">
        <v>437</v>
      </c>
      <c r="AX18" s="12">
        <v>0</v>
      </c>
      <c r="AY18">
        <v>11</v>
      </c>
      <c r="AZ18" t="s">
        <v>212</v>
      </c>
      <c r="BA18" t="s">
        <v>0</v>
      </c>
    </row>
    <row r="19" spans="1:53" x14ac:dyDescent="0.35">
      <c r="A19" t="s">
        <v>211</v>
      </c>
      <c r="B19">
        <v>1</v>
      </c>
      <c r="C19" t="s">
        <v>5</v>
      </c>
      <c r="D19" t="s">
        <v>4</v>
      </c>
      <c r="E19" t="s">
        <v>175</v>
      </c>
      <c r="F19" s="1" t="s">
        <v>190</v>
      </c>
      <c r="G19" t="s">
        <v>189</v>
      </c>
      <c r="H19">
        <v>5</v>
      </c>
      <c r="I19">
        <v>10</v>
      </c>
      <c r="J19">
        <v>21</v>
      </c>
      <c r="K19">
        <v>31</v>
      </c>
      <c r="L19">
        <v>4</v>
      </c>
      <c r="M19">
        <f t="shared" si="8"/>
        <v>35</v>
      </c>
      <c r="N19">
        <v>41</v>
      </c>
      <c r="O19">
        <v>2.58</v>
      </c>
      <c r="P19">
        <v>0.22</v>
      </c>
      <c r="Q19">
        <f t="shared" si="0"/>
        <v>2.61494305304085E-2</v>
      </c>
      <c r="R19" s="6">
        <v>95</v>
      </c>
      <c r="S19">
        <v>0.5</v>
      </c>
      <c r="T19">
        <f t="shared" si="1"/>
        <v>0.62</v>
      </c>
      <c r="U19">
        <v>0.74</v>
      </c>
      <c r="V19">
        <v>0.98</v>
      </c>
      <c r="W19">
        <f t="shared" si="9"/>
        <v>1.47</v>
      </c>
      <c r="X19">
        <f t="shared" si="2"/>
        <v>2.94</v>
      </c>
      <c r="Y19">
        <v>0.65</v>
      </c>
      <c r="Z19">
        <v>17</v>
      </c>
      <c r="AA19">
        <v>17.7</v>
      </c>
      <c r="AB19">
        <v>80</v>
      </c>
      <c r="AC19">
        <f>Z19/AH19</f>
        <v>2060.0000460470601</v>
      </c>
      <c r="AF19">
        <v>2343</v>
      </c>
      <c r="AG19">
        <v>10</v>
      </c>
      <c r="AH19">
        <v>8.2524269999999997E-3</v>
      </c>
      <c r="AI19" t="s">
        <v>21</v>
      </c>
      <c r="AJ19">
        <v>0</v>
      </c>
      <c r="AK19">
        <v>20</v>
      </c>
      <c r="AL19">
        <v>56</v>
      </c>
      <c r="AM19">
        <f t="shared" si="10"/>
        <v>36</v>
      </c>
      <c r="AN19">
        <v>0.22</v>
      </c>
      <c r="AO19">
        <f t="shared" si="4"/>
        <v>0.18947368421052632</v>
      </c>
      <c r="AP19">
        <v>17</v>
      </c>
      <c r="AQ19" t="str">
        <f t="shared" si="5"/>
        <v>NA</v>
      </c>
      <c r="AR19" t="str">
        <f t="shared" si="6"/>
        <v>NA</v>
      </c>
      <c r="AS19" t="str">
        <f t="shared" si="11"/>
        <v>NA</v>
      </c>
      <c r="AU19" t="s">
        <v>303</v>
      </c>
      <c r="AV19" t="s">
        <v>437</v>
      </c>
      <c r="AX19" s="12">
        <v>0</v>
      </c>
      <c r="AY19">
        <v>12</v>
      </c>
      <c r="AZ19" t="s">
        <v>211</v>
      </c>
      <c r="BA19" t="s">
        <v>5</v>
      </c>
    </row>
    <row r="20" spans="1:53" x14ac:dyDescent="0.35">
      <c r="A20" t="s">
        <v>211</v>
      </c>
      <c r="B20">
        <v>1</v>
      </c>
      <c r="C20" t="s">
        <v>0</v>
      </c>
      <c r="D20" t="s">
        <v>4</v>
      </c>
      <c r="E20" t="s">
        <v>175</v>
      </c>
      <c r="F20" s="1" t="s">
        <v>190</v>
      </c>
      <c r="G20" t="s">
        <v>189</v>
      </c>
      <c r="H20">
        <v>5</v>
      </c>
      <c r="I20">
        <v>10</v>
      </c>
      <c r="J20">
        <v>21</v>
      </c>
      <c r="K20">
        <v>31</v>
      </c>
      <c r="L20">
        <v>4</v>
      </c>
      <c r="M20">
        <f t="shared" si="8"/>
        <v>35</v>
      </c>
      <c r="N20">
        <v>41</v>
      </c>
      <c r="O20">
        <v>2.58</v>
      </c>
      <c r="P20">
        <v>0.22</v>
      </c>
      <c r="Q20">
        <f t="shared" si="0"/>
        <v>2.61494305304085E-2</v>
      </c>
      <c r="R20" s="6">
        <v>95</v>
      </c>
      <c r="S20">
        <v>0.5</v>
      </c>
      <c r="T20">
        <f t="shared" si="1"/>
        <v>0.62</v>
      </c>
      <c r="U20">
        <v>0.74</v>
      </c>
      <c r="V20">
        <v>0.98</v>
      </c>
      <c r="W20">
        <f t="shared" si="9"/>
        <v>1.47</v>
      </c>
      <c r="X20">
        <f t="shared" si="2"/>
        <v>2.94</v>
      </c>
      <c r="Y20">
        <v>0.65</v>
      </c>
      <c r="Z20">
        <v>17</v>
      </c>
      <c r="AA20">
        <v>17.7</v>
      </c>
      <c r="AB20">
        <v>80</v>
      </c>
      <c r="AC20">
        <v>2060.0000460470601</v>
      </c>
      <c r="AF20">
        <v>2343</v>
      </c>
      <c r="AG20">
        <v>450</v>
      </c>
      <c r="AH20" t="s">
        <v>21</v>
      </c>
      <c r="AI20">
        <v>2.4544179999999999E-3</v>
      </c>
      <c r="AJ20">
        <v>0</v>
      </c>
      <c r="AK20">
        <v>9</v>
      </c>
      <c r="AL20">
        <v>45</v>
      </c>
      <c r="AM20">
        <f t="shared" si="10"/>
        <v>36</v>
      </c>
      <c r="AN20">
        <v>0.22</v>
      </c>
      <c r="AO20">
        <f t="shared" si="4"/>
        <v>0.18947368421052632</v>
      </c>
      <c r="AP20">
        <v>18</v>
      </c>
      <c r="AQ20">
        <f t="shared" si="5"/>
        <v>33.895511900000002</v>
      </c>
      <c r="AR20">
        <f t="shared" si="6"/>
        <v>1.1044881</v>
      </c>
      <c r="AS20">
        <f t="shared" si="11"/>
        <v>0.72387797499999995</v>
      </c>
      <c r="AU20" t="s">
        <v>303</v>
      </c>
      <c r="AV20" t="s">
        <v>437</v>
      </c>
      <c r="AX20" s="12">
        <v>0</v>
      </c>
      <c r="AY20">
        <v>12</v>
      </c>
      <c r="AZ20" t="s">
        <v>211</v>
      </c>
      <c r="BA20" t="s">
        <v>0</v>
      </c>
    </row>
    <row r="21" spans="1:53" x14ac:dyDescent="0.35">
      <c r="A21" t="s">
        <v>210</v>
      </c>
      <c r="B21">
        <v>1</v>
      </c>
      <c r="C21" t="s">
        <v>5</v>
      </c>
      <c r="D21" t="s">
        <v>4</v>
      </c>
      <c r="E21" t="s">
        <v>175</v>
      </c>
      <c r="F21" s="1" t="s">
        <v>190</v>
      </c>
      <c r="G21" t="s">
        <v>189</v>
      </c>
      <c r="H21">
        <v>5</v>
      </c>
      <c r="I21">
        <v>10</v>
      </c>
      <c r="J21">
        <v>21</v>
      </c>
      <c r="K21">
        <v>31</v>
      </c>
      <c r="L21">
        <v>4</v>
      </c>
      <c r="M21">
        <f t="shared" si="8"/>
        <v>35</v>
      </c>
      <c r="N21">
        <v>41</v>
      </c>
      <c r="O21">
        <v>2.58</v>
      </c>
      <c r="P21">
        <v>0.22</v>
      </c>
      <c r="Q21">
        <f t="shared" si="0"/>
        <v>2.61494305304085E-2</v>
      </c>
      <c r="R21" s="6">
        <v>95</v>
      </c>
      <c r="S21">
        <v>0.5</v>
      </c>
      <c r="T21">
        <f t="shared" si="1"/>
        <v>0.62</v>
      </c>
      <c r="U21">
        <v>0.74</v>
      </c>
      <c r="V21">
        <v>0.98</v>
      </c>
      <c r="W21">
        <f t="shared" si="9"/>
        <v>1.47</v>
      </c>
      <c r="X21">
        <f t="shared" si="2"/>
        <v>2.94</v>
      </c>
      <c r="Y21">
        <v>0.65</v>
      </c>
      <c r="Z21">
        <v>17</v>
      </c>
      <c r="AA21">
        <v>17.7</v>
      </c>
      <c r="AB21">
        <v>80</v>
      </c>
      <c r="AC21">
        <f>Z21/AH21</f>
        <v>2060.0000460470601</v>
      </c>
      <c r="AF21">
        <v>2343</v>
      </c>
      <c r="AG21">
        <v>10</v>
      </c>
      <c r="AH21">
        <v>8.2524269999999997E-3</v>
      </c>
      <c r="AI21" t="s">
        <v>21</v>
      </c>
      <c r="AJ21">
        <v>1</v>
      </c>
      <c r="AK21">
        <v>30</v>
      </c>
      <c r="AL21">
        <v>401</v>
      </c>
      <c r="AM21">
        <f t="shared" si="10"/>
        <v>371</v>
      </c>
      <c r="AN21">
        <v>0.22</v>
      </c>
      <c r="AO21">
        <f t="shared" si="4"/>
        <v>1.9526315789473685</v>
      </c>
      <c r="AP21">
        <v>19</v>
      </c>
      <c r="AQ21" t="str">
        <f t="shared" si="5"/>
        <v>NA</v>
      </c>
      <c r="AR21" t="str">
        <f t="shared" si="6"/>
        <v>NA</v>
      </c>
      <c r="AS21" t="str">
        <f t="shared" si="11"/>
        <v>NA</v>
      </c>
      <c r="AU21" t="s">
        <v>303</v>
      </c>
      <c r="AV21" t="s">
        <v>438</v>
      </c>
      <c r="AW21" t="s">
        <v>314</v>
      </c>
      <c r="AX21" s="9">
        <v>11</v>
      </c>
      <c r="AY21">
        <v>13</v>
      </c>
      <c r="AZ21" t="s">
        <v>210</v>
      </c>
      <c r="BA21" t="s">
        <v>5</v>
      </c>
    </row>
    <row r="22" spans="1:53" x14ac:dyDescent="0.35">
      <c r="A22" t="s">
        <v>210</v>
      </c>
      <c r="B22">
        <v>1</v>
      </c>
      <c r="C22" t="s">
        <v>0</v>
      </c>
      <c r="D22" t="s">
        <v>4</v>
      </c>
      <c r="E22" t="s">
        <v>175</v>
      </c>
      <c r="F22" s="1" t="s">
        <v>190</v>
      </c>
      <c r="G22" t="s">
        <v>189</v>
      </c>
      <c r="H22">
        <v>5</v>
      </c>
      <c r="I22">
        <v>10</v>
      </c>
      <c r="J22">
        <v>21</v>
      </c>
      <c r="K22">
        <v>31</v>
      </c>
      <c r="L22">
        <v>4</v>
      </c>
      <c r="M22">
        <f t="shared" si="8"/>
        <v>35</v>
      </c>
      <c r="N22">
        <v>41</v>
      </c>
      <c r="O22">
        <v>2.58</v>
      </c>
      <c r="P22">
        <v>0.22</v>
      </c>
      <c r="Q22">
        <f t="shared" si="0"/>
        <v>2.61494305304085E-2</v>
      </c>
      <c r="R22" s="6">
        <v>95</v>
      </c>
      <c r="S22">
        <v>0.5</v>
      </c>
      <c r="T22">
        <f t="shared" si="1"/>
        <v>0.62</v>
      </c>
      <c r="U22">
        <v>0.74</v>
      </c>
      <c r="V22">
        <v>0.98</v>
      </c>
      <c r="W22">
        <f t="shared" si="9"/>
        <v>1.47</v>
      </c>
      <c r="X22">
        <f t="shared" si="2"/>
        <v>2.94</v>
      </c>
      <c r="Y22">
        <v>0.65</v>
      </c>
      <c r="Z22">
        <v>17</v>
      </c>
      <c r="AA22">
        <v>17.7</v>
      </c>
      <c r="AB22">
        <v>80</v>
      </c>
      <c r="AC22">
        <v>2060.0000460470601</v>
      </c>
      <c r="AF22">
        <v>2343</v>
      </c>
      <c r="AG22">
        <v>513</v>
      </c>
      <c r="AH22" t="s">
        <v>21</v>
      </c>
      <c r="AI22">
        <v>2.4544179999999999E-3</v>
      </c>
      <c r="AJ22">
        <v>1</v>
      </c>
      <c r="AK22">
        <v>20</v>
      </c>
      <c r="AL22">
        <v>391</v>
      </c>
      <c r="AM22">
        <f t="shared" si="10"/>
        <v>371</v>
      </c>
      <c r="AN22">
        <v>0.22</v>
      </c>
      <c r="AO22">
        <f t="shared" si="4"/>
        <v>1.9526315789473685</v>
      </c>
      <c r="AP22">
        <v>20</v>
      </c>
      <c r="AQ22">
        <f t="shared" si="5"/>
        <v>33.740883566000001</v>
      </c>
      <c r="AR22">
        <f t="shared" si="6"/>
        <v>1.2591164339999998</v>
      </c>
      <c r="AS22">
        <f t="shared" si="11"/>
        <v>0.68522089149999998</v>
      </c>
      <c r="AU22" t="s">
        <v>303</v>
      </c>
      <c r="AV22" t="s">
        <v>438</v>
      </c>
      <c r="AW22" t="s">
        <v>314</v>
      </c>
      <c r="AX22" s="9">
        <v>11</v>
      </c>
      <c r="AY22">
        <v>13</v>
      </c>
      <c r="AZ22" t="s">
        <v>210</v>
      </c>
      <c r="BA22" t="s">
        <v>0</v>
      </c>
    </row>
    <row r="23" spans="1:53" x14ac:dyDescent="0.35">
      <c r="A23" t="s">
        <v>209</v>
      </c>
      <c r="B23">
        <v>1</v>
      </c>
      <c r="C23" t="s">
        <v>5</v>
      </c>
      <c r="D23" t="s">
        <v>4</v>
      </c>
      <c r="E23" t="s">
        <v>175</v>
      </c>
      <c r="F23" s="1" t="s">
        <v>190</v>
      </c>
      <c r="G23" t="s">
        <v>189</v>
      </c>
      <c r="H23">
        <v>5</v>
      </c>
      <c r="I23">
        <v>10</v>
      </c>
      <c r="J23">
        <v>21</v>
      </c>
      <c r="K23">
        <v>31</v>
      </c>
      <c r="L23">
        <v>4</v>
      </c>
      <c r="M23">
        <f t="shared" si="8"/>
        <v>35</v>
      </c>
      <c r="N23">
        <v>41</v>
      </c>
      <c r="O23">
        <v>2.58</v>
      </c>
      <c r="P23">
        <v>0.22</v>
      </c>
      <c r="Q23">
        <f t="shared" si="0"/>
        <v>2.61494305304085E-2</v>
      </c>
      <c r="R23" s="6">
        <v>95</v>
      </c>
      <c r="S23">
        <v>0.5</v>
      </c>
      <c r="T23">
        <f t="shared" si="1"/>
        <v>0.62</v>
      </c>
      <c r="U23">
        <v>0.74</v>
      </c>
      <c r="V23">
        <v>0.98</v>
      </c>
      <c r="W23">
        <f t="shared" si="9"/>
        <v>1.47</v>
      </c>
      <c r="X23">
        <f t="shared" si="2"/>
        <v>2.94</v>
      </c>
      <c r="Y23">
        <v>0.65</v>
      </c>
      <c r="Z23">
        <v>17</v>
      </c>
      <c r="AA23">
        <v>17.7</v>
      </c>
      <c r="AB23">
        <v>80</v>
      </c>
      <c r="AC23">
        <f>Z23/AH23</f>
        <v>2060.0000460470601</v>
      </c>
      <c r="AF23">
        <v>2343</v>
      </c>
      <c r="AG23">
        <v>10</v>
      </c>
      <c r="AH23">
        <v>8.2524269999999997E-3</v>
      </c>
      <c r="AI23" t="s">
        <v>21</v>
      </c>
      <c r="AJ23">
        <v>1</v>
      </c>
      <c r="AK23">
        <v>139</v>
      </c>
      <c r="AL23">
        <v>343</v>
      </c>
      <c r="AM23">
        <f t="shared" si="10"/>
        <v>204</v>
      </c>
      <c r="AN23">
        <v>0.22</v>
      </c>
      <c r="AO23">
        <f t="shared" si="4"/>
        <v>1.0736842105263158</v>
      </c>
      <c r="AP23">
        <v>21</v>
      </c>
      <c r="AQ23" t="str">
        <f t="shared" si="5"/>
        <v>NA</v>
      </c>
      <c r="AR23" t="str">
        <f t="shared" si="6"/>
        <v>NA</v>
      </c>
      <c r="AS23" t="str">
        <f t="shared" si="11"/>
        <v>NA</v>
      </c>
      <c r="AU23" t="s">
        <v>303</v>
      </c>
      <c r="AV23" t="s">
        <v>439</v>
      </c>
      <c r="AW23" t="s">
        <v>312</v>
      </c>
      <c r="AX23" s="9">
        <v>10</v>
      </c>
      <c r="AY23">
        <v>14</v>
      </c>
      <c r="AZ23" t="s">
        <v>209</v>
      </c>
      <c r="BA23" t="s">
        <v>5</v>
      </c>
    </row>
    <row r="24" spans="1:53" x14ac:dyDescent="0.35">
      <c r="A24" t="s">
        <v>209</v>
      </c>
      <c r="B24">
        <v>1</v>
      </c>
      <c r="C24" t="s">
        <v>0</v>
      </c>
      <c r="D24" t="s">
        <v>4</v>
      </c>
      <c r="E24" t="s">
        <v>175</v>
      </c>
      <c r="F24" s="1" t="s">
        <v>190</v>
      </c>
      <c r="G24" t="s">
        <v>189</v>
      </c>
      <c r="H24">
        <v>5</v>
      </c>
      <c r="I24">
        <v>10</v>
      </c>
      <c r="J24">
        <v>21</v>
      </c>
      <c r="K24">
        <v>31</v>
      </c>
      <c r="L24">
        <v>4</v>
      </c>
      <c r="M24">
        <f t="shared" si="8"/>
        <v>35</v>
      </c>
      <c r="N24">
        <v>41</v>
      </c>
      <c r="O24">
        <v>2.58</v>
      </c>
      <c r="P24">
        <v>0.22</v>
      </c>
      <c r="Q24">
        <f t="shared" si="0"/>
        <v>2.61494305304085E-2</v>
      </c>
      <c r="R24" s="6">
        <v>95</v>
      </c>
      <c r="S24">
        <v>0.5</v>
      </c>
      <c r="T24">
        <f t="shared" si="1"/>
        <v>0.62</v>
      </c>
      <c r="U24">
        <v>0.74</v>
      </c>
      <c r="V24">
        <v>0.98</v>
      </c>
      <c r="W24">
        <f t="shared" si="9"/>
        <v>1.47</v>
      </c>
      <c r="X24">
        <f t="shared" si="2"/>
        <v>2.94</v>
      </c>
      <c r="Y24">
        <v>0.65</v>
      </c>
      <c r="Z24">
        <v>17</v>
      </c>
      <c r="AA24">
        <v>17.7</v>
      </c>
      <c r="AB24">
        <v>80</v>
      </c>
      <c r="AC24">
        <v>2060.0000460470601</v>
      </c>
      <c r="AF24">
        <v>2343</v>
      </c>
      <c r="AG24">
        <v>1053</v>
      </c>
      <c r="AH24" t="s">
        <v>21</v>
      </c>
      <c r="AI24">
        <v>2.4544179999999999E-3</v>
      </c>
      <c r="AJ24">
        <v>1</v>
      </c>
      <c r="AK24">
        <v>12</v>
      </c>
      <c r="AL24">
        <v>216</v>
      </c>
      <c r="AM24">
        <f t="shared" si="10"/>
        <v>204</v>
      </c>
      <c r="AN24">
        <v>0.22</v>
      </c>
      <c r="AO24">
        <f t="shared" si="4"/>
        <v>1.0736842105263158</v>
      </c>
      <c r="AP24">
        <v>22</v>
      </c>
      <c r="AQ24">
        <f t="shared" si="5"/>
        <v>32.415497846000001</v>
      </c>
      <c r="AR24">
        <f t="shared" si="6"/>
        <v>2.5845021539999999</v>
      </c>
      <c r="AS24">
        <f t="shared" si="11"/>
        <v>0.35387446150000001</v>
      </c>
      <c r="AU24" t="s">
        <v>303</v>
      </c>
      <c r="AV24" t="s">
        <v>439</v>
      </c>
      <c r="AW24" t="s">
        <v>312</v>
      </c>
      <c r="AX24" s="9">
        <v>10</v>
      </c>
      <c r="AY24">
        <v>14</v>
      </c>
      <c r="AZ24" t="s">
        <v>209</v>
      </c>
      <c r="BA24" t="s">
        <v>0</v>
      </c>
    </row>
    <row r="25" spans="1:53" x14ac:dyDescent="0.35">
      <c r="A25" t="s">
        <v>208</v>
      </c>
      <c r="B25">
        <v>1</v>
      </c>
      <c r="C25" t="s">
        <v>5</v>
      </c>
      <c r="D25" t="s">
        <v>4</v>
      </c>
      <c r="E25" t="s">
        <v>175</v>
      </c>
      <c r="F25" s="1" t="s">
        <v>193</v>
      </c>
      <c r="G25" t="s">
        <v>189</v>
      </c>
      <c r="H25">
        <v>5</v>
      </c>
      <c r="I25">
        <v>12</v>
      </c>
      <c r="J25">
        <v>22</v>
      </c>
      <c r="K25">
        <v>38</v>
      </c>
      <c r="L25">
        <v>7</v>
      </c>
      <c r="M25">
        <f t="shared" si="8"/>
        <v>45</v>
      </c>
      <c r="N25">
        <v>48</v>
      </c>
      <c r="O25">
        <v>3.07</v>
      </c>
      <c r="P25">
        <v>0.19</v>
      </c>
      <c r="Q25">
        <f t="shared" si="0"/>
        <v>9.7206062834197127E-3</v>
      </c>
      <c r="R25" s="6">
        <v>96</v>
      </c>
      <c r="S25">
        <v>0.89500000000000002</v>
      </c>
      <c r="T25">
        <f t="shared" si="1"/>
        <v>1.01</v>
      </c>
      <c r="U25">
        <v>1.125</v>
      </c>
      <c r="V25">
        <v>1.375</v>
      </c>
      <c r="W25">
        <f t="shared" si="9"/>
        <v>2.0625</v>
      </c>
      <c r="X25">
        <f t="shared" si="2"/>
        <v>4.125</v>
      </c>
      <c r="Y25">
        <v>0.65</v>
      </c>
      <c r="Z25">
        <v>17</v>
      </c>
      <c r="AA25">
        <v>17.7</v>
      </c>
      <c r="AB25">
        <v>80</v>
      </c>
      <c r="AC25">
        <f>Z25/AH25</f>
        <v>2060.0000460470601</v>
      </c>
      <c r="AF25">
        <v>2335</v>
      </c>
      <c r="AG25">
        <v>100</v>
      </c>
      <c r="AH25">
        <v>8.2524269999999997E-3</v>
      </c>
      <c r="AI25" t="s">
        <v>21</v>
      </c>
      <c r="AJ25">
        <v>0</v>
      </c>
      <c r="AK25">
        <v>25</v>
      </c>
      <c r="AL25">
        <v>148</v>
      </c>
      <c r="AM25">
        <f t="shared" si="10"/>
        <v>123</v>
      </c>
      <c r="AN25">
        <v>0.19</v>
      </c>
      <c r="AO25">
        <f t="shared" si="4"/>
        <v>0.640625</v>
      </c>
      <c r="AP25">
        <v>23</v>
      </c>
      <c r="AQ25" t="str">
        <f t="shared" si="5"/>
        <v>NA</v>
      </c>
      <c r="AR25" t="str">
        <f t="shared" si="6"/>
        <v>NA</v>
      </c>
      <c r="AS25" t="str">
        <f t="shared" si="11"/>
        <v>NA</v>
      </c>
      <c r="AT25" s="5" t="s">
        <v>441</v>
      </c>
      <c r="AU25" t="s">
        <v>303</v>
      </c>
      <c r="AV25" t="s">
        <v>437</v>
      </c>
      <c r="AX25" s="12">
        <v>0</v>
      </c>
      <c r="AY25">
        <v>15</v>
      </c>
      <c r="AZ25" t="s">
        <v>208</v>
      </c>
      <c r="BA25" t="s">
        <v>5</v>
      </c>
    </row>
    <row r="26" spans="1:53" x14ac:dyDescent="0.35">
      <c r="A26" t="s">
        <v>208</v>
      </c>
      <c r="B26">
        <v>1</v>
      </c>
      <c r="C26" t="s">
        <v>0</v>
      </c>
      <c r="D26" t="s">
        <v>4</v>
      </c>
      <c r="E26" t="s">
        <v>175</v>
      </c>
      <c r="F26" s="1" t="s">
        <v>193</v>
      </c>
      <c r="G26" t="s">
        <v>189</v>
      </c>
      <c r="H26">
        <v>5</v>
      </c>
      <c r="I26">
        <v>12</v>
      </c>
      <c r="J26">
        <v>22</v>
      </c>
      <c r="K26">
        <v>38</v>
      </c>
      <c r="L26">
        <v>7</v>
      </c>
      <c r="M26">
        <f t="shared" si="8"/>
        <v>45</v>
      </c>
      <c r="N26">
        <v>48</v>
      </c>
      <c r="O26">
        <v>3.07</v>
      </c>
      <c r="P26">
        <v>0.19</v>
      </c>
      <c r="Q26">
        <f t="shared" si="0"/>
        <v>9.7206062834197127E-3</v>
      </c>
      <c r="R26" s="6">
        <v>96</v>
      </c>
      <c r="S26">
        <v>0.89500000000000002</v>
      </c>
      <c r="T26">
        <f t="shared" si="1"/>
        <v>1.01</v>
      </c>
      <c r="U26">
        <v>1.125</v>
      </c>
      <c r="V26">
        <v>1.375</v>
      </c>
      <c r="W26">
        <f t="shared" si="9"/>
        <v>2.0625</v>
      </c>
      <c r="X26">
        <f t="shared" si="2"/>
        <v>4.125</v>
      </c>
      <c r="Y26">
        <v>0.65</v>
      </c>
      <c r="Z26">
        <v>17</v>
      </c>
      <c r="AA26">
        <v>17.7</v>
      </c>
      <c r="AB26">
        <v>80</v>
      </c>
      <c r="AC26">
        <v>2060.0000460470601</v>
      </c>
      <c r="AF26">
        <v>2335</v>
      </c>
      <c r="AG26">
        <v>790</v>
      </c>
      <c r="AH26" t="s">
        <v>21</v>
      </c>
      <c r="AI26">
        <v>2.4544179999999999E-3</v>
      </c>
      <c r="AJ26">
        <v>0</v>
      </c>
      <c r="AK26">
        <v>74</v>
      </c>
      <c r="AL26">
        <v>197</v>
      </c>
      <c r="AM26">
        <f t="shared" si="10"/>
        <v>123</v>
      </c>
      <c r="AN26">
        <v>0.19</v>
      </c>
      <c r="AO26">
        <f t="shared" si="4"/>
        <v>0.640625</v>
      </c>
      <c r="AP26">
        <v>24</v>
      </c>
      <c r="AQ26">
        <f t="shared" si="5"/>
        <v>43.061009779999999</v>
      </c>
      <c r="AR26">
        <f t="shared" si="6"/>
        <v>1.93899022</v>
      </c>
      <c r="AS26">
        <f t="shared" si="11"/>
        <v>0.72300139714285716</v>
      </c>
      <c r="AU26" t="s">
        <v>303</v>
      </c>
      <c r="AV26" t="s">
        <v>437</v>
      </c>
      <c r="AX26" s="12">
        <v>0</v>
      </c>
      <c r="AY26">
        <v>15</v>
      </c>
      <c r="AZ26" t="s">
        <v>208</v>
      </c>
      <c r="BA26" t="s">
        <v>0</v>
      </c>
    </row>
    <row r="27" spans="1:53" x14ac:dyDescent="0.35">
      <c r="A27" t="s">
        <v>207</v>
      </c>
      <c r="B27">
        <v>1</v>
      </c>
      <c r="C27" t="s">
        <v>5</v>
      </c>
      <c r="D27" t="s">
        <v>4</v>
      </c>
      <c r="E27" t="s">
        <v>175</v>
      </c>
      <c r="F27" s="1" t="s">
        <v>193</v>
      </c>
      <c r="G27" t="s">
        <v>189</v>
      </c>
      <c r="H27">
        <v>5</v>
      </c>
      <c r="I27">
        <v>12</v>
      </c>
      <c r="J27">
        <v>22</v>
      </c>
      <c r="K27">
        <v>38</v>
      </c>
      <c r="L27">
        <v>7</v>
      </c>
      <c r="M27">
        <f t="shared" si="8"/>
        <v>45</v>
      </c>
      <c r="N27">
        <v>48</v>
      </c>
      <c r="O27">
        <v>3.07</v>
      </c>
      <c r="P27">
        <v>0.19</v>
      </c>
      <c r="Q27">
        <f t="shared" si="0"/>
        <v>9.7206062834197127E-3</v>
      </c>
      <c r="R27" s="6">
        <v>96</v>
      </c>
      <c r="S27">
        <v>0.89500000000000002</v>
      </c>
      <c r="T27">
        <f t="shared" si="1"/>
        <v>1.01</v>
      </c>
      <c r="U27">
        <v>1.125</v>
      </c>
      <c r="V27">
        <v>1.375</v>
      </c>
      <c r="W27">
        <f t="shared" si="9"/>
        <v>2.0625</v>
      </c>
      <c r="X27">
        <f t="shared" si="2"/>
        <v>4.125</v>
      </c>
      <c r="Y27">
        <v>0.65</v>
      </c>
      <c r="Z27">
        <v>17</v>
      </c>
      <c r="AA27">
        <v>17.7</v>
      </c>
      <c r="AB27">
        <v>80</v>
      </c>
      <c r="AC27">
        <f>Z27/AH27</f>
        <v>2060.0000460470601</v>
      </c>
      <c r="AF27">
        <v>2335</v>
      </c>
      <c r="AG27">
        <v>300</v>
      </c>
      <c r="AH27">
        <v>8.2524269999999997E-3</v>
      </c>
      <c r="AI27" t="s">
        <v>21</v>
      </c>
      <c r="AJ27">
        <v>0</v>
      </c>
      <c r="AK27">
        <v>2</v>
      </c>
      <c r="AL27">
        <v>112</v>
      </c>
      <c r="AM27">
        <f t="shared" si="10"/>
        <v>110</v>
      </c>
      <c r="AN27">
        <v>0.19</v>
      </c>
      <c r="AO27">
        <f t="shared" si="4"/>
        <v>0.57291666666666663</v>
      </c>
      <c r="AP27">
        <v>25</v>
      </c>
      <c r="AQ27" t="str">
        <f t="shared" si="5"/>
        <v>NA</v>
      </c>
      <c r="AR27" t="str">
        <f t="shared" si="6"/>
        <v>NA</v>
      </c>
      <c r="AS27" t="str">
        <f t="shared" si="11"/>
        <v>NA</v>
      </c>
      <c r="AU27" t="s">
        <v>303</v>
      </c>
      <c r="AV27" t="s">
        <v>437</v>
      </c>
      <c r="AX27" s="12">
        <v>0</v>
      </c>
      <c r="AY27">
        <v>16</v>
      </c>
      <c r="AZ27" t="s">
        <v>207</v>
      </c>
      <c r="BA27" t="s">
        <v>5</v>
      </c>
    </row>
    <row r="28" spans="1:53" x14ac:dyDescent="0.35">
      <c r="A28" t="s">
        <v>207</v>
      </c>
      <c r="B28">
        <v>1</v>
      </c>
      <c r="C28" t="s">
        <v>0</v>
      </c>
      <c r="D28" t="s">
        <v>4</v>
      </c>
      <c r="E28" t="s">
        <v>175</v>
      </c>
      <c r="F28" s="1" t="s">
        <v>193</v>
      </c>
      <c r="G28" t="s">
        <v>189</v>
      </c>
      <c r="H28">
        <v>5</v>
      </c>
      <c r="I28">
        <v>12</v>
      </c>
      <c r="J28">
        <v>22</v>
      </c>
      <c r="K28">
        <v>38</v>
      </c>
      <c r="L28">
        <v>7</v>
      </c>
      <c r="M28">
        <f t="shared" si="8"/>
        <v>45</v>
      </c>
      <c r="N28">
        <v>48</v>
      </c>
      <c r="O28">
        <v>3.07</v>
      </c>
      <c r="P28">
        <v>0.19</v>
      </c>
      <c r="Q28">
        <f t="shared" si="0"/>
        <v>9.7206062834197127E-3</v>
      </c>
      <c r="R28" s="6">
        <v>96</v>
      </c>
      <c r="S28">
        <v>0.89500000000000002</v>
      </c>
      <c r="T28">
        <f t="shared" si="1"/>
        <v>1.01</v>
      </c>
      <c r="U28">
        <v>1.125</v>
      </c>
      <c r="V28">
        <v>1.375</v>
      </c>
      <c r="W28">
        <f t="shared" si="9"/>
        <v>2.0625</v>
      </c>
      <c r="X28">
        <f t="shared" si="2"/>
        <v>4.125</v>
      </c>
      <c r="Y28">
        <v>0.65</v>
      </c>
      <c r="Z28">
        <v>17</v>
      </c>
      <c r="AA28">
        <v>17.7</v>
      </c>
      <c r="AB28">
        <v>80</v>
      </c>
      <c r="AC28">
        <v>2060.0000460470601</v>
      </c>
      <c r="AF28">
        <v>2335</v>
      </c>
      <c r="AG28">
        <v>402</v>
      </c>
      <c r="AH28" t="s">
        <v>21</v>
      </c>
      <c r="AI28">
        <v>2.4544179999999999E-3</v>
      </c>
      <c r="AJ28">
        <v>0</v>
      </c>
      <c r="AK28">
        <v>2</v>
      </c>
      <c r="AL28">
        <v>112</v>
      </c>
      <c r="AM28">
        <f t="shared" si="10"/>
        <v>110</v>
      </c>
      <c r="AN28">
        <v>0.19</v>
      </c>
      <c r="AO28">
        <f t="shared" si="4"/>
        <v>0.57291666666666663</v>
      </c>
      <c r="AP28">
        <v>26</v>
      </c>
      <c r="AQ28">
        <f t="shared" si="5"/>
        <v>44.013323964000001</v>
      </c>
      <c r="AR28">
        <f t="shared" si="6"/>
        <v>0.98667603599999998</v>
      </c>
      <c r="AS28">
        <f t="shared" si="11"/>
        <v>0.85904628057142851</v>
      </c>
      <c r="AU28" t="s">
        <v>303</v>
      </c>
      <c r="AV28" t="s">
        <v>437</v>
      </c>
      <c r="AX28" s="12">
        <v>0</v>
      </c>
      <c r="AY28">
        <v>16</v>
      </c>
      <c r="AZ28" t="s">
        <v>207</v>
      </c>
      <c r="BA28" t="s">
        <v>0</v>
      </c>
    </row>
    <row r="29" spans="1:53" x14ac:dyDescent="0.35">
      <c r="A29" t="s">
        <v>206</v>
      </c>
      <c r="B29">
        <v>1</v>
      </c>
      <c r="C29" t="s">
        <v>5</v>
      </c>
      <c r="D29" t="s">
        <v>4</v>
      </c>
      <c r="E29" t="s">
        <v>175</v>
      </c>
      <c r="F29" s="1" t="s">
        <v>193</v>
      </c>
      <c r="G29" t="s">
        <v>189</v>
      </c>
      <c r="H29">
        <v>5</v>
      </c>
      <c r="I29">
        <v>12</v>
      </c>
      <c r="J29">
        <v>22</v>
      </c>
      <c r="K29">
        <v>38</v>
      </c>
      <c r="L29">
        <v>7</v>
      </c>
      <c r="M29">
        <f t="shared" si="8"/>
        <v>45</v>
      </c>
      <c r="N29">
        <v>48</v>
      </c>
      <c r="O29">
        <v>3.07</v>
      </c>
      <c r="P29">
        <v>0.19</v>
      </c>
      <c r="Q29">
        <f t="shared" si="0"/>
        <v>9.7206062834197127E-3</v>
      </c>
      <c r="R29" s="6">
        <v>96</v>
      </c>
      <c r="S29">
        <v>0.89500000000000002</v>
      </c>
      <c r="T29">
        <f t="shared" si="1"/>
        <v>1.01</v>
      </c>
      <c r="U29">
        <v>1.125</v>
      </c>
      <c r="V29">
        <v>1.375</v>
      </c>
      <c r="W29">
        <f t="shared" si="9"/>
        <v>2.0625</v>
      </c>
      <c r="X29">
        <f t="shared" si="2"/>
        <v>4.125</v>
      </c>
      <c r="Y29">
        <v>0.65</v>
      </c>
      <c r="Z29">
        <v>17</v>
      </c>
      <c r="AA29">
        <v>17.7</v>
      </c>
      <c r="AB29">
        <v>80</v>
      </c>
      <c r="AC29">
        <f>Z29/AH29</f>
        <v>2060.0000460470601</v>
      </c>
      <c r="AF29">
        <v>2335</v>
      </c>
      <c r="AG29">
        <v>10</v>
      </c>
      <c r="AH29">
        <v>8.2524269999999997E-3</v>
      </c>
      <c r="AI29" t="s">
        <v>21</v>
      </c>
      <c r="AJ29">
        <v>0</v>
      </c>
      <c r="AK29">
        <v>17</v>
      </c>
      <c r="AL29">
        <v>101</v>
      </c>
      <c r="AM29">
        <f t="shared" si="10"/>
        <v>84</v>
      </c>
      <c r="AN29">
        <v>0.19</v>
      </c>
      <c r="AO29">
        <f t="shared" si="4"/>
        <v>0.4375</v>
      </c>
      <c r="AP29">
        <v>27</v>
      </c>
      <c r="AQ29" t="str">
        <f t="shared" si="5"/>
        <v>NA</v>
      </c>
      <c r="AR29" t="str">
        <f t="shared" si="6"/>
        <v>NA</v>
      </c>
      <c r="AS29" t="str">
        <f t="shared" si="11"/>
        <v>NA</v>
      </c>
      <c r="AU29" t="s">
        <v>303</v>
      </c>
      <c r="AV29" t="s">
        <v>437</v>
      </c>
      <c r="AX29" s="12">
        <v>0</v>
      </c>
      <c r="AY29">
        <v>17</v>
      </c>
      <c r="AZ29" t="s">
        <v>206</v>
      </c>
      <c r="BA29" t="s">
        <v>5</v>
      </c>
    </row>
    <row r="30" spans="1:53" x14ac:dyDescent="0.35">
      <c r="A30" t="s">
        <v>206</v>
      </c>
      <c r="B30">
        <v>1</v>
      </c>
      <c r="C30" t="s">
        <v>0</v>
      </c>
      <c r="D30" t="s">
        <v>4</v>
      </c>
      <c r="E30" t="s">
        <v>175</v>
      </c>
      <c r="F30" s="1" t="s">
        <v>193</v>
      </c>
      <c r="G30" t="s">
        <v>189</v>
      </c>
      <c r="H30">
        <v>5</v>
      </c>
      <c r="I30">
        <v>12</v>
      </c>
      <c r="J30">
        <v>22</v>
      </c>
      <c r="K30">
        <v>38</v>
      </c>
      <c r="L30">
        <v>7</v>
      </c>
      <c r="M30">
        <f t="shared" si="8"/>
        <v>45</v>
      </c>
      <c r="N30">
        <v>48</v>
      </c>
      <c r="O30">
        <v>3.07</v>
      </c>
      <c r="P30">
        <v>0.19</v>
      </c>
      <c r="Q30">
        <f t="shared" si="0"/>
        <v>9.7206062834197127E-3</v>
      </c>
      <c r="R30" s="6">
        <v>96</v>
      </c>
      <c r="S30">
        <v>0.89500000000000002</v>
      </c>
      <c r="T30">
        <f t="shared" si="1"/>
        <v>1.01</v>
      </c>
      <c r="U30">
        <v>1.125</v>
      </c>
      <c r="V30">
        <v>1.375</v>
      </c>
      <c r="W30">
        <f t="shared" si="9"/>
        <v>2.0625</v>
      </c>
      <c r="X30">
        <f t="shared" si="2"/>
        <v>4.125</v>
      </c>
      <c r="Y30">
        <v>0.65</v>
      </c>
      <c r="Z30">
        <v>17</v>
      </c>
      <c r="AA30">
        <v>17.7</v>
      </c>
      <c r="AB30">
        <v>80</v>
      </c>
      <c r="AC30">
        <v>2060.0000460470601</v>
      </c>
      <c r="AF30">
        <v>2335</v>
      </c>
      <c r="AG30">
        <v>252</v>
      </c>
      <c r="AH30" t="s">
        <v>21</v>
      </c>
      <c r="AI30">
        <v>2.4544179999999999E-3</v>
      </c>
      <c r="AJ30">
        <v>0</v>
      </c>
      <c r="AK30">
        <v>1</v>
      </c>
      <c r="AL30">
        <v>85</v>
      </c>
      <c r="AM30">
        <f t="shared" si="10"/>
        <v>84</v>
      </c>
      <c r="AN30">
        <v>0.19</v>
      </c>
      <c r="AO30">
        <f t="shared" si="4"/>
        <v>0.4375</v>
      </c>
      <c r="AP30">
        <v>28</v>
      </c>
      <c r="AQ30">
        <f t="shared" si="5"/>
        <v>44.381486664000001</v>
      </c>
      <c r="AR30">
        <f t="shared" si="6"/>
        <v>0.61851333599999991</v>
      </c>
      <c r="AS30">
        <f t="shared" si="11"/>
        <v>0.91164095200000006</v>
      </c>
      <c r="AU30" t="s">
        <v>303</v>
      </c>
      <c r="AV30" t="s">
        <v>437</v>
      </c>
      <c r="AX30" s="12">
        <v>0</v>
      </c>
      <c r="AY30">
        <v>17</v>
      </c>
      <c r="AZ30" t="s">
        <v>206</v>
      </c>
      <c r="BA30" t="s">
        <v>0</v>
      </c>
    </row>
    <row r="31" spans="1:53" x14ac:dyDescent="0.35">
      <c r="A31" t="s">
        <v>205</v>
      </c>
      <c r="B31">
        <v>1</v>
      </c>
      <c r="C31" t="s">
        <v>5</v>
      </c>
      <c r="D31" t="s">
        <v>4</v>
      </c>
      <c r="E31" t="s">
        <v>175</v>
      </c>
      <c r="F31" s="1" t="s">
        <v>193</v>
      </c>
      <c r="G31" t="s">
        <v>189</v>
      </c>
      <c r="H31">
        <v>5</v>
      </c>
      <c r="I31">
        <v>12</v>
      </c>
      <c r="J31">
        <v>22</v>
      </c>
      <c r="K31">
        <v>38</v>
      </c>
      <c r="L31">
        <v>7</v>
      </c>
      <c r="M31">
        <f t="shared" si="8"/>
        <v>45</v>
      </c>
      <c r="N31">
        <v>48</v>
      </c>
      <c r="O31">
        <v>3.07</v>
      </c>
      <c r="P31">
        <v>0.19</v>
      </c>
      <c r="Q31">
        <f t="shared" si="0"/>
        <v>9.7206062834197127E-3</v>
      </c>
      <c r="R31" s="6">
        <v>96</v>
      </c>
      <c r="S31">
        <v>0.89500000000000002</v>
      </c>
      <c r="T31">
        <f t="shared" si="1"/>
        <v>1.01</v>
      </c>
      <c r="U31">
        <v>1.125</v>
      </c>
      <c r="V31">
        <v>1.375</v>
      </c>
      <c r="W31">
        <f t="shared" si="9"/>
        <v>2.0625</v>
      </c>
      <c r="X31">
        <f t="shared" si="2"/>
        <v>4.125</v>
      </c>
      <c r="Y31">
        <v>0.65</v>
      </c>
      <c r="Z31">
        <v>17</v>
      </c>
      <c r="AA31">
        <v>17.7</v>
      </c>
      <c r="AB31">
        <v>80</v>
      </c>
      <c r="AC31">
        <f>Z31/AH31</f>
        <v>2060.0000460470601</v>
      </c>
      <c r="AF31">
        <v>2335</v>
      </c>
      <c r="AG31">
        <v>81</v>
      </c>
      <c r="AH31">
        <v>8.2524269999999997E-3</v>
      </c>
      <c r="AI31" t="s">
        <v>21</v>
      </c>
      <c r="AJ31">
        <v>1</v>
      </c>
      <c r="AK31">
        <v>9</v>
      </c>
      <c r="AL31">
        <v>125</v>
      </c>
      <c r="AM31">
        <f t="shared" si="10"/>
        <v>116</v>
      </c>
      <c r="AN31">
        <v>0.19</v>
      </c>
      <c r="AO31">
        <f t="shared" si="4"/>
        <v>0.60416666666666663</v>
      </c>
      <c r="AP31">
        <v>29</v>
      </c>
      <c r="AQ31" t="str">
        <f t="shared" si="5"/>
        <v>NA</v>
      </c>
      <c r="AR31" t="str">
        <f t="shared" si="6"/>
        <v>NA</v>
      </c>
      <c r="AS31" t="str">
        <f t="shared" si="11"/>
        <v>NA</v>
      </c>
      <c r="AU31" t="s">
        <v>303</v>
      </c>
      <c r="AV31" t="s">
        <v>443</v>
      </c>
      <c r="AW31" t="s">
        <v>442</v>
      </c>
      <c r="AX31" s="13">
        <v>1</v>
      </c>
      <c r="AY31">
        <v>18</v>
      </c>
      <c r="AZ31" t="s">
        <v>205</v>
      </c>
      <c r="BA31" t="s">
        <v>5</v>
      </c>
    </row>
    <row r="32" spans="1:53" x14ac:dyDescent="0.35">
      <c r="A32" t="s">
        <v>205</v>
      </c>
      <c r="B32">
        <v>1</v>
      </c>
      <c r="C32" t="s">
        <v>0</v>
      </c>
      <c r="D32" t="s">
        <v>4</v>
      </c>
      <c r="E32" t="s">
        <v>175</v>
      </c>
      <c r="F32" s="1" t="s">
        <v>193</v>
      </c>
      <c r="G32" t="s">
        <v>189</v>
      </c>
      <c r="H32">
        <v>5</v>
      </c>
      <c r="I32">
        <v>12</v>
      </c>
      <c r="J32">
        <v>22</v>
      </c>
      <c r="K32">
        <v>38</v>
      </c>
      <c r="L32">
        <v>7</v>
      </c>
      <c r="M32">
        <f t="shared" si="8"/>
        <v>45</v>
      </c>
      <c r="N32">
        <v>48</v>
      </c>
      <c r="O32">
        <v>3.07</v>
      </c>
      <c r="P32">
        <v>0.19</v>
      </c>
      <c r="Q32">
        <f t="shared" si="0"/>
        <v>9.7206062834197127E-3</v>
      </c>
      <c r="R32" s="6">
        <v>96</v>
      </c>
      <c r="S32">
        <v>0.89500000000000002</v>
      </c>
      <c r="T32">
        <f t="shared" si="1"/>
        <v>1.01</v>
      </c>
      <c r="U32">
        <v>1.125</v>
      </c>
      <c r="V32">
        <v>1.375</v>
      </c>
      <c r="W32">
        <f t="shared" si="9"/>
        <v>2.0625</v>
      </c>
      <c r="X32">
        <f t="shared" si="2"/>
        <v>4.125</v>
      </c>
      <c r="Y32">
        <v>0.65</v>
      </c>
      <c r="Z32">
        <v>17</v>
      </c>
      <c r="AA32">
        <v>17.7</v>
      </c>
      <c r="AB32">
        <v>80</v>
      </c>
      <c r="AC32">
        <v>2060.0000460470601</v>
      </c>
      <c r="AF32">
        <v>2335</v>
      </c>
      <c r="AG32">
        <v>835</v>
      </c>
      <c r="AH32" t="s">
        <v>21</v>
      </c>
      <c r="AI32">
        <v>2.4544179999999999E-3</v>
      </c>
      <c r="AJ32">
        <v>1</v>
      </c>
      <c r="AK32">
        <v>7</v>
      </c>
      <c r="AL32">
        <v>123</v>
      </c>
      <c r="AM32">
        <f t="shared" si="10"/>
        <v>116</v>
      </c>
      <c r="AN32">
        <v>0.19</v>
      </c>
      <c r="AO32">
        <f t="shared" si="4"/>
        <v>0.60416666666666663</v>
      </c>
      <c r="AP32">
        <v>30</v>
      </c>
      <c r="AQ32">
        <f t="shared" si="5"/>
        <v>42.950560969999998</v>
      </c>
      <c r="AR32">
        <f t="shared" si="6"/>
        <v>2.0494390299999998</v>
      </c>
      <c r="AS32">
        <f t="shared" si="11"/>
        <v>0.70722299571428571</v>
      </c>
      <c r="AU32" t="s">
        <v>303</v>
      </c>
      <c r="AV32" t="s">
        <v>443</v>
      </c>
      <c r="AW32" t="s">
        <v>442</v>
      </c>
      <c r="AX32" s="13">
        <v>1</v>
      </c>
      <c r="AY32">
        <v>18</v>
      </c>
      <c r="AZ32" t="s">
        <v>205</v>
      </c>
      <c r="BA32" t="s">
        <v>0</v>
      </c>
    </row>
    <row r="33" spans="1:53" x14ac:dyDescent="0.35">
      <c r="A33" t="s">
        <v>204</v>
      </c>
      <c r="B33">
        <v>1</v>
      </c>
      <c r="C33" t="s">
        <v>5</v>
      </c>
      <c r="D33" t="s">
        <v>4</v>
      </c>
      <c r="E33" t="s">
        <v>175</v>
      </c>
      <c r="F33" s="1" t="s">
        <v>198</v>
      </c>
      <c r="G33" t="s">
        <v>197</v>
      </c>
      <c r="H33">
        <v>5</v>
      </c>
      <c r="I33">
        <v>12</v>
      </c>
      <c r="J33">
        <v>20</v>
      </c>
      <c r="K33">
        <v>24</v>
      </c>
      <c r="L33">
        <v>6</v>
      </c>
      <c r="M33">
        <f t="shared" si="8"/>
        <v>30</v>
      </c>
      <c r="N33">
        <v>40</v>
      </c>
      <c r="O33">
        <v>4.1399999999999997</v>
      </c>
      <c r="P33">
        <v>0.22</v>
      </c>
      <c r="Q33">
        <f t="shared" si="0"/>
        <v>9.6795860131567209E-3</v>
      </c>
      <c r="R33" s="6">
        <v>91</v>
      </c>
      <c r="S33">
        <v>1.22</v>
      </c>
      <c r="T33">
        <f t="shared" si="1"/>
        <v>1.19</v>
      </c>
      <c r="U33">
        <v>1.1599999999999999</v>
      </c>
      <c r="V33">
        <v>1.24</v>
      </c>
      <c r="W33">
        <f t="shared" si="9"/>
        <v>1.8599999999999999</v>
      </c>
      <c r="X33">
        <f t="shared" si="2"/>
        <v>3.7199999999999998</v>
      </c>
      <c r="Y33">
        <v>0.65</v>
      </c>
      <c r="Z33">
        <v>17</v>
      </c>
      <c r="AA33">
        <v>17.7</v>
      </c>
      <c r="AB33">
        <v>74</v>
      </c>
      <c r="AC33">
        <f>Z33/AH33</f>
        <v>2075.133251019714</v>
      </c>
      <c r="AF33">
        <v>2335</v>
      </c>
      <c r="AG33">
        <v>340</v>
      </c>
      <c r="AH33">
        <v>8.1922450000000008E-3</v>
      </c>
      <c r="AI33" t="s">
        <v>21</v>
      </c>
      <c r="AJ33">
        <v>0</v>
      </c>
      <c r="AK33">
        <v>53</v>
      </c>
      <c r="AL33">
        <v>154</v>
      </c>
      <c r="AM33">
        <f t="shared" si="10"/>
        <v>101</v>
      </c>
      <c r="AN33">
        <v>0.22</v>
      </c>
      <c r="AO33">
        <f t="shared" si="4"/>
        <v>0.55494505494505497</v>
      </c>
      <c r="AP33">
        <v>31</v>
      </c>
      <c r="AQ33" t="str">
        <f t="shared" si="5"/>
        <v>NA</v>
      </c>
      <c r="AR33" t="str">
        <f t="shared" si="6"/>
        <v>NA</v>
      </c>
      <c r="AS33" t="str">
        <f t="shared" si="11"/>
        <v>NA</v>
      </c>
      <c r="AT33" s="5" t="s">
        <v>407</v>
      </c>
      <c r="AU33" t="s">
        <v>303</v>
      </c>
      <c r="AV33" t="s">
        <v>437</v>
      </c>
      <c r="AX33" s="12">
        <v>0</v>
      </c>
      <c r="AY33">
        <v>19</v>
      </c>
      <c r="AZ33" t="s">
        <v>204</v>
      </c>
      <c r="BA33" t="s">
        <v>5</v>
      </c>
    </row>
    <row r="34" spans="1:53" x14ac:dyDescent="0.35">
      <c r="A34" t="s">
        <v>204</v>
      </c>
      <c r="B34">
        <v>1</v>
      </c>
      <c r="C34" t="s">
        <v>0</v>
      </c>
      <c r="D34" t="s">
        <v>4</v>
      </c>
      <c r="E34" t="s">
        <v>175</v>
      </c>
      <c r="F34" s="1" t="s">
        <v>198</v>
      </c>
      <c r="G34" t="s">
        <v>197</v>
      </c>
      <c r="H34">
        <v>5</v>
      </c>
      <c r="I34">
        <v>12</v>
      </c>
      <c r="J34">
        <v>20</v>
      </c>
      <c r="K34">
        <v>24</v>
      </c>
      <c r="L34">
        <v>6</v>
      </c>
      <c r="M34">
        <f t="shared" si="8"/>
        <v>30</v>
      </c>
      <c r="N34">
        <v>40</v>
      </c>
      <c r="O34">
        <v>4.1399999999999997</v>
      </c>
      <c r="P34">
        <v>0.22</v>
      </c>
      <c r="Q34">
        <f t="shared" si="0"/>
        <v>9.6795860131567209E-3</v>
      </c>
      <c r="R34" s="6">
        <v>91</v>
      </c>
      <c r="S34">
        <v>1.22</v>
      </c>
      <c r="T34">
        <f t="shared" si="1"/>
        <v>1.19</v>
      </c>
      <c r="U34">
        <v>1.1599999999999999</v>
      </c>
      <c r="V34">
        <v>1.24</v>
      </c>
      <c r="W34">
        <f t="shared" si="9"/>
        <v>1.8599999999999999</v>
      </c>
      <c r="X34">
        <f t="shared" si="2"/>
        <v>3.7199999999999998</v>
      </c>
      <c r="Y34">
        <v>0.65</v>
      </c>
      <c r="Z34">
        <v>17</v>
      </c>
      <c r="AA34">
        <v>17.7</v>
      </c>
      <c r="AB34">
        <v>74</v>
      </c>
      <c r="AC34">
        <v>2075.133251019714</v>
      </c>
      <c r="AF34">
        <v>2335</v>
      </c>
      <c r="AG34">
        <v>477</v>
      </c>
      <c r="AH34" t="s">
        <v>21</v>
      </c>
      <c r="AI34">
        <v>2.4544179999999999E-3</v>
      </c>
      <c r="AJ34">
        <v>0</v>
      </c>
      <c r="AK34">
        <v>25</v>
      </c>
      <c r="AL34">
        <v>126</v>
      </c>
      <c r="AM34">
        <f t="shared" si="10"/>
        <v>101</v>
      </c>
      <c r="AN34">
        <v>0.22</v>
      </c>
      <c r="AO34">
        <f t="shared" si="4"/>
        <v>0.55494505494505497</v>
      </c>
      <c r="AP34">
        <v>32</v>
      </c>
      <c r="AQ34">
        <f t="shared" si="5"/>
        <v>28.829242614000002</v>
      </c>
      <c r="AR34">
        <f t="shared" ref="AR34:AR65" si="12">IF(AI34&lt;&gt;"NA",AG34*AI34,"NA")</f>
        <v>1.170757386</v>
      </c>
      <c r="AS34">
        <f t="shared" si="11"/>
        <v>0.80487376899999996</v>
      </c>
      <c r="AU34" t="s">
        <v>303</v>
      </c>
      <c r="AV34" t="s">
        <v>437</v>
      </c>
      <c r="AX34" s="12">
        <v>0</v>
      </c>
      <c r="AY34">
        <v>19</v>
      </c>
      <c r="AZ34" t="s">
        <v>204</v>
      </c>
      <c r="BA34" t="s">
        <v>0</v>
      </c>
    </row>
    <row r="35" spans="1:53" x14ac:dyDescent="0.35">
      <c r="A35" t="s">
        <v>203</v>
      </c>
      <c r="B35">
        <v>1</v>
      </c>
      <c r="C35" t="s">
        <v>5</v>
      </c>
      <c r="D35" t="s">
        <v>4</v>
      </c>
      <c r="E35" t="s">
        <v>175</v>
      </c>
      <c r="F35" s="1" t="s">
        <v>198</v>
      </c>
      <c r="G35" t="s">
        <v>197</v>
      </c>
      <c r="H35">
        <v>5</v>
      </c>
      <c r="I35">
        <v>12</v>
      </c>
      <c r="J35">
        <v>20</v>
      </c>
      <c r="K35">
        <v>24</v>
      </c>
      <c r="L35">
        <v>6</v>
      </c>
      <c r="M35">
        <f t="shared" si="8"/>
        <v>30</v>
      </c>
      <c r="N35">
        <v>40</v>
      </c>
      <c r="O35">
        <v>4.1399999999999997</v>
      </c>
      <c r="P35">
        <v>0.22</v>
      </c>
      <c r="Q35">
        <f t="shared" si="0"/>
        <v>9.6795860131567209E-3</v>
      </c>
      <c r="R35" s="6">
        <v>91</v>
      </c>
      <c r="S35">
        <v>1.22</v>
      </c>
      <c r="T35">
        <f t="shared" si="1"/>
        <v>1.19</v>
      </c>
      <c r="U35">
        <v>1.1599999999999999</v>
      </c>
      <c r="V35">
        <v>1.24</v>
      </c>
      <c r="W35">
        <f t="shared" si="9"/>
        <v>1.8599999999999999</v>
      </c>
      <c r="X35">
        <f t="shared" si="2"/>
        <v>3.7199999999999998</v>
      </c>
      <c r="Y35">
        <v>0.65</v>
      </c>
      <c r="Z35">
        <v>17</v>
      </c>
      <c r="AA35">
        <v>17.7</v>
      </c>
      <c r="AB35">
        <v>74</v>
      </c>
      <c r="AC35">
        <f>Z35/AH35</f>
        <v>2075.133251019714</v>
      </c>
      <c r="AF35">
        <v>2335</v>
      </c>
      <c r="AG35">
        <v>20</v>
      </c>
      <c r="AH35">
        <v>8.1922450000000008E-3</v>
      </c>
      <c r="AI35" t="s">
        <v>21</v>
      </c>
      <c r="AJ35">
        <v>0</v>
      </c>
      <c r="AK35">
        <v>12</v>
      </c>
      <c r="AL35">
        <v>23</v>
      </c>
      <c r="AM35">
        <f t="shared" si="10"/>
        <v>11</v>
      </c>
      <c r="AN35">
        <v>0.22</v>
      </c>
      <c r="AO35">
        <f t="shared" si="4"/>
        <v>6.043956043956044E-2</v>
      </c>
      <c r="AP35">
        <v>33</v>
      </c>
      <c r="AQ35" t="str">
        <f t="shared" si="5"/>
        <v>NA</v>
      </c>
      <c r="AR35" t="str">
        <f t="shared" si="12"/>
        <v>NA</v>
      </c>
      <c r="AS35" t="str">
        <f t="shared" si="11"/>
        <v>NA</v>
      </c>
      <c r="AU35" t="s">
        <v>303</v>
      </c>
      <c r="AV35" t="s">
        <v>437</v>
      </c>
      <c r="AX35" s="12">
        <v>0</v>
      </c>
      <c r="AY35">
        <v>20</v>
      </c>
      <c r="AZ35" t="s">
        <v>203</v>
      </c>
      <c r="BA35" t="s">
        <v>5</v>
      </c>
    </row>
    <row r="36" spans="1:53" x14ac:dyDescent="0.35">
      <c r="A36" t="s">
        <v>203</v>
      </c>
      <c r="B36">
        <v>1</v>
      </c>
      <c r="C36" t="s">
        <v>0</v>
      </c>
      <c r="D36" t="s">
        <v>4</v>
      </c>
      <c r="E36" t="s">
        <v>175</v>
      </c>
      <c r="F36" s="1" t="s">
        <v>198</v>
      </c>
      <c r="G36" t="s">
        <v>197</v>
      </c>
      <c r="H36">
        <v>5</v>
      </c>
      <c r="I36">
        <v>12</v>
      </c>
      <c r="J36">
        <v>20</v>
      </c>
      <c r="K36">
        <v>24</v>
      </c>
      <c r="L36">
        <v>6</v>
      </c>
      <c r="M36">
        <f t="shared" si="8"/>
        <v>30</v>
      </c>
      <c r="N36">
        <v>40</v>
      </c>
      <c r="O36">
        <v>4.1399999999999997</v>
      </c>
      <c r="P36">
        <v>0.22</v>
      </c>
      <c r="Q36">
        <f t="shared" si="0"/>
        <v>9.6795860131567209E-3</v>
      </c>
      <c r="R36" s="6">
        <v>91</v>
      </c>
      <c r="S36">
        <v>1.22</v>
      </c>
      <c r="T36">
        <f t="shared" si="1"/>
        <v>1.19</v>
      </c>
      <c r="U36">
        <v>1.1599999999999999</v>
      </c>
      <c r="V36">
        <v>1.24</v>
      </c>
      <c r="W36">
        <f t="shared" si="9"/>
        <v>1.8599999999999999</v>
      </c>
      <c r="X36">
        <f t="shared" si="2"/>
        <v>3.7199999999999998</v>
      </c>
      <c r="Y36">
        <v>0.65</v>
      </c>
      <c r="Z36">
        <v>17</v>
      </c>
      <c r="AA36">
        <v>17.7</v>
      </c>
      <c r="AB36">
        <v>74</v>
      </c>
      <c r="AC36">
        <v>2075.133251019714</v>
      </c>
      <c r="AF36">
        <v>2335</v>
      </c>
      <c r="AG36">
        <v>20</v>
      </c>
      <c r="AH36" t="s">
        <v>21</v>
      </c>
      <c r="AI36">
        <v>2.4544179999999999E-3</v>
      </c>
      <c r="AJ36">
        <v>0</v>
      </c>
      <c r="AK36">
        <v>20</v>
      </c>
      <c r="AL36">
        <v>31</v>
      </c>
      <c r="AM36">
        <f t="shared" si="10"/>
        <v>11</v>
      </c>
      <c r="AN36">
        <v>0.22</v>
      </c>
      <c r="AO36">
        <f t="shared" si="4"/>
        <v>6.043956043956044E-2</v>
      </c>
      <c r="AP36">
        <v>34</v>
      </c>
      <c r="AQ36">
        <f t="shared" si="5"/>
        <v>29.950911640000001</v>
      </c>
      <c r="AR36">
        <f t="shared" si="12"/>
        <v>4.9088359999999998E-2</v>
      </c>
      <c r="AS36">
        <f t="shared" si="11"/>
        <v>0.99181860666666666</v>
      </c>
      <c r="AU36" t="s">
        <v>303</v>
      </c>
      <c r="AV36" t="s">
        <v>437</v>
      </c>
      <c r="AX36" s="12">
        <v>0</v>
      </c>
      <c r="AY36">
        <v>20</v>
      </c>
      <c r="AZ36" t="s">
        <v>203</v>
      </c>
      <c r="BA36" t="s">
        <v>0</v>
      </c>
    </row>
    <row r="37" spans="1:53" x14ac:dyDescent="0.35">
      <c r="A37" t="s">
        <v>202</v>
      </c>
      <c r="B37">
        <v>1</v>
      </c>
      <c r="C37" t="s">
        <v>5</v>
      </c>
      <c r="D37" t="s">
        <v>4</v>
      </c>
      <c r="E37" t="s">
        <v>175</v>
      </c>
      <c r="F37" s="1" t="s">
        <v>198</v>
      </c>
      <c r="G37" t="s">
        <v>197</v>
      </c>
      <c r="H37">
        <v>5</v>
      </c>
      <c r="I37">
        <v>12</v>
      </c>
      <c r="J37">
        <v>20</v>
      </c>
      <c r="K37">
        <v>24</v>
      </c>
      <c r="L37">
        <v>6</v>
      </c>
      <c r="M37">
        <f t="shared" si="8"/>
        <v>30</v>
      </c>
      <c r="N37">
        <v>40</v>
      </c>
      <c r="O37">
        <v>4.1399999999999997</v>
      </c>
      <c r="P37">
        <v>0.22</v>
      </c>
      <c r="Q37">
        <f t="shared" si="0"/>
        <v>9.6795860131567209E-3</v>
      </c>
      <c r="R37" s="6">
        <v>91</v>
      </c>
      <c r="S37">
        <v>1.22</v>
      </c>
      <c r="T37">
        <f t="shared" si="1"/>
        <v>1.19</v>
      </c>
      <c r="U37">
        <v>1.1599999999999999</v>
      </c>
      <c r="V37">
        <v>1.24</v>
      </c>
      <c r="W37">
        <f t="shared" si="9"/>
        <v>1.8599999999999999</v>
      </c>
      <c r="X37">
        <f t="shared" si="2"/>
        <v>3.7199999999999998</v>
      </c>
      <c r="Y37">
        <v>0.65</v>
      </c>
      <c r="Z37">
        <v>17</v>
      </c>
      <c r="AA37">
        <v>17.7</v>
      </c>
      <c r="AB37">
        <v>74</v>
      </c>
      <c r="AC37">
        <f>Z37/AH37</f>
        <v>2075.133251019714</v>
      </c>
      <c r="AF37">
        <v>2335</v>
      </c>
      <c r="AG37">
        <v>10</v>
      </c>
      <c r="AH37">
        <v>8.1922450000000008E-3</v>
      </c>
      <c r="AI37" t="s">
        <v>21</v>
      </c>
      <c r="AJ37">
        <v>0</v>
      </c>
      <c r="AK37">
        <v>11</v>
      </c>
      <c r="AL37">
        <v>139</v>
      </c>
      <c r="AM37">
        <f t="shared" si="10"/>
        <v>128</v>
      </c>
      <c r="AN37">
        <v>0.22</v>
      </c>
      <c r="AO37">
        <f t="shared" si="4"/>
        <v>0.70329670329670335</v>
      </c>
      <c r="AP37">
        <v>35</v>
      </c>
      <c r="AQ37" t="str">
        <f t="shared" si="5"/>
        <v>NA</v>
      </c>
      <c r="AR37" t="str">
        <f t="shared" si="12"/>
        <v>NA</v>
      </c>
      <c r="AS37" t="str">
        <f t="shared" si="11"/>
        <v>NA</v>
      </c>
      <c r="AU37" t="s">
        <v>303</v>
      </c>
      <c r="AV37" t="s">
        <v>437</v>
      </c>
      <c r="AX37" s="12">
        <v>0</v>
      </c>
      <c r="AY37">
        <v>21</v>
      </c>
      <c r="AZ37" t="s">
        <v>202</v>
      </c>
      <c r="BA37" t="s">
        <v>5</v>
      </c>
    </row>
    <row r="38" spans="1:53" x14ac:dyDescent="0.35">
      <c r="A38" t="s">
        <v>202</v>
      </c>
      <c r="B38">
        <v>1</v>
      </c>
      <c r="C38" t="s">
        <v>0</v>
      </c>
      <c r="D38" t="s">
        <v>4</v>
      </c>
      <c r="E38" t="s">
        <v>175</v>
      </c>
      <c r="F38" s="1" t="s">
        <v>198</v>
      </c>
      <c r="G38" t="s">
        <v>197</v>
      </c>
      <c r="H38">
        <v>5</v>
      </c>
      <c r="I38">
        <v>12</v>
      </c>
      <c r="J38">
        <v>20</v>
      </c>
      <c r="K38">
        <v>24</v>
      </c>
      <c r="L38">
        <v>6</v>
      </c>
      <c r="M38">
        <f t="shared" si="8"/>
        <v>30</v>
      </c>
      <c r="N38">
        <v>40</v>
      </c>
      <c r="O38">
        <v>4.1399999999999997</v>
      </c>
      <c r="P38">
        <v>0.22</v>
      </c>
      <c r="Q38">
        <f t="shared" si="0"/>
        <v>9.6795860131567209E-3</v>
      </c>
      <c r="R38" s="6">
        <v>91</v>
      </c>
      <c r="S38">
        <v>1.22</v>
      </c>
      <c r="T38">
        <f t="shared" si="1"/>
        <v>1.19</v>
      </c>
      <c r="U38">
        <v>1.1599999999999999</v>
      </c>
      <c r="V38">
        <v>1.24</v>
      </c>
      <c r="W38">
        <f t="shared" si="9"/>
        <v>1.8599999999999999</v>
      </c>
      <c r="X38">
        <f t="shared" si="2"/>
        <v>3.7199999999999998</v>
      </c>
      <c r="Y38">
        <v>0.65</v>
      </c>
      <c r="Z38">
        <v>17</v>
      </c>
      <c r="AA38">
        <v>17.7</v>
      </c>
      <c r="AB38">
        <v>74</v>
      </c>
      <c r="AC38">
        <v>2075.133251019714</v>
      </c>
      <c r="AF38">
        <v>2335</v>
      </c>
      <c r="AG38">
        <v>10</v>
      </c>
      <c r="AH38" t="s">
        <v>21</v>
      </c>
      <c r="AI38">
        <v>2.4544179999999999E-3</v>
      </c>
      <c r="AJ38">
        <v>0</v>
      </c>
      <c r="AK38">
        <v>13</v>
      </c>
      <c r="AL38">
        <v>141</v>
      </c>
      <c r="AM38">
        <f t="shared" si="10"/>
        <v>128</v>
      </c>
      <c r="AN38">
        <v>0.22</v>
      </c>
      <c r="AO38">
        <f t="shared" si="4"/>
        <v>0.70329670329670335</v>
      </c>
      <c r="AP38">
        <v>36</v>
      </c>
      <c r="AQ38">
        <f t="shared" si="5"/>
        <v>29.975455820000001</v>
      </c>
      <c r="AR38">
        <f t="shared" si="12"/>
        <v>2.4544179999999999E-2</v>
      </c>
      <c r="AS38">
        <f t="shared" si="11"/>
        <v>0.99590930333333327</v>
      </c>
      <c r="AU38" t="s">
        <v>303</v>
      </c>
      <c r="AV38" t="s">
        <v>437</v>
      </c>
      <c r="AX38" s="12">
        <v>0</v>
      </c>
      <c r="AY38">
        <v>21</v>
      </c>
      <c r="AZ38" t="s">
        <v>202</v>
      </c>
      <c r="BA38" t="s">
        <v>0</v>
      </c>
    </row>
    <row r="39" spans="1:53" x14ac:dyDescent="0.35">
      <c r="A39" t="s">
        <v>201</v>
      </c>
      <c r="B39">
        <v>1</v>
      </c>
      <c r="C39" t="s">
        <v>5</v>
      </c>
      <c r="D39" t="s">
        <v>4</v>
      </c>
      <c r="E39" t="s">
        <v>175</v>
      </c>
      <c r="F39" s="1" t="s">
        <v>198</v>
      </c>
      <c r="G39" t="s">
        <v>197</v>
      </c>
      <c r="H39">
        <v>5</v>
      </c>
      <c r="I39">
        <v>12</v>
      </c>
      <c r="J39">
        <v>20</v>
      </c>
      <c r="K39">
        <v>24</v>
      </c>
      <c r="L39">
        <v>6</v>
      </c>
      <c r="M39">
        <f t="shared" si="8"/>
        <v>30</v>
      </c>
      <c r="N39">
        <v>40</v>
      </c>
      <c r="O39">
        <v>4.1399999999999997</v>
      </c>
      <c r="P39">
        <v>0.22</v>
      </c>
      <c r="Q39">
        <f t="shared" si="0"/>
        <v>9.6795860131567209E-3</v>
      </c>
      <c r="R39" s="6">
        <v>91</v>
      </c>
      <c r="S39">
        <v>1.22</v>
      </c>
      <c r="T39">
        <f t="shared" si="1"/>
        <v>1.19</v>
      </c>
      <c r="U39">
        <v>1.1599999999999999</v>
      </c>
      <c r="V39">
        <v>1.24</v>
      </c>
      <c r="W39">
        <f t="shared" si="9"/>
        <v>1.8599999999999999</v>
      </c>
      <c r="X39">
        <f t="shared" si="2"/>
        <v>3.7199999999999998</v>
      </c>
      <c r="Y39">
        <v>0.65</v>
      </c>
      <c r="Z39">
        <v>17</v>
      </c>
      <c r="AA39">
        <v>17.7</v>
      </c>
      <c r="AB39">
        <v>74</v>
      </c>
      <c r="AC39">
        <f>Z39/AH39</f>
        <v>2075.133251019714</v>
      </c>
      <c r="AF39">
        <v>2335</v>
      </c>
      <c r="AG39">
        <v>380</v>
      </c>
      <c r="AH39">
        <v>8.1922450000000008E-3</v>
      </c>
      <c r="AI39" t="s">
        <v>21</v>
      </c>
      <c r="AJ39">
        <v>0</v>
      </c>
      <c r="AK39">
        <v>23</v>
      </c>
      <c r="AL39">
        <v>161</v>
      </c>
      <c r="AM39">
        <f t="shared" si="10"/>
        <v>138</v>
      </c>
      <c r="AN39">
        <v>0.22</v>
      </c>
      <c r="AO39">
        <f t="shared" si="4"/>
        <v>0.75824175824175821</v>
      </c>
      <c r="AP39">
        <v>37</v>
      </c>
      <c r="AQ39" t="str">
        <f t="shared" si="5"/>
        <v>NA</v>
      </c>
      <c r="AR39" t="str">
        <f t="shared" si="12"/>
        <v>NA</v>
      </c>
      <c r="AS39" t="str">
        <f t="shared" si="11"/>
        <v>NA</v>
      </c>
      <c r="AU39" t="s">
        <v>303</v>
      </c>
      <c r="AV39" t="s">
        <v>437</v>
      </c>
      <c r="AX39" s="12">
        <v>0</v>
      </c>
      <c r="AY39">
        <v>22</v>
      </c>
      <c r="AZ39" t="s">
        <v>201</v>
      </c>
      <c r="BA39" t="s">
        <v>5</v>
      </c>
    </row>
    <row r="40" spans="1:53" x14ac:dyDescent="0.35">
      <c r="A40" t="s">
        <v>201</v>
      </c>
      <c r="B40">
        <v>1</v>
      </c>
      <c r="C40" t="s">
        <v>0</v>
      </c>
      <c r="D40" t="s">
        <v>4</v>
      </c>
      <c r="E40" t="s">
        <v>175</v>
      </c>
      <c r="F40" s="1" t="s">
        <v>198</v>
      </c>
      <c r="G40" t="s">
        <v>197</v>
      </c>
      <c r="H40">
        <v>5</v>
      </c>
      <c r="I40">
        <v>12</v>
      </c>
      <c r="J40">
        <v>20</v>
      </c>
      <c r="K40">
        <v>24</v>
      </c>
      <c r="L40">
        <v>6</v>
      </c>
      <c r="M40">
        <f t="shared" si="8"/>
        <v>30</v>
      </c>
      <c r="N40">
        <v>40</v>
      </c>
      <c r="O40">
        <v>4.1399999999999997</v>
      </c>
      <c r="P40">
        <v>0.22</v>
      </c>
      <c r="Q40">
        <f t="shared" si="0"/>
        <v>9.6795860131567209E-3</v>
      </c>
      <c r="R40" s="6">
        <v>91</v>
      </c>
      <c r="S40">
        <v>1.22</v>
      </c>
      <c r="T40">
        <f t="shared" si="1"/>
        <v>1.19</v>
      </c>
      <c r="U40">
        <v>1.1599999999999999</v>
      </c>
      <c r="V40">
        <v>1.24</v>
      </c>
      <c r="W40">
        <f t="shared" si="9"/>
        <v>1.8599999999999999</v>
      </c>
      <c r="X40">
        <f t="shared" si="2"/>
        <v>3.7199999999999998</v>
      </c>
      <c r="Y40">
        <v>0.65</v>
      </c>
      <c r="Z40">
        <v>17</v>
      </c>
      <c r="AA40">
        <v>17.7</v>
      </c>
      <c r="AB40">
        <v>74</v>
      </c>
      <c r="AC40">
        <v>2075.133251019714</v>
      </c>
      <c r="AF40">
        <v>2335</v>
      </c>
      <c r="AG40">
        <v>752</v>
      </c>
      <c r="AH40" t="s">
        <v>21</v>
      </c>
      <c r="AI40">
        <v>2.4544179999999999E-3</v>
      </c>
      <c r="AJ40">
        <v>0</v>
      </c>
      <c r="AK40">
        <v>20</v>
      </c>
      <c r="AL40">
        <v>158</v>
      </c>
      <c r="AM40">
        <f t="shared" si="10"/>
        <v>138</v>
      </c>
      <c r="AN40">
        <v>0.22</v>
      </c>
      <c r="AO40">
        <f t="shared" si="4"/>
        <v>0.75824175824175821</v>
      </c>
      <c r="AP40">
        <v>38</v>
      </c>
      <c r="AQ40">
        <f t="shared" si="5"/>
        <v>28.154277663999999</v>
      </c>
      <c r="AR40">
        <f t="shared" si="12"/>
        <v>1.8457223359999999</v>
      </c>
      <c r="AS40">
        <f t="shared" si="11"/>
        <v>0.69237961066666676</v>
      </c>
      <c r="AU40" t="s">
        <v>303</v>
      </c>
      <c r="AV40" t="s">
        <v>437</v>
      </c>
      <c r="AX40" s="12">
        <v>0</v>
      </c>
      <c r="AY40">
        <v>22</v>
      </c>
      <c r="AZ40" t="s">
        <v>201</v>
      </c>
      <c r="BA40" t="s">
        <v>0</v>
      </c>
    </row>
    <row r="41" spans="1:53" x14ac:dyDescent="0.35">
      <c r="A41" t="s">
        <v>200</v>
      </c>
      <c r="B41">
        <v>1</v>
      </c>
      <c r="C41" t="s">
        <v>5</v>
      </c>
      <c r="D41" t="s">
        <v>4</v>
      </c>
      <c r="E41" t="s">
        <v>175</v>
      </c>
      <c r="F41" s="1" t="s">
        <v>198</v>
      </c>
      <c r="G41" t="s">
        <v>197</v>
      </c>
      <c r="H41">
        <v>5</v>
      </c>
      <c r="I41">
        <v>12</v>
      </c>
      <c r="J41">
        <v>20</v>
      </c>
      <c r="K41">
        <v>24</v>
      </c>
      <c r="L41">
        <v>6</v>
      </c>
      <c r="M41">
        <f t="shared" si="8"/>
        <v>30</v>
      </c>
      <c r="N41">
        <v>40</v>
      </c>
      <c r="O41">
        <v>4.1399999999999997</v>
      </c>
      <c r="P41">
        <v>0.22</v>
      </c>
      <c r="Q41">
        <f t="shared" si="0"/>
        <v>9.6795860131567209E-3</v>
      </c>
      <c r="R41" s="6">
        <v>91</v>
      </c>
      <c r="S41">
        <v>1.22</v>
      </c>
      <c r="T41">
        <f t="shared" si="1"/>
        <v>1.19</v>
      </c>
      <c r="U41">
        <v>1.1599999999999999</v>
      </c>
      <c r="V41">
        <v>1.24</v>
      </c>
      <c r="W41">
        <f t="shared" si="9"/>
        <v>1.8599999999999999</v>
      </c>
      <c r="X41">
        <f t="shared" si="2"/>
        <v>3.7199999999999998</v>
      </c>
      <c r="Y41">
        <v>0.65</v>
      </c>
      <c r="Z41">
        <v>17</v>
      </c>
      <c r="AA41">
        <v>17.7</v>
      </c>
      <c r="AB41">
        <v>74</v>
      </c>
      <c r="AC41">
        <f>Z41/AH41</f>
        <v>2075.133251019714</v>
      </c>
      <c r="AF41">
        <v>2335</v>
      </c>
      <c r="AG41">
        <v>100</v>
      </c>
      <c r="AH41">
        <v>8.1922450000000008E-3</v>
      </c>
      <c r="AI41" t="s">
        <v>21</v>
      </c>
      <c r="AJ41">
        <v>0</v>
      </c>
      <c r="AK41">
        <v>14</v>
      </c>
      <c r="AL41">
        <v>141</v>
      </c>
      <c r="AM41">
        <f t="shared" si="10"/>
        <v>127</v>
      </c>
      <c r="AN41">
        <v>0.22</v>
      </c>
      <c r="AO41">
        <f t="shared" si="4"/>
        <v>0.69780219780219777</v>
      </c>
      <c r="AP41">
        <v>39</v>
      </c>
      <c r="AQ41" t="str">
        <f t="shared" si="5"/>
        <v>NA</v>
      </c>
      <c r="AR41" t="str">
        <f t="shared" si="12"/>
        <v>NA</v>
      </c>
      <c r="AS41" t="str">
        <f t="shared" si="11"/>
        <v>NA</v>
      </c>
      <c r="AU41" t="s">
        <v>303</v>
      </c>
      <c r="AV41" t="s">
        <v>437</v>
      </c>
      <c r="AX41" s="12">
        <v>0</v>
      </c>
      <c r="AY41">
        <v>23</v>
      </c>
      <c r="AZ41" t="s">
        <v>200</v>
      </c>
      <c r="BA41" t="s">
        <v>5</v>
      </c>
    </row>
    <row r="42" spans="1:53" x14ac:dyDescent="0.35">
      <c r="A42" t="s">
        <v>200</v>
      </c>
      <c r="B42">
        <v>1</v>
      </c>
      <c r="C42" t="s">
        <v>0</v>
      </c>
      <c r="D42" t="s">
        <v>4</v>
      </c>
      <c r="E42" t="s">
        <v>175</v>
      </c>
      <c r="F42" s="1" t="s">
        <v>198</v>
      </c>
      <c r="G42" t="s">
        <v>197</v>
      </c>
      <c r="H42">
        <v>5</v>
      </c>
      <c r="I42">
        <v>12</v>
      </c>
      <c r="J42">
        <v>20</v>
      </c>
      <c r="K42">
        <v>24</v>
      </c>
      <c r="L42">
        <v>6</v>
      </c>
      <c r="M42">
        <f t="shared" si="8"/>
        <v>30</v>
      </c>
      <c r="N42">
        <v>40</v>
      </c>
      <c r="O42">
        <v>4.1399999999999997</v>
      </c>
      <c r="P42">
        <v>0.22</v>
      </c>
      <c r="Q42">
        <f t="shared" si="0"/>
        <v>9.6795860131567209E-3</v>
      </c>
      <c r="R42" s="6">
        <v>91</v>
      </c>
      <c r="S42">
        <v>1.22</v>
      </c>
      <c r="T42">
        <f t="shared" si="1"/>
        <v>1.19</v>
      </c>
      <c r="U42">
        <v>1.1599999999999999</v>
      </c>
      <c r="V42">
        <v>1.24</v>
      </c>
      <c r="W42">
        <f t="shared" si="9"/>
        <v>1.8599999999999999</v>
      </c>
      <c r="X42">
        <f t="shared" si="2"/>
        <v>3.7199999999999998</v>
      </c>
      <c r="Y42">
        <v>0.65</v>
      </c>
      <c r="Z42">
        <v>17</v>
      </c>
      <c r="AA42">
        <v>17.7</v>
      </c>
      <c r="AB42">
        <v>74</v>
      </c>
      <c r="AC42">
        <v>2075.133251019714</v>
      </c>
      <c r="AF42">
        <v>2335</v>
      </c>
      <c r="AG42">
        <v>490</v>
      </c>
      <c r="AH42" t="s">
        <v>21</v>
      </c>
      <c r="AI42">
        <v>2.4544179999999999E-3</v>
      </c>
      <c r="AJ42">
        <v>0</v>
      </c>
      <c r="AK42">
        <v>13</v>
      </c>
      <c r="AL42">
        <v>140</v>
      </c>
      <c r="AM42">
        <f t="shared" si="10"/>
        <v>127</v>
      </c>
      <c r="AN42">
        <v>0.22</v>
      </c>
      <c r="AO42">
        <f t="shared" si="4"/>
        <v>0.69780219780219777</v>
      </c>
      <c r="AP42">
        <v>40</v>
      </c>
      <c r="AQ42">
        <f t="shared" si="5"/>
        <v>28.797335180000001</v>
      </c>
      <c r="AR42">
        <f t="shared" si="12"/>
        <v>1.2026648199999999</v>
      </c>
      <c r="AS42">
        <f t="shared" si="11"/>
        <v>0.79955586333333339</v>
      </c>
      <c r="AU42" t="s">
        <v>303</v>
      </c>
      <c r="AV42" t="s">
        <v>437</v>
      </c>
      <c r="AX42" s="12">
        <v>0</v>
      </c>
      <c r="AY42">
        <v>23</v>
      </c>
      <c r="AZ42" t="s">
        <v>200</v>
      </c>
      <c r="BA42" t="s">
        <v>0</v>
      </c>
    </row>
    <row r="43" spans="1:53" x14ac:dyDescent="0.35">
      <c r="A43" t="s">
        <v>199</v>
      </c>
      <c r="B43">
        <v>1</v>
      </c>
      <c r="C43" t="s">
        <v>5</v>
      </c>
      <c r="D43" t="s">
        <v>4</v>
      </c>
      <c r="E43" t="s">
        <v>175</v>
      </c>
      <c r="F43" s="1" t="s">
        <v>198</v>
      </c>
      <c r="G43" t="s">
        <v>197</v>
      </c>
      <c r="H43">
        <v>5</v>
      </c>
      <c r="I43">
        <v>12</v>
      </c>
      <c r="J43">
        <v>20</v>
      </c>
      <c r="K43">
        <v>24</v>
      </c>
      <c r="L43">
        <v>6</v>
      </c>
      <c r="M43">
        <f t="shared" si="8"/>
        <v>30</v>
      </c>
      <c r="N43">
        <v>40</v>
      </c>
      <c r="O43">
        <v>4.1399999999999997</v>
      </c>
      <c r="P43">
        <v>0.22</v>
      </c>
      <c r="Q43">
        <f t="shared" si="0"/>
        <v>9.6795860131567209E-3</v>
      </c>
      <c r="R43" s="6">
        <v>91</v>
      </c>
      <c r="S43">
        <v>1.22</v>
      </c>
      <c r="T43">
        <f t="shared" si="1"/>
        <v>1.19</v>
      </c>
      <c r="U43">
        <v>1.1599999999999999</v>
      </c>
      <c r="V43">
        <v>1.24</v>
      </c>
      <c r="W43">
        <f t="shared" si="9"/>
        <v>1.8599999999999999</v>
      </c>
      <c r="X43">
        <f t="shared" si="2"/>
        <v>3.7199999999999998</v>
      </c>
      <c r="Y43">
        <v>0.65</v>
      </c>
      <c r="Z43">
        <v>17</v>
      </c>
      <c r="AA43">
        <v>17.7</v>
      </c>
      <c r="AB43">
        <v>74</v>
      </c>
      <c r="AC43">
        <f>Z43/AH43</f>
        <v>2075.133251019714</v>
      </c>
      <c r="AF43">
        <v>2335</v>
      </c>
      <c r="AG43">
        <v>400</v>
      </c>
      <c r="AH43">
        <v>8.1922450000000008E-3</v>
      </c>
      <c r="AI43" t="s">
        <v>21</v>
      </c>
      <c r="AJ43">
        <v>0</v>
      </c>
      <c r="AK43">
        <v>14</v>
      </c>
      <c r="AL43">
        <v>140</v>
      </c>
      <c r="AM43">
        <f t="shared" si="10"/>
        <v>126</v>
      </c>
      <c r="AN43">
        <v>0.22</v>
      </c>
      <c r="AO43">
        <f t="shared" si="4"/>
        <v>0.69230769230769229</v>
      </c>
      <c r="AP43">
        <v>41</v>
      </c>
      <c r="AQ43" t="str">
        <f t="shared" si="5"/>
        <v>NA</v>
      </c>
      <c r="AR43" t="str">
        <f t="shared" si="12"/>
        <v>NA</v>
      </c>
      <c r="AS43" t="str">
        <f t="shared" si="11"/>
        <v>NA</v>
      </c>
      <c r="AU43" t="s">
        <v>303</v>
      </c>
      <c r="AV43" t="s">
        <v>439</v>
      </c>
      <c r="AW43" t="s">
        <v>445</v>
      </c>
      <c r="AX43" s="9">
        <v>10</v>
      </c>
      <c r="AY43">
        <v>24</v>
      </c>
      <c r="AZ43" t="s">
        <v>199</v>
      </c>
      <c r="BA43" t="s">
        <v>5</v>
      </c>
    </row>
    <row r="44" spans="1:53" x14ac:dyDescent="0.35">
      <c r="A44" t="s">
        <v>199</v>
      </c>
      <c r="B44">
        <v>1</v>
      </c>
      <c r="C44" t="s">
        <v>0</v>
      </c>
      <c r="D44" t="s">
        <v>4</v>
      </c>
      <c r="E44" t="s">
        <v>175</v>
      </c>
      <c r="F44" s="1" t="s">
        <v>198</v>
      </c>
      <c r="G44" t="s">
        <v>197</v>
      </c>
      <c r="H44">
        <v>5</v>
      </c>
      <c r="I44">
        <v>12</v>
      </c>
      <c r="J44">
        <v>20</v>
      </c>
      <c r="K44">
        <v>24</v>
      </c>
      <c r="L44">
        <v>6</v>
      </c>
      <c r="M44">
        <f t="shared" si="8"/>
        <v>30</v>
      </c>
      <c r="N44">
        <v>40</v>
      </c>
      <c r="O44">
        <v>4.1399999999999997</v>
      </c>
      <c r="P44">
        <v>0.22</v>
      </c>
      <c r="Q44">
        <f t="shared" si="0"/>
        <v>9.6795860131567209E-3</v>
      </c>
      <c r="R44" s="6">
        <v>91</v>
      </c>
      <c r="S44">
        <v>1.22</v>
      </c>
      <c r="T44">
        <f t="shared" si="1"/>
        <v>1.19</v>
      </c>
      <c r="U44">
        <v>1.1599999999999999</v>
      </c>
      <c r="V44">
        <v>1.24</v>
      </c>
      <c r="W44">
        <f t="shared" si="9"/>
        <v>1.8599999999999999</v>
      </c>
      <c r="X44">
        <f t="shared" si="2"/>
        <v>3.7199999999999998</v>
      </c>
      <c r="Y44">
        <v>0.65</v>
      </c>
      <c r="Z44">
        <v>17</v>
      </c>
      <c r="AA44">
        <v>17.7</v>
      </c>
      <c r="AB44">
        <v>74</v>
      </c>
      <c r="AC44">
        <v>2075.133251019714</v>
      </c>
      <c r="AF44">
        <v>2335</v>
      </c>
      <c r="AG44">
        <v>927</v>
      </c>
      <c r="AH44" t="s">
        <v>21</v>
      </c>
      <c r="AI44">
        <v>2.4544179999999999E-3</v>
      </c>
      <c r="AJ44">
        <v>0</v>
      </c>
      <c r="AK44">
        <v>17</v>
      </c>
      <c r="AL44">
        <v>143</v>
      </c>
      <c r="AM44">
        <f t="shared" si="10"/>
        <v>126</v>
      </c>
      <c r="AN44">
        <v>0.22</v>
      </c>
      <c r="AO44">
        <f t="shared" si="4"/>
        <v>0.69230769230769229</v>
      </c>
      <c r="AP44">
        <v>42</v>
      </c>
      <c r="AQ44">
        <f t="shared" si="5"/>
        <v>27.724754514000001</v>
      </c>
      <c r="AR44">
        <f t="shared" si="12"/>
        <v>2.2752454859999998</v>
      </c>
      <c r="AS44">
        <f t="shared" si="11"/>
        <v>0.62079241900000004</v>
      </c>
      <c r="AU44" t="s">
        <v>303</v>
      </c>
      <c r="AV44" t="s">
        <v>439</v>
      </c>
      <c r="AW44" t="s">
        <v>445</v>
      </c>
      <c r="AX44" s="9">
        <v>10</v>
      </c>
      <c r="AY44">
        <v>24</v>
      </c>
      <c r="AZ44" t="s">
        <v>199</v>
      </c>
      <c r="BA44" t="s">
        <v>0</v>
      </c>
    </row>
    <row r="45" spans="1:53" x14ac:dyDescent="0.35">
      <c r="A45" t="s">
        <v>196</v>
      </c>
      <c r="B45">
        <v>1</v>
      </c>
      <c r="C45" t="s">
        <v>5</v>
      </c>
      <c r="D45" t="s">
        <v>4</v>
      </c>
      <c r="E45" t="s">
        <v>175</v>
      </c>
      <c r="F45" s="1" t="s">
        <v>198</v>
      </c>
      <c r="G45" t="s">
        <v>197</v>
      </c>
      <c r="H45">
        <v>5</v>
      </c>
      <c r="I45">
        <v>12</v>
      </c>
      <c r="J45">
        <v>20</v>
      </c>
      <c r="K45">
        <v>24</v>
      </c>
      <c r="L45">
        <v>6</v>
      </c>
      <c r="M45">
        <f t="shared" si="8"/>
        <v>30</v>
      </c>
      <c r="N45">
        <v>40</v>
      </c>
      <c r="O45">
        <v>4.1399999999999997</v>
      </c>
      <c r="P45">
        <v>0.22</v>
      </c>
      <c r="Q45">
        <f t="shared" si="0"/>
        <v>9.6795860131567209E-3</v>
      </c>
      <c r="R45" s="6">
        <v>91</v>
      </c>
      <c r="S45">
        <v>1.22</v>
      </c>
      <c r="T45">
        <f t="shared" si="1"/>
        <v>1.19</v>
      </c>
      <c r="U45">
        <v>1.1599999999999999</v>
      </c>
      <c r="V45">
        <v>1.24</v>
      </c>
      <c r="W45">
        <f t="shared" si="9"/>
        <v>1.8599999999999999</v>
      </c>
      <c r="X45">
        <f t="shared" si="2"/>
        <v>3.7199999999999998</v>
      </c>
      <c r="Y45">
        <v>0.65</v>
      </c>
      <c r="Z45">
        <v>17</v>
      </c>
      <c r="AA45">
        <v>17.7</v>
      </c>
      <c r="AB45">
        <v>74</v>
      </c>
      <c r="AC45">
        <f>Z45/AH45</f>
        <v>2075.133251019714</v>
      </c>
      <c r="AF45">
        <v>2335</v>
      </c>
      <c r="AG45">
        <v>137</v>
      </c>
      <c r="AH45">
        <v>8.1922450000000008E-3</v>
      </c>
      <c r="AI45" t="s">
        <v>21</v>
      </c>
      <c r="AJ45">
        <v>1</v>
      </c>
      <c r="AK45">
        <v>10</v>
      </c>
      <c r="AL45">
        <v>978</v>
      </c>
      <c r="AM45">
        <f t="shared" si="10"/>
        <v>968</v>
      </c>
      <c r="AN45">
        <v>0.22</v>
      </c>
      <c r="AO45">
        <f t="shared" si="4"/>
        <v>5.3186813186813184</v>
      </c>
      <c r="AP45">
        <v>43</v>
      </c>
      <c r="AQ45" t="str">
        <f t="shared" si="5"/>
        <v>NA</v>
      </c>
      <c r="AR45" t="str">
        <f t="shared" si="12"/>
        <v>NA</v>
      </c>
      <c r="AS45" t="str">
        <f t="shared" si="11"/>
        <v>NA</v>
      </c>
      <c r="AU45" t="s">
        <v>303</v>
      </c>
      <c r="AV45" t="s">
        <v>438</v>
      </c>
      <c r="AW45" t="s">
        <v>449</v>
      </c>
      <c r="AX45" s="9" t="s">
        <v>448</v>
      </c>
      <c r="AY45">
        <v>25</v>
      </c>
      <c r="AZ45" t="s">
        <v>196</v>
      </c>
      <c r="BA45" t="s">
        <v>5</v>
      </c>
    </row>
    <row r="46" spans="1:53" x14ac:dyDescent="0.35">
      <c r="A46" t="s">
        <v>196</v>
      </c>
      <c r="B46">
        <v>1</v>
      </c>
      <c r="C46" t="s">
        <v>0</v>
      </c>
      <c r="D46" t="s">
        <v>4</v>
      </c>
      <c r="E46" t="s">
        <v>175</v>
      </c>
      <c r="F46" s="1" t="s">
        <v>198</v>
      </c>
      <c r="G46" t="s">
        <v>197</v>
      </c>
      <c r="H46">
        <v>5</v>
      </c>
      <c r="I46">
        <v>12</v>
      </c>
      <c r="J46">
        <v>20</v>
      </c>
      <c r="K46">
        <v>24</v>
      </c>
      <c r="L46">
        <v>6</v>
      </c>
      <c r="M46">
        <f t="shared" si="8"/>
        <v>30</v>
      </c>
      <c r="N46">
        <v>40</v>
      </c>
      <c r="O46">
        <v>4.1399999999999997</v>
      </c>
      <c r="P46">
        <v>0.22</v>
      </c>
      <c r="Q46">
        <f t="shared" si="0"/>
        <v>9.6795860131567209E-3</v>
      </c>
      <c r="R46" s="6">
        <v>91</v>
      </c>
      <c r="S46">
        <v>1.22</v>
      </c>
      <c r="T46">
        <f t="shared" si="1"/>
        <v>1.19</v>
      </c>
      <c r="U46">
        <v>1.1599999999999999</v>
      </c>
      <c r="V46">
        <v>1.24</v>
      </c>
      <c r="W46">
        <f t="shared" si="9"/>
        <v>1.8599999999999999</v>
      </c>
      <c r="X46">
        <f t="shared" si="2"/>
        <v>3.7199999999999998</v>
      </c>
      <c r="Y46">
        <v>0.65</v>
      </c>
      <c r="Z46">
        <v>17</v>
      </c>
      <c r="AA46">
        <v>17.7</v>
      </c>
      <c r="AB46">
        <v>74</v>
      </c>
      <c r="AC46">
        <v>2075.133251019714</v>
      </c>
      <c r="AF46">
        <v>2335</v>
      </c>
      <c r="AG46">
        <v>1118</v>
      </c>
      <c r="AH46" t="s">
        <v>21</v>
      </c>
      <c r="AI46">
        <v>2.4544179999999999E-3</v>
      </c>
      <c r="AJ46">
        <v>1</v>
      </c>
      <c r="AK46">
        <v>18</v>
      </c>
      <c r="AL46">
        <v>986</v>
      </c>
      <c r="AM46">
        <f t="shared" si="10"/>
        <v>968</v>
      </c>
      <c r="AN46">
        <v>0.22</v>
      </c>
      <c r="AO46">
        <f t="shared" si="4"/>
        <v>5.3186813186813184</v>
      </c>
      <c r="AP46">
        <v>44</v>
      </c>
      <c r="AQ46">
        <f t="shared" si="5"/>
        <v>27.255960676000001</v>
      </c>
      <c r="AR46">
        <f t="shared" si="12"/>
        <v>2.7440393240000001</v>
      </c>
      <c r="AS46">
        <f t="shared" si="11"/>
        <v>0.54266011266666669</v>
      </c>
      <c r="AU46" t="s">
        <v>303</v>
      </c>
      <c r="AV46" t="s">
        <v>438</v>
      </c>
      <c r="AW46" t="s">
        <v>449</v>
      </c>
      <c r="AX46" s="9" t="s">
        <v>448</v>
      </c>
      <c r="AY46">
        <v>25</v>
      </c>
      <c r="AZ46" t="s">
        <v>196</v>
      </c>
      <c r="BA46" t="s">
        <v>0</v>
      </c>
    </row>
    <row r="47" spans="1:53" x14ac:dyDescent="0.35">
      <c r="A47" t="s">
        <v>195</v>
      </c>
      <c r="B47">
        <v>1</v>
      </c>
      <c r="C47" t="s">
        <v>5</v>
      </c>
      <c r="D47" t="s">
        <v>4</v>
      </c>
      <c r="E47" t="s">
        <v>175</v>
      </c>
      <c r="F47" s="1" t="s">
        <v>193</v>
      </c>
      <c r="G47" t="s">
        <v>189</v>
      </c>
      <c r="H47">
        <v>5</v>
      </c>
      <c r="I47">
        <v>12</v>
      </c>
      <c r="J47">
        <v>25</v>
      </c>
      <c r="K47">
        <v>34</v>
      </c>
      <c r="L47">
        <v>13</v>
      </c>
      <c r="M47">
        <f t="shared" si="8"/>
        <v>47</v>
      </c>
      <c r="N47">
        <v>43</v>
      </c>
      <c r="O47">
        <v>6.51</v>
      </c>
      <c r="P47">
        <v>0.18</v>
      </c>
      <c r="Q47">
        <f t="shared" si="0"/>
        <v>1.0907962902213962E-2</v>
      </c>
      <c r="R47" s="6">
        <v>98</v>
      </c>
      <c r="S47">
        <v>0.89</v>
      </c>
      <c r="T47">
        <f t="shared" si="1"/>
        <v>0.99500000000000011</v>
      </c>
      <c r="U47">
        <v>1.1000000000000001</v>
      </c>
      <c r="V47">
        <v>1.1000000000000001</v>
      </c>
      <c r="W47">
        <f t="shared" si="9"/>
        <v>1.6500000000000001</v>
      </c>
      <c r="X47">
        <f t="shared" si="2"/>
        <v>3.3000000000000003</v>
      </c>
      <c r="Y47">
        <v>0.65</v>
      </c>
      <c r="Z47">
        <v>17</v>
      </c>
      <c r="AA47">
        <v>17.7</v>
      </c>
      <c r="AB47">
        <v>70</v>
      </c>
      <c r="AC47">
        <f>Z47/AH47</f>
        <v>2052.750123678195</v>
      </c>
      <c r="AF47">
        <v>2344</v>
      </c>
      <c r="AG47">
        <v>300</v>
      </c>
      <c r="AH47">
        <v>8.2815730000000004E-3</v>
      </c>
      <c r="AI47" t="s">
        <v>21</v>
      </c>
      <c r="AJ47">
        <v>0</v>
      </c>
      <c r="AK47">
        <v>18</v>
      </c>
      <c r="AL47">
        <v>77</v>
      </c>
      <c r="AM47">
        <f t="shared" si="10"/>
        <v>59</v>
      </c>
      <c r="AN47">
        <v>0.18</v>
      </c>
      <c r="AO47">
        <f t="shared" si="4"/>
        <v>0.30102040816326531</v>
      </c>
      <c r="AP47">
        <v>45</v>
      </c>
      <c r="AQ47" t="str">
        <f t="shared" si="5"/>
        <v>NA</v>
      </c>
      <c r="AR47" t="str">
        <f t="shared" si="12"/>
        <v>NA</v>
      </c>
      <c r="AS47" t="str">
        <f t="shared" si="11"/>
        <v>NA</v>
      </c>
      <c r="AU47" t="s">
        <v>303</v>
      </c>
      <c r="AV47" t="s">
        <v>437</v>
      </c>
      <c r="AX47" s="12">
        <v>0</v>
      </c>
      <c r="AY47">
        <v>26</v>
      </c>
      <c r="AZ47" t="s">
        <v>195</v>
      </c>
      <c r="BA47" t="s">
        <v>5</v>
      </c>
    </row>
    <row r="48" spans="1:53" x14ac:dyDescent="0.35">
      <c r="A48" t="s">
        <v>195</v>
      </c>
      <c r="B48">
        <v>1</v>
      </c>
      <c r="C48" t="s">
        <v>0</v>
      </c>
      <c r="D48" t="s">
        <v>4</v>
      </c>
      <c r="E48" t="s">
        <v>175</v>
      </c>
      <c r="F48" s="1" t="s">
        <v>193</v>
      </c>
      <c r="G48" t="s">
        <v>189</v>
      </c>
      <c r="H48">
        <v>5</v>
      </c>
      <c r="I48">
        <v>12</v>
      </c>
      <c r="J48">
        <v>25</v>
      </c>
      <c r="K48">
        <v>34</v>
      </c>
      <c r="L48">
        <v>13</v>
      </c>
      <c r="M48">
        <f t="shared" si="8"/>
        <v>47</v>
      </c>
      <c r="N48">
        <v>43</v>
      </c>
      <c r="O48">
        <v>6.51</v>
      </c>
      <c r="P48">
        <v>0.18</v>
      </c>
      <c r="Q48">
        <f t="shared" si="0"/>
        <v>1.0907962902213962E-2</v>
      </c>
      <c r="R48" s="6">
        <v>98</v>
      </c>
      <c r="S48">
        <v>0.89</v>
      </c>
      <c r="T48">
        <f t="shared" si="1"/>
        <v>0.99500000000000011</v>
      </c>
      <c r="U48">
        <v>1.1000000000000001</v>
      </c>
      <c r="V48">
        <v>1.1000000000000001</v>
      </c>
      <c r="W48">
        <f t="shared" si="9"/>
        <v>1.6500000000000001</v>
      </c>
      <c r="X48">
        <f t="shared" si="2"/>
        <v>3.3000000000000003</v>
      </c>
      <c r="Y48">
        <v>0.65</v>
      </c>
      <c r="Z48">
        <v>17</v>
      </c>
      <c r="AA48">
        <v>17.7</v>
      </c>
      <c r="AB48">
        <v>70</v>
      </c>
      <c r="AC48">
        <v>2052.750123678195</v>
      </c>
      <c r="AF48">
        <v>2344</v>
      </c>
      <c r="AG48">
        <v>593</v>
      </c>
      <c r="AH48" t="s">
        <v>21</v>
      </c>
      <c r="AI48">
        <v>2.4544179999999999E-3</v>
      </c>
      <c r="AJ48">
        <v>0</v>
      </c>
      <c r="AK48">
        <v>12</v>
      </c>
      <c r="AL48">
        <v>71</v>
      </c>
      <c r="AM48">
        <f t="shared" si="10"/>
        <v>59</v>
      </c>
      <c r="AN48">
        <v>0.18</v>
      </c>
      <c r="AO48">
        <f t="shared" si="4"/>
        <v>0.30102040816326531</v>
      </c>
      <c r="AP48">
        <v>46</v>
      </c>
      <c r="AQ48">
        <f t="shared" si="5"/>
        <v>45.544530125999998</v>
      </c>
      <c r="AR48">
        <f t="shared" si="12"/>
        <v>1.4554698739999998</v>
      </c>
      <c r="AS48">
        <f t="shared" si="11"/>
        <v>0.88804077892307687</v>
      </c>
      <c r="AU48" t="s">
        <v>303</v>
      </c>
      <c r="AV48" t="s">
        <v>437</v>
      </c>
      <c r="AX48" s="12">
        <v>0</v>
      </c>
      <c r="AY48">
        <v>26</v>
      </c>
      <c r="AZ48" t="s">
        <v>195</v>
      </c>
      <c r="BA48" t="s">
        <v>0</v>
      </c>
    </row>
    <row r="49" spans="1:53" x14ac:dyDescent="0.35">
      <c r="A49" t="s">
        <v>194</v>
      </c>
      <c r="B49">
        <v>1</v>
      </c>
      <c r="C49" t="s">
        <v>5</v>
      </c>
      <c r="D49" t="s">
        <v>4</v>
      </c>
      <c r="E49" t="s">
        <v>175</v>
      </c>
      <c r="F49" s="1" t="s">
        <v>193</v>
      </c>
      <c r="G49" t="s">
        <v>189</v>
      </c>
      <c r="H49">
        <v>5</v>
      </c>
      <c r="I49">
        <v>12</v>
      </c>
      <c r="J49">
        <v>25</v>
      </c>
      <c r="K49">
        <v>34</v>
      </c>
      <c r="L49">
        <v>13</v>
      </c>
      <c r="M49">
        <f t="shared" si="8"/>
        <v>47</v>
      </c>
      <c r="N49">
        <v>43</v>
      </c>
      <c r="O49">
        <v>6.51</v>
      </c>
      <c r="P49">
        <v>0.18</v>
      </c>
      <c r="Q49">
        <f t="shared" si="0"/>
        <v>1.0907962902213962E-2</v>
      </c>
      <c r="R49" s="6">
        <v>98</v>
      </c>
      <c r="S49">
        <v>0.89</v>
      </c>
      <c r="T49">
        <f t="shared" si="1"/>
        <v>0.99500000000000011</v>
      </c>
      <c r="U49">
        <v>1.1000000000000001</v>
      </c>
      <c r="V49">
        <v>1.1000000000000001</v>
      </c>
      <c r="W49">
        <f t="shared" si="9"/>
        <v>1.6500000000000001</v>
      </c>
      <c r="X49">
        <f t="shared" si="2"/>
        <v>3.3000000000000003</v>
      </c>
      <c r="Y49">
        <v>0.65</v>
      </c>
      <c r="Z49">
        <v>17</v>
      </c>
      <c r="AA49">
        <v>17.7</v>
      </c>
      <c r="AB49">
        <v>70</v>
      </c>
      <c r="AC49">
        <f>Z49/AH49</f>
        <v>2052.750123678195</v>
      </c>
      <c r="AF49">
        <v>2344</v>
      </c>
      <c r="AG49">
        <v>20</v>
      </c>
      <c r="AH49">
        <v>8.2815730000000004E-3</v>
      </c>
      <c r="AI49" t="s">
        <v>21</v>
      </c>
      <c r="AJ49">
        <v>0</v>
      </c>
      <c r="AK49">
        <v>140</v>
      </c>
      <c r="AL49">
        <v>169</v>
      </c>
      <c r="AM49">
        <f t="shared" si="10"/>
        <v>29</v>
      </c>
      <c r="AN49">
        <v>0.18</v>
      </c>
      <c r="AO49">
        <f t="shared" si="4"/>
        <v>0.14795918367346939</v>
      </c>
      <c r="AP49">
        <v>47</v>
      </c>
      <c r="AQ49" t="str">
        <f t="shared" si="5"/>
        <v>NA</v>
      </c>
      <c r="AR49" t="str">
        <f t="shared" si="12"/>
        <v>NA</v>
      </c>
      <c r="AS49" t="str">
        <f t="shared" si="11"/>
        <v>NA</v>
      </c>
      <c r="AU49" t="s">
        <v>303</v>
      </c>
      <c r="AV49" t="s">
        <v>437</v>
      </c>
      <c r="AX49" s="12">
        <v>0</v>
      </c>
      <c r="AY49">
        <v>27</v>
      </c>
      <c r="AZ49" t="s">
        <v>194</v>
      </c>
      <c r="BA49" t="s">
        <v>5</v>
      </c>
    </row>
    <row r="50" spans="1:53" x14ac:dyDescent="0.35">
      <c r="A50" t="s">
        <v>194</v>
      </c>
      <c r="B50">
        <v>1</v>
      </c>
      <c r="C50" t="s">
        <v>0</v>
      </c>
      <c r="D50" t="s">
        <v>4</v>
      </c>
      <c r="E50" t="s">
        <v>175</v>
      </c>
      <c r="F50" s="1" t="s">
        <v>193</v>
      </c>
      <c r="G50" t="s">
        <v>189</v>
      </c>
      <c r="H50">
        <v>5</v>
      </c>
      <c r="I50">
        <v>12</v>
      </c>
      <c r="J50">
        <v>25</v>
      </c>
      <c r="K50">
        <v>34</v>
      </c>
      <c r="L50">
        <v>13</v>
      </c>
      <c r="M50">
        <f t="shared" si="8"/>
        <v>47</v>
      </c>
      <c r="N50">
        <v>43</v>
      </c>
      <c r="O50">
        <v>6.51</v>
      </c>
      <c r="P50">
        <v>0.18</v>
      </c>
      <c r="Q50">
        <f t="shared" si="0"/>
        <v>1.0907962902213962E-2</v>
      </c>
      <c r="R50" s="6">
        <v>98</v>
      </c>
      <c r="S50">
        <v>0.89</v>
      </c>
      <c r="T50">
        <f t="shared" si="1"/>
        <v>0.99500000000000011</v>
      </c>
      <c r="U50">
        <v>1.1000000000000001</v>
      </c>
      <c r="V50">
        <v>1.1000000000000001</v>
      </c>
      <c r="W50">
        <f t="shared" si="9"/>
        <v>1.6500000000000001</v>
      </c>
      <c r="X50">
        <f t="shared" si="2"/>
        <v>3.3000000000000003</v>
      </c>
      <c r="Y50">
        <v>0.65</v>
      </c>
      <c r="Z50">
        <v>17</v>
      </c>
      <c r="AA50">
        <v>17.7</v>
      </c>
      <c r="AB50">
        <v>70</v>
      </c>
      <c r="AC50">
        <v>2052.750123678195</v>
      </c>
      <c r="AF50">
        <v>2344</v>
      </c>
      <c r="AG50">
        <v>482</v>
      </c>
      <c r="AH50" t="s">
        <v>21</v>
      </c>
      <c r="AI50">
        <v>2.4544179999999999E-3</v>
      </c>
      <c r="AJ50">
        <v>0</v>
      </c>
      <c r="AK50">
        <v>9</v>
      </c>
      <c r="AL50">
        <v>38</v>
      </c>
      <c r="AM50">
        <f t="shared" si="10"/>
        <v>29</v>
      </c>
      <c r="AN50">
        <v>0.18</v>
      </c>
      <c r="AO50">
        <f t="shared" si="4"/>
        <v>0.14795918367346939</v>
      </c>
      <c r="AP50">
        <v>48</v>
      </c>
      <c r="AQ50">
        <f t="shared" si="5"/>
        <v>45.816970523999998</v>
      </c>
      <c r="AR50">
        <f t="shared" si="12"/>
        <v>1.183029476</v>
      </c>
      <c r="AS50">
        <f t="shared" si="11"/>
        <v>0.90899773261538463</v>
      </c>
      <c r="AU50" t="s">
        <v>303</v>
      </c>
      <c r="AV50" t="s">
        <v>437</v>
      </c>
      <c r="AX50" s="12">
        <v>0</v>
      </c>
      <c r="AY50">
        <v>27</v>
      </c>
      <c r="AZ50" t="s">
        <v>194</v>
      </c>
      <c r="BA50" t="s">
        <v>0</v>
      </c>
    </row>
    <row r="51" spans="1:53" x14ac:dyDescent="0.35">
      <c r="A51" t="s">
        <v>192</v>
      </c>
      <c r="B51">
        <v>1</v>
      </c>
      <c r="C51" t="s">
        <v>5</v>
      </c>
      <c r="D51" t="s">
        <v>4</v>
      </c>
      <c r="E51" t="s">
        <v>175</v>
      </c>
      <c r="F51" s="1" t="s">
        <v>193</v>
      </c>
      <c r="G51" t="s">
        <v>189</v>
      </c>
      <c r="H51">
        <v>5</v>
      </c>
      <c r="I51">
        <v>12</v>
      </c>
      <c r="J51">
        <v>25</v>
      </c>
      <c r="K51">
        <v>34</v>
      </c>
      <c r="L51">
        <v>13</v>
      </c>
      <c r="M51">
        <f t="shared" si="8"/>
        <v>47</v>
      </c>
      <c r="N51">
        <v>43</v>
      </c>
      <c r="O51">
        <v>6.51</v>
      </c>
      <c r="P51">
        <v>0.18</v>
      </c>
      <c r="Q51">
        <f t="shared" si="0"/>
        <v>1.0907962902213962E-2</v>
      </c>
      <c r="R51" s="6">
        <v>98</v>
      </c>
      <c r="S51">
        <v>0.89</v>
      </c>
      <c r="T51">
        <f t="shared" si="1"/>
        <v>0.99500000000000011</v>
      </c>
      <c r="U51">
        <v>1.1000000000000001</v>
      </c>
      <c r="V51">
        <v>1.1000000000000001</v>
      </c>
      <c r="W51">
        <f t="shared" si="9"/>
        <v>1.6500000000000001</v>
      </c>
      <c r="X51">
        <f t="shared" si="2"/>
        <v>3.3000000000000003</v>
      </c>
      <c r="Y51">
        <v>0.65</v>
      </c>
      <c r="Z51">
        <v>17</v>
      </c>
      <c r="AA51">
        <v>17.7</v>
      </c>
      <c r="AB51">
        <v>70</v>
      </c>
      <c r="AC51">
        <f>Z51/AH51</f>
        <v>2052.750123678195</v>
      </c>
      <c r="AF51">
        <v>2344</v>
      </c>
      <c r="AG51">
        <v>20</v>
      </c>
      <c r="AH51">
        <v>8.2815730000000004E-3</v>
      </c>
      <c r="AI51" t="s">
        <v>21</v>
      </c>
      <c r="AJ51">
        <v>1</v>
      </c>
      <c r="AK51">
        <v>9</v>
      </c>
      <c r="AL51">
        <v>200</v>
      </c>
      <c r="AM51">
        <f t="shared" si="10"/>
        <v>191</v>
      </c>
      <c r="AN51">
        <v>0.18</v>
      </c>
      <c r="AO51">
        <f t="shared" si="4"/>
        <v>0.97448979591836737</v>
      </c>
      <c r="AP51">
        <v>49</v>
      </c>
      <c r="AQ51" t="str">
        <f t="shared" si="5"/>
        <v>NA</v>
      </c>
      <c r="AR51" t="str">
        <f t="shared" si="12"/>
        <v>NA</v>
      </c>
      <c r="AS51" t="str">
        <f t="shared" si="11"/>
        <v>NA</v>
      </c>
      <c r="AU51" t="s">
        <v>447</v>
      </c>
      <c r="AV51" t="s">
        <v>21</v>
      </c>
      <c r="AX51" s="14">
        <v>1</v>
      </c>
      <c r="AY51">
        <v>28</v>
      </c>
      <c r="AZ51" t="s">
        <v>192</v>
      </c>
      <c r="BA51" t="s">
        <v>5</v>
      </c>
    </row>
    <row r="52" spans="1:53" x14ac:dyDescent="0.35">
      <c r="A52" t="s">
        <v>192</v>
      </c>
      <c r="B52">
        <v>1</v>
      </c>
      <c r="C52" t="s">
        <v>0</v>
      </c>
      <c r="D52" t="s">
        <v>4</v>
      </c>
      <c r="E52" t="s">
        <v>175</v>
      </c>
      <c r="F52" s="1" t="s">
        <v>193</v>
      </c>
      <c r="G52" t="s">
        <v>189</v>
      </c>
      <c r="H52">
        <v>5</v>
      </c>
      <c r="I52">
        <v>12</v>
      </c>
      <c r="J52">
        <v>25</v>
      </c>
      <c r="K52">
        <v>34</v>
      </c>
      <c r="L52">
        <v>13</v>
      </c>
      <c r="M52">
        <f t="shared" si="8"/>
        <v>47</v>
      </c>
      <c r="N52">
        <v>43</v>
      </c>
      <c r="O52">
        <v>6.51</v>
      </c>
      <c r="P52">
        <v>0.18</v>
      </c>
      <c r="Q52">
        <f t="shared" si="0"/>
        <v>1.0907962902213962E-2</v>
      </c>
      <c r="R52" s="6">
        <v>98</v>
      </c>
      <c r="S52">
        <v>0.89</v>
      </c>
      <c r="T52">
        <f t="shared" si="1"/>
        <v>0.99500000000000011</v>
      </c>
      <c r="U52">
        <v>1.1000000000000001</v>
      </c>
      <c r="V52">
        <v>1.1000000000000001</v>
      </c>
      <c r="W52">
        <f t="shared" si="9"/>
        <v>1.6500000000000001</v>
      </c>
      <c r="X52">
        <f t="shared" si="2"/>
        <v>3.3000000000000003</v>
      </c>
      <c r="Y52">
        <v>0.65</v>
      </c>
      <c r="Z52">
        <v>17</v>
      </c>
      <c r="AA52">
        <v>17.7</v>
      </c>
      <c r="AB52">
        <v>70</v>
      </c>
      <c r="AC52">
        <v>2052.750123678195</v>
      </c>
      <c r="AF52">
        <v>2344</v>
      </c>
      <c r="AG52">
        <v>1000</v>
      </c>
      <c r="AH52" t="s">
        <v>21</v>
      </c>
      <c r="AI52">
        <v>2.4544179999999999E-3</v>
      </c>
      <c r="AJ52">
        <v>1</v>
      </c>
      <c r="AK52">
        <v>5</v>
      </c>
      <c r="AL52">
        <f>AK52+AL51-AK51</f>
        <v>196</v>
      </c>
      <c r="AM52">
        <f t="shared" si="10"/>
        <v>191</v>
      </c>
      <c r="AN52">
        <v>0.18</v>
      </c>
      <c r="AO52">
        <f t="shared" si="4"/>
        <v>0.97448979591836737</v>
      </c>
      <c r="AP52">
        <v>50</v>
      </c>
      <c r="AQ52">
        <f t="shared" si="5"/>
        <v>44.545582000000003</v>
      </c>
      <c r="AR52">
        <f t="shared" si="12"/>
        <v>2.454418</v>
      </c>
      <c r="AS52">
        <f t="shared" si="11"/>
        <v>0.81119861538461535</v>
      </c>
      <c r="AU52" t="s">
        <v>447</v>
      </c>
      <c r="AV52" t="s">
        <v>21</v>
      </c>
      <c r="AX52" s="14">
        <v>1</v>
      </c>
      <c r="AY52">
        <v>28</v>
      </c>
      <c r="AZ52" t="s">
        <v>192</v>
      </c>
      <c r="BA52" t="s">
        <v>0</v>
      </c>
    </row>
    <row r="53" spans="1:53" x14ac:dyDescent="0.35">
      <c r="A53" t="s">
        <v>191</v>
      </c>
      <c r="B53">
        <v>1</v>
      </c>
      <c r="C53" t="s">
        <v>5</v>
      </c>
      <c r="D53" t="s">
        <v>4</v>
      </c>
      <c r="E53" t="s">
        <v>175</v>
      </c>
      <c r="F53" s="1" t="s">
        <v>190</v>
      </c>
      <c r="G53" t="s">
        <v>189</v>
      </c>
      <c r="H53">
        <v>5</v>
      </c>
      <c r="I53">
        <v>12</v>
      </c>
      <c r="J53">
        <v>26</v>
      </c>
      <c r="K53">
        <v>28</v>
      </c>
      <c r="L53">
        <v>10</v>
      </c>
      <c r="M53">
        <f t="shared" si="8"/>
        <v>38</v>
      </c>
      <c r="N53">
        <v>42</v>
      </c>
      <c r="O53">
        <v>2.09</v>
      </c>
      <c r="P53">
        <v>0.11</v>
      </c>
      <c r="Q53">
        <f t="shared" si="0"/>
        <v>1.0722427646674929E-2</v>
      </c>
      <c r="R53" s="6">
        <v>96</v>
      </c>
      <c r="S53">
        <v>0.56999999999999995</v>
      </c>
      <c r="T53">
        <f t="shared" si="1"/>
        <v>0.71</v>
      </c>
      <c r="U53">
        <v>0.85</v>
      </c>
      <c r="V53">
        <v>1.03</v>
      </c>
      <c r="W53">
        <f t="shared" si="9"/>
        <v>1.5449999999999999</v>
      </c>
      <c r="X53">
        <f t="shared" si="2"/>
        <v>3.09</v>
      </c>
      <c r="Y53">
        <v>0.65</v>
      </c>
      <c r="Z53">
        <v>17</v>
      </c>
      <c r="AA53">
        <v>17.7</v>
      </c>
      <c r="AB53">
        <v>73</v>
      </c>
      <c r="AC53">
        <f>Z53/AH53</f>
        <v>2080.7999084448043</v>
      </c>
      <c r="AF53">
        <v>2272</v>
      </c>
      <c r="AG53">
        <v>5</v>
      </c>
      <c r="AH53">
        <v>8.1699349999999997E-3</v>
      </c>
      <c r="AI53" t="s">
        <v>21</v>
      </c>
      <c r="AJ53">
        <v>0</v>
      </c>
      <c r="AK53">
        <v>13</v>
      </c>
      <c r="AL53">
        <v>21</v>
      </c>
      <c r="AM53">
        <f t="shared" si="10"/>
        <v>8</v>
      </c>
      <c r="AN53">
        <v>0.11</v>
      </c>
      <c r="AO53">
        <f t="shared" si="4"/>
        <v>4.1666666666666664E-2</v>
      </c>
      <c r="AP53">
        <v>51</v>
      </c>
      <c r="AQ53" t="str">
        <f t="shared" si="5"/>
        <v>NA</v>
      </c>
      <c r="AR53" t="str">
        <f t="shared" si="12"/>
        <v>NA</v>
      </c>
      <c r="AS53" t="str">
        <f t="shared" si="11"/>
        <v>NA</v>
      </c>
      <c r="AT53" s="5" t="s">
        <v>446</v>
      </c>
      <c r="AU53" t="s">
        <v>303</v>
      </c>
      <c r="AX53" s="12">
        <v>0</v>
      </c>
      <c r="AY53">
        <v>29</v>
      </c>
      <c r="AZ53" t="s">
        <v>191</v>
      </c>
      <c r="BA53" t="s">
        <v>5</v>
      </c>
    </row>
    <row r="54" spans="1:53" x14ac:dyDescent="0.35">
      <c r="A54" t="s">
        <v>191</v>
      </c>
      <c r="B54">
        <v>1</v>
      </c>
      <c r="C54" t="s">
        <v>0</v>
      </c>
      <c r="D54" t="s">
        <v>4</v>
      </c>
      <c r="E54" t="s">
        <v>175</v>
      </c>
      <c r="F54" s="1" t="s">
        <v>190</v>
      </c>
      <c r="G54" t="s">
        <v>189</v>
      </c>
      <c r="H54">
        <v>5</v>
      </c>
      <c r="I54">
        <v>12</v>
      </c>
      <c r="J54">
        <v>26</v>
      </c>
      <c r="K54">
        <v>28</v>
      </c>
      <c r="L54">
        <v>10</v>
      </c>
      <c r="M54">
        <f t="shared" si="8"/>
        <v>38</v>
      </c>
      <c r="N54">
        <v>42</v>
      </c>
      <c r="O54">
        <v>2.09</v>
      </c>
      <c r="P54">
        <v>0.11</v>
      </c>
      <c r="Q54">
        <f t="shared" si="0"/>
        <v>1.0722427646674929E-2</v>
      </c>
      <c r="R54" s="6">
        <v>96</v>
      </c>
      <c r="S54">
        <v>0.56999999999999995</v>
      </c>
      <c r="T54">
        <f t="shared" si="1"/>
        <v>0.71</v>
      </c>
      <c r="U54">
        <v>0.85</v>
      </c>
      <c r="V54">
        <v>1.03</v>
      </c>
      <c r="W54">
        <f t="shared" si="9"/>
        <v>1.5449999999999999</v>
      </c>
      <c r="X54">
        <f t="shared" si="2"/>
        <v>3.09</v>
      </c>
      <c r="Y54">
        <v>0.65</v>
      </c>
      <c r="Z54">
        <v>17</v>
      </c>
      <c r="AA54">
        <v>17.7</v>
      </c>
      <c r="AB54">
        <v>73</v>
      </c>
      <c r="AC54">
        <v>2080.7999084448043</v>
      </c>
      <c r="AF54">
        <v>2272</v>
      </c>
      <c r="AG54">
        <v>15</v>
      </c>
      <c r="AH54" t="s">
        <v>21</v>
      </c>
      <c r="AI54">
        <v>2.4544179999999999E-3</v>
      </c>
      <c r="AJ54">
        <v>0</v>
      </c>
      <c r="AK54">
        <v>14</v>
      </c>
      <c r="AL54">
        <v>22</v>
      </c>
      <c r="AM54">
        <f t="shared" si="10"/>
        <v>8</v>
      </c>
      <c r="AN54">
        <v>0.11</v>
      </c>
      <c r="AO54">
        <f t="shared" si="4"/>
        <v>4.1666666666666664E-2</v>
      </c>
      <c r="AP54">
        <v>52</v>
      </c>
      <c r="AQ54">
        <f t="shared" si="5"/>
        <v>37.963183729999997</v>
      </c>
      <c r="AR54">
        <f t="shared" si="12"/>
        <v>3.6816269999999998E-2</v>
      </c>
      <c r="AS54">
        <f t="shared" si="11"/>
        <v>0.99631837300000003</v>
      </c>
      <c r="AU54" t="s">
        <v>303</v>
      </c>
      <c r="AX54" s="12">
        <v>0</v>
      </c>
      <c r="AY54">
        <v>29</v>
      </c>
      <c r="AZ54" t="s">
        <v>191</v>
      </c>
      <c r="BA54" t="s">
        <v>0</v>
      </c>
    </row>
    <row r="55" spans="1:53" x14ac:dyDescent="0.35">
      <c r="A55" t="s">
        <v>188</v>
      </c>
      <c r="B55">
        <v>1</v>
      </c>
      <c r="C55" t="s">
        <v>5</v>
      </c>
      <c r="D55" t="s">
        <v>4</v>
      </c>
      <c r="E55" t="s">
        <v>175</v>
      </c>
      <c r="F55" s="1" t="s">
        <v>190</v>
      </c>
      <c r="G55" t="s">
        <v>189</v>
      </c>
      <c r="H55">
        <v>5</v>
      </c>
      <c r="I55">
        <v>12</v>
      </c>
      <c r="J55">
        <v>26</v>
      </c>
      <c r="K55">
        <v>28</v>
      </c>
      <c r="L55">
        <v>10</v>
      </c>
      <c r="M55">
        <f t="shared" si="8"/>
        <v>38</v>
      </c>
      <c r="N55">
        <v>42</v>
      </c>
      <c r="O55">
        <v>2.09</v>
      </c>
      <c r="P55">
        <v>0.11</v>
      </c>
      <c r="Q55">
        <f t="shared" si="0"/>
        <v>1.0722427646674929E-2</v>
      </c>
      <c r="R55" s="6">
        <v>96</v>
      </c>
      <c r="S55">
        <v>0.56999999999999995</v>
      </c>
      <c r="T55">
        <f t="shared" si="1"/>
        <v>0.71</v>
      </c>
      <c r="U55">
        <v>0.85</v>
      </c>
      <c r="V55">
        <v>1.03</v>
      </c>
      <c r="W55">
        <f t="shared" si="9"/>
        <v>1.5449999999999999</v>
      </c>
      <c r="X55">
        <f t="shared" si="2"/>
        <v>3.09</v>
      </c>
      <c r="Y55">
        <v>0.65</v>
      </c>
      <c r="Z55">
        <v>17</v>
      </c>
      <c r="AA55">
        <v>17.7</v>
      </c>
      <c r="AB55">
        <v>73</v>
      </c>
      <c r="AC55">
        <f>Z55/AH55</f>
        <v>2080.7999084448043</v>
      </c>
      <c r="AF55">
        <v>2272</v>
      </c>
      <c r="AG55">
        <v>30</v>
      </c>
      <c r="AH55">
        <v>8.1699349999999997E-3</v>
      </c>
      <c r="AI55" t="s">
        <v>21</v>
      </c>
      <c r="AJ55">
        <v>1</v>
      </c>
      <c r="AK55">
        <v>16</v>
      </c>
      <c r="AL55">
        <v>327</v>
      </c>
      <c r="AM55">
        <f t="shared" si="10"/>
        <v>311</v>
      </c>
      <c r="AN55">
        <v>0.11</v>
      </c>
      <c r="AO55">
        <f t="shared" si="4"/>
        <v>1.6197916666666667</v>
      </c>
      <c r="AP55">
        <v>53</v>
      </c>
      <c r="AQ55" t="str">
        <f t="shared" si="5"/>
        <v>NA</v>
      </c>
      <c r="AR55" t="str">
        <f t="shared" si="12"/>
        <v>NA</v>
      </c>
      <c r="AS55" t="str">
        <f t="shared" si="11"/>
        <v>NA</v>
      </c>
      <c r="AU55" t="s">
        <v>303</v>
      </c>
      <c r="AX55" s="13">
        <v>1</v>
      </c>
      <c r="AY55">
        <v>30</v>
      </c>
      <c r="AZ55" t="s">
        <v>188</v>
      </c>
      <c r="BA55" t="s">
        <v>5</v>
      </c>
    </row>
    <row r="56" spans="1:53" x14ac:dyDescent="0.35">
      <c r="A56" t="s">
        <v>188</v>
      </c>
      <c r="B56">
        <v>1</v>
      </c>
      <c r="C56" t="s">
        <v>0</v>
      </c>
      <c r="D56" t="s">
        <v>4</v>
      </c>
      <c r="E56" t="s">
        <v>175</v>
      </c>
      <c r="F56" s="1" t="s">
        <v>190</v>
      </c>
      <c r="G56" t="s">
        <v>189</v>
      </c>
      <c r="H56">
        <v>5</v>
      </c>
      <c r="I56">
        <v>12</v>
      </c>
      <c r="J56">
        <v>26</v>
      </c>
      <c r="K56">
        <v>28</v>
      </c>
      <c r="L56">
        <v>10</v>
      </c>
      <c r="M56">
        <f t="shared" si="8"/>
        <v>38</v>
      </c>
      <c r="N56">
        <v>42</v>
      </c>
      <c r="O56">
        <v>2.09</v>
      </c>
      <c r="P56">
        <v>0.11</v>
      </c>
      <c r="Q56">
        <f t="shared" si="0"/>
        <v>1.0722427646674929E-2</v>
      </c>
      <c r="R56" s="6">
        <v>96</v>
      </c>
      <c r="S56">
        <v>0.56999999999999995</v>
      </c>
      <c r="T56">
        <f t="shared" si="1"/>
        <v>0.71</v>
      </c>
      <c r="U56">
        <v>0.85</v>
      </c>
      <c r="V56">
        <v>1.03</v>
      </c>
      <c r="W56">
        <f t="shared" si="9"/>
        <v>1.5449999999999999</v>
      </c>
      <c r="X56">
        <f t="shared" si="2"/>
        <v>3.09</v>
      </c>
      <c r="Y56">
        <v>0.65</v>
      </c>
      <c r="Z56">
        <v>17</v>
      </c>
      <c r="AA56">
        <v>17.7</v>
      </c>
      <c r="AB56">
        <v>73</v>
      </c>
      <c r="AC56">
        <v>2080.7999084448043</v>
      </c>
      <c r="AF56">
        <v>2272</v>
      </c>
      <c r="AG56">
        <v>428</v>
      </c>
      <c r="AH56" t="s">
        <v>21</v>
      </c>
      <c r="AI56">
        <v>2.4544179999999999E-3</v>
      </c>
      <c r="AJ56">
        <v>1</v>
      </c>
      <c r="AK56">
        <v>28</v>
      </c>
      <c r="AL56">
        <v>339</v>
      </c>
      <c r="AM56">
        <f t="shared" si="10"/>
        <v>311</v>
      </c>
      <c r="AN56">
        <v>0.11</v>
      </c>
      <c r="AO56">
        <f t="shared" si="4"/>
        <v>1.6197916666666667</v>
      </c>
      <c r="AP56">
        <v>54</v>
      </c>
      <c r="AQ56">
        <f t="shared" si="5"/>
        <v>36.949509096</v>
      </c>
      <c r="AR56">
        <f t="shared" si="12"/>
        <v>1.0504909039999999</v>
      </c>
      <c r="AS56">
        <f t="shared" si="11"/>
        <v>0.89495090960000001</v>
      </c>
      <c r="AU56" t="s">
        <v>303</v>
      </c>
      <c r="AX56" s="13">
        <v>1</v>
      </c>
      <c r="AY56">
        <v>30</v>
      </c>
      <c r="AZ56" t="s">
        <v>188</v>
      </c>
      <c r="BA56" t="s">
        <v>0</v>
      </c>
    </row>
    <row r="57" spans="1:53" x14ac:dyDescent="0.35">
      <c r="A57" t="s">
        <v>187</v>
      </c>
      <c r="B57">
        <v>1</v>
      </c>
      <c r="C57" t="s">
        <v>5</v>
      </c>
      <c r="D57" t="s">
        <v>4</v>
      </c>
      <c r="E57" t="s">
        <v>175</v>
      </c>
      <c r="F57" s="1" t="s">
        <v>182</v>
      </c>
      <c r="G57" t="s">
        <v>181</v>
      </c>
      <c r="H57">
        <v>6</v>
      </c>
      <c r="I57">
        <v>12</v>
      </c>
      <c r="J57">
        <v>12</v>
      </c>
      <c r="K57">
        <v>35</v>
      </c>
      <c r="L57">
        <v>9</v>
      </c>
      <c r="M57">
        <f t="shared" si="8"/>
        <v>44</v>
      </c>
      <c r="N57">
        <v>38</v>
      </c>
      <c r="O57">
        <v>5.78</v>
      </c>
      <c r="P57">
        <v>0.19</v>
      </c>
      <c r="Q57">
        <f t="shared" si="0"/>
        <v>8.8877443513604819E-3</v>
      </c>
      <c r="R57" s="6">
        <v>127</v>
      </c>
      <c r="S57">
        <v>0.92</v>
      </c>
      <c r="T57">
        <f t="shared" si="1"/>
        <v>1.05</v>
      </c>
      <c r="U57">
        <v>1.18</v>
      </c>
      <c r="V57">
        <v>1.45</v>
      </c>
      <c r="W57">
        <f t="shared" si="9"/>
        <v>2.1749999999999998</v>
      </c>
      <c r="X57">
        <f t="shared" si="2"/>
        <v>4.3499999999999996</v>
      </c>
      <c r="Y57">
        <v>0.65</v>
      </c>
      <c r="Z57">
        <v>17</v>
      </c>
      <c r="AA57">
        <v>17.7</v>
      </c>
      <c r="AB57">
        <v>71</v>
      </c>
      <c r="AC57">
        <f>Z57/AH57</f>
        <v>2075.9999145176507</v>
      </c>
      <c r="AF57">
        <v>2268</v>
      </c>
      <c r="AG57">
        <v>250</v>
      </c>
      <c r="AH57">
        <v>8.1888250000000003E-3</v>
      </c>
      <c r="AI57" t="s">
        <v>21</v>
      </c>
      <c r="AJ57">
        <v>1</v>
      </c>
      <c r="AK57">
        <v>24</v>
      </c>
      <c r="AL57">
        <v>196</v>
      </c>
      <c r="AM57">
        <f t="shared" si="10"/>
        <v>172</v>
      </c>
      <c r="AN57">
        <v>0.19</v>
      </c>
      <c r="AO57">
        <f t="shared" si="4"/>
        <v>0.67716535433070868</v>
      </c>
      <c r="AP57">
        <v>55</v>
      </c>
      <c r="AQ57" t="str">
        <f t="shared" si="5"/>
        <v>NA</v>
      </c>
      <c r="AR57" t="str">
        <f t="shared" si="12"/>
        <v>NA</v>
      </c>
      <c r="AS57" t="str">
        <f t="shared" si="11"/>
        <v>NA</v>
      </c>
      <c r="AT57" s="5" t="s">
        <v>414</v>
      </c>
      <c r="AU57" t="s">
        <v>303</v>
      </c>
      <c r="AX57" s="13">
        <v>1</v>
      </c>
      <c r="AY57">
        <v>31</v>
      </c>
      <c r="AZ57" t="s">
        <v>187</v>
      </c>
      <c r="BA57" t="s">
        <v>5</v>
      </c>
    </row>
    <row r="58" spans="1:53" x14ac:dyDescent="0.35">
      <c r="A58" t="s">
        <v>187</v>
      </c>
      <c r="B58">
        <v>1</v>
      </c>
      <c r="C58" t="s">
        <v>0</v>
      </c>
      <c r="D58" t="s">
        <v>4</v>
      </c>
      <c r="E58" t="s">
        <v>175</v>
      </c>
      <c r="F58" s="1" t="s">
        <v>182</v>
      </c>
      <c r="G58" t="s">
        <v>181</v>
      </c>
      <c r="H58">
        <v>6</v>
      </c>
      <c r="I58">
        <v>12</v>
      </c>
      <c r="J58">
        <v>12</v>
      </c>
      <c r="K58">
        <v>35</v>
      </c>
      <c r="L58">
        <v>9</v>
      </c>
      <c r="M58">
        <f t="shared" si="8"/>
        <v>44</v>
      </c>
      <c r="N58">
        <v>38</v>
      </c>
      <c r="O58">
        <v>5.78</v>
      </c>
      <c r="P58">
        <v>0.19</v>
      </c>
      <c r="Q58">
        <f t="shared" si="0"/>
        <v>8.8877443513604819E-3</v>
      </c>
      <c r="R58" s="6">
        <v>127</v>
      </c>
      <c r="S58">
        <v>0.92</v>
      </c>
      <c r="T58">
        <f t="shared" si="1"/>
        <v>1.05</v>
      </c>
      <c r="U58">
        <v>1.18</v>
      </c>
      <c r="V58">
        <v>1.45</v>
      </c>
      <c r="W58">
        <f t="shared" si="9"/>
        <v>2.1749999999999998</v>
      </c>
      <c r="X58">
        <f t="shared" si="2"/>
        <v>4.3499999999999996</v>
      </c>
      <c r="Y58">
        <v>0.65</v>
      </c>
      <c r="Z58">
        <v>17</v>
      </c>
      <c r="AA58">
        <v>17.7</v>
      </c>
      <c r="AB58">
        <v>71</v>
      </c>
      <c r="AC58">
        <v>2075.9999145176507</v>
      </c>
      <c r="AF58">
        <v>2268</v>
      </c>
      <c r="AG58">
        <v>1550</v>
      </c>
      <c r="AH58" t="s">
        <v>21</v>
      </c>
      <c r="AI58">
        <v>2.4544179999999999E-3</v>
      </c>
      <c r="AJ58">
        <v>1</v>
      </c>
      <c r="AK58">
        <v>59</v>
      </c>
      <c r="AL58">
        <v>231</v>
      </c>
      <c r="AM58">
        <f t="shared" si="10"/>
        <v>172</v>
      </c>
      <c r="AN58">
        <v>0.19</v>
      </c>
      <c r="AO58">
        <f t="shared" si="4"/>
        <v>0.67716535433070868</v>
      </c>
      <c r="AP58">
        <v>56</v>
      </c>
      <c r="AQ58">
        <f t="shared" si="5"/>
        <v>40.195652100000004</v>
      </c>
      <c r="AR58">
        <f t="shared" si="12"/>
        <v>3.8043478999999998</v>
      </c>
      <c r="AS58">
        <f t="shared" si="11"/>
        <v>0.57729467777777776</v>
      </c>
      <c r="AT58" s="7"/>
      <c r="AU58" t="s">
        <v>303</v>
      </c>
      <c r="AX58" s="13">
        <v>1</v>
      </c>
      <c r="AY58">
        <v>31</v>
      </c>
      <c r="AZ58" t="s">
        <v>187</v>
      </c>
      <c r="BA58" t="s">
        <v>0</v>
      </c>
    </row>
    <row r="59" spans="1:53" x14ac:dyDescent="0.35">
      <c r="A59" t="s">
        <v>186</v>
      </c>
      <c r="B59">
        <v>1</v>
      </c>
      <c r="C59" t="s">
        <v>5</v>
      </c>
      <c r="D59" t="s">
        <v>4</v>
      </c>
      <c r="E59" t="s">
        <v>175</v>
      </c>
      <c r="F59" s="1" t="s">
        <v>182</v>
      </c>
      <c r="G59" t="s">
        <v>181</v>
      </c>
      <c r="H59">
        <v>7</v>
      </c>
      <c r="I59">
        <v>12</v>
      </c>
      <c r="J59">
        <v>23</v>
      </c>
      <c r="K59">
        <v>32</v>
      </c>
      <c r="L59">
        <v>10</v>
      </c>
      <c r="M59">
        <f t="shared" si="8"/>
        <v>42</v>
      </c>
      <c r="N59">
        <v>38</v>
      </c>
      <c r="O59">
        <v>4.46</v>
      </c>
      <c r="P59">
        <v>0.16</v>
      </c>
      <c r="Q59">
        <f t="shared" si="0"/>
        <v>1.2129610655331595E-2</v>
      </c>
      <c r="R59" s="6">
        <v>97</v>
      </c>
      <c r="S59">
        <v>0.59</v>
      </c>
      <c r="T59">
        <f t="shared" si="1"/>
        <v>0.80499999999999994</v>
      </c>
      <c r="U59">
        <v>1.02</v>
      </c>
      <c r="V59">
        <v>1.1499999999999999</v>
      </c>
      <c r="W59">
        <f t="shared" si="9"/>
        <v>1.7249999999999999</v>
      </c>
      <c r="X59">
        <f t="shared" si="2"/>
        <v>3.4499999999999997</v>
      </c>
      <c r="Y59">
        <v>0.65</v>
      </c>
      <c r="Z59">
        <v>17</v>
      </c>
      <c r="AA59">
        <v>17.7</v>
      </c>
      <c r="AB59">
        <v>71</v>
      </c>
      <c r="AC59">
        <f>Z59/AH59</f>
        <v>2097.7999261574428</v>
      </c>
      <c r="AF59">
        <v>2282</v>
      </c>
      <c r="AG59">
        <v>70</v>
      </c>
      <c r="AH59">
        <v>8.1037279999999993E-3</v>
      </c>
      <c r="AI59" t="s">
        <v>21</v>
      </c>
      <c r="AJ59">
        <v>0</v>
      </c>
      <c r="AK59">
        <v>23</v>
      </c>
      <c r="AL59">
        <v>58</v>
      </c>
      <c r="AM59">
        <f t="shared" si="10"/>
        <v>35</v>
      </c>
      <c r="AN59">
        <v>0.16</v>
      </c>
      <c r="AO59">
        <f t="shared" si="4"/>
        <v>0.18041237113402062</v>
      </c>
      <c r="AP59">
        <v>57</v>
      </c>
      <c r="AQ59" t="str">
        <f t="shared" si="5"/>
        <v>NA</v>
      </c>
      <c r="AR59" t="str">
        <f t="shared" si="12"/>
        <v>NA</v>
      </c>
      <c r="AS59" t="str">
        <f t="shared" si="11"/>
        <v>NA</v>
      </c>
      <c r="AT59" s="7"/>
      <c r="AU59" t="s">
        <v>311</v>
      </c>
      <c r="AV59" t="s">
        <v>21</v>
      </c>
      <c r="AX59" s="14">
        <v>0</v>
      </c>
      <c r="AY59">
        <v>32</v>
      </c>
      <c r="AZ59" t="s">
        <v>186</v>
      </c>
      <c r="BA59" t="s">
        <v>5</v>
      </c>
    </row>
    <row r="60" spans="1:53" x14ac:dyDescent="0.35">
      <c r="A60" t="s">
        <v>186</v>
      </c>
      <c r="B60">
        <v>1</v>
      </c>
      <c r="C60" t="s">
        <v>0</v>
      </c>
      <c r="D60" t="s">
        <v>4</v>
      </c>
      <c r="E60" t="s">
        <v>175</v>
      </c>
      <c r="F60" s="1" t="s">
        <v>182</v>
      </c>
      <c r="G60" t="s">
        <v>181</v>
      </c>
      <c r="H60">
        <v>7</v>
      </c>
      <c r="I60">
        <v>12</v>
      </c>
      <c r="J60">
        <v>23</v>
      </c>
      <c r="K60">
        <v>32</v>
      </c>
      <c r="L60">
        <v>10</v>
      </c>
      <c r="M60">
        <f t="shared" si="8"/>
        <v>42</v>
      </c>
      <c r="N60">
        <v>38</v>
      </c>
      <c r="O60">
        <v>4.46</v>
      </c>
      <c r="P60">
        <v>0.16</v>
      </c>
      <c r="Q60">
        <f t="shared" si="0"/>
        <v>1.2129610655331595E-2</v>
      </c>
      <c r="R60" s="6">
        <v>97</v>
      </c>
      <c r="S60">
        <v>0.59</v>
      </c>
      <c r="T60">
        <f t="shared" si="1"/>
        <v>0.80499999999999994</v>
      </c>
      <c r="U60">
        <v>1.02</v>
      </c>
      <c r="V60">
        <v>1.1499999999999999</v>
      </c>
      <c r="W60">
        <f t="shared" si="9"/>
        <v>1.7249999999999999</v>
      </c>
      <c r="X60">
        <f t="shared" si="2"/>
        <v>3.4499999999999997</v>
      </c>
      <c r="Y60">
        <v>0.65</v>
      </c>
      <c r="Z60">
        <v>17</v>
      </c>
      <c r="AA60">
        <v>17.7</v>
      </c>
      <c r="AB60">
        <v>71</v>
      </c>
      <c r="AC60">
        <v>2097.7999261574428</v>
      </c>
      <c r="AF60">
        <v>2282</v>
      </c>
      <c r="AG60">
        <v>490</v>
      </c>
      <c r="AH60" t="s">
        <v>21</v>
      </c>
      <c r="AI60">
        <v>2.6355419999999998E-3</v>
      </c>
      <c r="AJ60">
        <v>0</v>
      </c>
      <c r="AK60">
        <v>3</v>
      </c>
      <c r="AL60">
        <v>38</v>
      </c>
      <c r="AM60">
        <f t="shared" si="10"/>
        <v>35</v>
      </c>
      <c r="AN60">
        <v>0.16</v>
      </c>
      <c r="AO60">
        <f t="shared" si="4"/>
        <v>0.18041237113402062</v>
      </c>
      <c r="AP60">
        <v>58</v>
      </c>
      <c r="AQ60">
        <f t="shared" si="5"/>
        <v>40.708584420000001</v>
      </c>
      <c r="AR60">
        <f t="shared" si="12"/>
        <v>1.29141558</v>
      </c>
      <c r="AS60">
        <f t="shared" si="11"/>
        <v>0.87085844199999995</v>
      </c>
      <c r="AT60" s="7"/>
      <c r="AU60" t="s">
        <v>311</v>
      </c>
      <c r="AV60" t="s">
        <v>21</v>
      </c>
      <c r="AX60" s="14">
        <v>0</v>
      </c>
      <c r="AY60">
        <v>32</v>
      </c>
      <c r="AZ60" t="s">
        <v>186</v>
      </c>
      <c r="BA60" t="s">
        <v>0</v>
      </c>
    </row>
    <row r="61" spans="1:53" x14ac:dyDescent="0.35">
      <c r="A61" t="s">
        <v>185</v>
      </c>
      <c r="B61">
        <v>1</v>
      </c>
      <c r="C61" t="s">
        <v>5</v>
      </c>
      <c r="D61" t="s">
        <v>4</v>
      </c>
      <c r="E61" t="s">
        <v>175</v>
      </c>
      <c r="F61" s="1" t="s">
        <v>182</v>
      </c>
      <c r="G61" t="s">
        <v>181</v>
      </c>
      <c r="H61">
        <v>7</v>
      </c>
      <c r="I61">
        <v>12</v>
      </c>
      <c r="J61">
        <v>23</v>
      </c>
      <c r="K61">
        <v>32</v>
      </c>
      <c r="L61">
        <v>10</v>
      </c>
      <c r="M61">
        <f t="shared" si="8"/>
        <v>42</v>
      </c>
      <c r="N61">
        <v>38</v>
      </c>
      <c r="O61">
        <v>4.46</v>
      </c>
      <c r="P61">
        <v>0.16</v>
      </c>
      <c r="Q61">
        <f t="shared" si="0"/>
        <v>1.2129610655331595E-2</v>
      </c>
      <c r="R61" s="6">
        <v>97</v>
      </c>
      <c r="S61">
        <v>0.59</v>
      </c>
      <c r="T61">
        <f t="shared" si="1"/>
        <v>0.80499999999999994</v>
      </c>
      <c r="U61">
        <v>1.02</v>
      </c>
      <c r="V61">
        <v>1.1499999999999999</v>
      </c>
      <c r="W61">
        <f t="shared" si="9"/>
        <v>1.7249999999999999</v>
      </c>
      <c r="X61">
        <f t="shared" si="2"/>
        <v>3.4499999999999997</v>
      </c>
      <c r="Y61">
        <v>0.65</v>
      </c>
      <c r="Z61">
        <v>17</v>
      </c>
      <c r="AA61">
        <v>17.7</v>
      </c>
      <c r="AB61">
        <v>71</v>
      </c>
      <c r="AC61">
        <f>Z61/AH61</f>
        <v>2097.7999261574428</v>
      </c>
      <c r="AF61">
        <v>2282</v>
      </c>
      <c r="AG61">
        <v>90</v>
      </c>
      <c r="AH61">
        <v>8.1037279999999993E-3</v>
      </c>
      <c r="AI61" t="s">
        <v>21</v>
      </c>
      <c r="AJ61">
        <v>0</v>
      </c>
      <c r="AK61">
        <v>10</v>
      </c>
      <c r="AL61">
        <v>202</v>
      </c>
      <c r="AM61">
        <f t="shared" si="10"/>
        <v>192</v>
      </c>
      <c r="AN61">
        <v>0.16</v>
      </c>
      <c r="AO61">
        <f t="shared" si="4"/>
        <v>0.98969072164948457</v>
      </c>
      <c r="AP61">
        <v>59</v>
      </c>
      <c r="AQ61" t="str">
        <f t="shared" si="5"/>
        <v>NA</v>
      </c>
      <c r="AR61" t="str">
        <f t="shared" si="12"/>
        <v>NA</v>
      </c>
      <c r="AS61" t="str">
        <f t="shared" si="11"/>
        <v>NA</v>
      </c>
      <c r="AT61" s="7"/>
      <c r="AU61" t="s">
        <v>303</v>
      </c>
      <c r="AX61" s="12">
        <v>0</v>
      </c>
      <c r="AY61">
        <v>33</v>
      </c>
      <c r="AZ61" t="s">
        <v>185</v>
      </c>
      <c r="BA61" t="s">
        <v>5</v>
      </c>
    </row>
    <row r="62" spans="1:53" x14ac:dyDescent="0.35">
      <c r="A62" t="s">
        <v>185</v>
      </c>
      <c r="B62">
        <v>1</v>
      </c>
      <c r="C62" t="s">
        <v>0</v>
      </c>
      <c r="D62" t="s">
        <v>4</v>
      </c>
      <c r="E62" t="s">
        <v>175</v>
      </c>
      <c r="F62" s="1" t="s">
        <v>182</v>
      </c>
      <c r="G62" t="s">
        <v>181</v>
      </c>
      <c r="H62">
        <v>7</v>
      </c>
      <c r="I62">
        <v>12</v>
      </c>
      <c r="J62">
        <v>23</v>
      </c>
      <c r="K62">
        <v>32</v>
      </c>
      <c r="L62">
        <v>10</v>
      </c>
      <c r="M62">
        <f t="shared" si="8"/>
        <v>42</v>
      </c>
      <c r="N62">
        <v>38</v>
      </c>
      <c r="O62">
        <v>4.46</v>
      </c>
      <c r="P62">
        <v>0.16</v>
      </c>
      <c r="Q62">
        <f t="shared" si="0"/>
        <v>1.2129610655331595E-2</v>
      </c>
      <c r="R62" s="6">
        <v>97</v>
      </c>
      <c r="S62">
        <v>0.59</v>
      </c>
      <c r="T62">
        <f t="shared" si="1"/>
        <v>0.80499999999999994</v>
      </c>
      <c r="U62">
        <v>1.02</v>
      </c>
      <c r="V62">
        <v>1.1499999999999999</v>
      </c>
      <c r="W62">
        <f t="shared" si="9"/>
        <v>1.7249999999999999</v>
      </c>
      <c r="X62">
        <f t="shared" si="2"/>
        <v>3.4499999999999997</v>
      </c>
      <c r="Y62">
        <v>0.65</v>
      </c>
      <c r="Z62">
        <v>17</v>
      </c>
      <c r="AA62">
        <v>17.7</v>
      </c>
      <c r="AB62">
        <v>71</v>
      </c>
      <c r="AC62">
        <v>2097.7999261574428</v>
      </c>
      <c r="AF62">
        <v>2282</v>
      </c>
      <c r="AG62">
        <v>380</v>
      </c>
      <c r="AH62" t="s">
        <v>21</v>
      </c>
      <c r="AI62">
        <v>2.6355419999999998E-3</v>
      </c>
      <c r="AJ62">
        <v>0</v>
      </c>
      <c r="AK62">
        <v>42</v>
      </c>
      <c r="AL62">
        <v>234</v>
      </c>
      <c r="AM62">
        <f t="shared" si="10"/>
        <v>192</v>
      </c>
      <c r="AN62">
        <v>0.16</v>
      </c>
      <c r="AO62">
        <f t="shared" si="4"/>
        <v>0.98969072164948457</v>
      </c>
      <c r="AP62">
        <v>60</v>
      </c>
      <c r="AQ62">
        <f t="shared" si="5"/>
        <v>40.998494039999997</v>
      </c>
      <c r="AR62">
        <f t="shared" si="12"/>
        <v>1.00150596</v>
      </c>
      <c r="AS62">
        <f t="shared" si="11"/>
        <v>0.89984940400000002</v>
      </c>
      <c r="AT62" s="7"/>
      <c r="AU62" t="s">
        <v>303</v>
      </c>
      <c r="AX62" s="12">
        <v>0</v>
      </c>
      <c r="AY62">
        <v>33</v>
      </c>
      <c r="AZ62" t="s">
        <v>185</v>
      </c>
      <c r="BA62" t="s">
        <v>0</v>
      </c>
    </row>
    <row r="63" spans="1:53" x14ac:dyDescent="0.35">
      <c r="A63" t="s">
        <v>184</v>
      </c>
      <c r="B63">
        <v>1</v>
      </c>
      <c r="C63" t="s">
        <v>5</v>
      </c>
      <c r="D63" t="s">
        <v>4</v>
      </c>
      <c r="E63" t="s">
        <v>175</v>
      </c>
      <c r="F63" s="1" t="s">
        <v>182</v>
      </c>
      <c r="G63" t="s">
        <v>181</v>
      </c>
      <c r="H63">
        <v>7</v>
      </c>
      <c r="I63">
        <v>12</v>
      </c>
      <c r="J63">
        <v>23</v>
      </c>
      <c r="K63">
        <v>32</v>
      </c>
      <c r="L63">
        <v>10</v>
      </c>
      <c r="M63">
        <f t="shared" si="8"/>
        <v>42</v>
      </c>
      <c r="N63">
        <v>38</v>
      </c>
      <c r="O63">
        <v>4.46</v>
      </c>
      <c r="P63">
        <v>0.16</v>
      </c>
      <c r="Q63">
        <f t="shared" si="0"/>
        <v>1.2129610655331595E-2</v>
      </c>
      <c r="R63" s="6">
        <v>97</v>
      </c>
      <c r="S63">
        <v>0.59</v>
      </c>
      <c r="T63">
        <f t="shared" si="1"/>
        <v>0.80499999999999994</v>
      </c>
      <c r="U63">
        <v>1.02</v>
      </c>
      <c r="V63">
        <v>1.1499999999999999</v>
      </c>
      <c r="W63">
        <f t="shared" si="9"/>
        <v>1.7249999999999999</v>
      </c>
      <c r="X63">
        <f t="shared" si="2"/>
        <v>3.4499999999999997</v>
      </c>
      <c r="Y63">
        <v>0.65</v>
      </c>
      <c r="Z63">
        <v>17</v>
      </c>
      <c r="AA63">
        <v>17.7</v>
      </c>
      <c r="AB63">
        <v>71</v>
      </c>
      <c r="AC63">
        <f>Z63/AH63</f>
        <v>2097.7999261574428</v>
      </c>
      <c r="AF63">
        <v>2282</v>
      </c>
      <c r="AG63">
        <v>40</v>
      </c>
      <c r="AH63">
        <v>8.1037279999999993E-3</v>
      </c>
      <c r="AI63" t="s">
        <v>21</v>
      </c>
      <c r="AJ63">
        <v>0</v>
      </c>
      <c r="AK63">
        <v>10</v>
      </c>
      <c r="AL63">
        <v>82</v>
      </c>
      <c r="AM63">
        <f t="shared" si="10"/>
        <v>72</v>
      </c>
      <c r="AN63">
        <v>0.16</v>
      </c>
      <c r="AO63">
        <f t="shared" si="4"/>
        <v>0.37113402061855671</v>
      </c>
      <c r="AP63">
        <v>61</v>
      </c>
      <c r="AQ63" t="str">
        <f t="shared" si="5"/>
        <v>NA</v>
      </c>
      <c r="AR63" t="str">
        <f t="shared" si="12"/>
        <v>NA</v>
      </c>
      <c r="AS63" t="str">
        <f t="shared" si="11"/>
        <v>NA</v>
      </c>
      <c r="AT63" s="7"/>
      <c r="AU63" t="s">
        <v>303</v>
      </c>
      <c r="AX63" s="12">
        <v>0</v>
      </c>
      <c r="AY63">
        <v>34</v>
      </c>
      <c r="AZ63" t="s">
        <v>184</v>
      </c>
      <c r="BA63" t="s">
        <v>5</v>
      </c>
    </row>
    <row r="64" spans="1:53" x14ac:dyDescent="0.35">
      <c r="A64" t="s">
        <v>184</v>
      </c>
      <c r="B64">
        <v>1</v>
      </c>
      <c r="C64" t="s">
        <v>0</v>
      </c>
      <c r="D64" t="s">
        <v>4</v>
      </c>
      <c r="E64" t="s">
        <v>175</v>
      </c>
      <c r="F64" s="1" t="s">
        <v>182</v>
      </c>
      <c r="G64" t="s">
        <v>181</v>
      </c>
      <c r="H64">
        <v>7</v>
      </c>
      <c r="I64">
        <v>12</v>
      </c>
      <c r="J64">
        <v>23</v>
      </c>
      <c r="K64">
        <v>32</v>
      </c>
      <c r="L64">
        <v>10</v>
      </c>
      <c r="M64">
        <f t="shared" si="8"/>
        <v>42</v>
      </c>
      <c r="N64">
        <v>38</v>
      </c>
      <c r="O64">
        <v>4.46</v>
      </c>
      <c r="P64">
        <v>0.16</v>
      </c>
      <c r="Q64">
        <f t="shared" si="0"/>
        <v>1.2129610655331595E-2</v>
      </c>
      <c r="R64" s="6">
        <v>97</v>
      </c>
      <c r="S64">
        <v>0.59</v>
      </c>
      <c r="T64">
        <f t="shared" si="1"/>
        <v>0.80499999999999994</v>
      </c>
      <c r="U64">
        <v>1.02</v>
      </c>
      <c r="V64">
        <v>1.1499999999999999</v>
      </c>
      <c r="W64">
        <f t="shared" si="9"/>
        <v>1.7249999999999999</v>
      </c>
      <c r="X64">
        <f t="shared" si="2"/>
        <v>3.4499999999999997</v>
      </c>
      <c r="Y64">
        <v>0.65</v>
      </c>
      <c r="Z64">
        <v>17</v>
      </c>
      <c r="AA64">
        <v>17.7</v>
      </c>
      <c r="AB64">
        <v>71</v>
      </c>
      <c r="AC64">
        <v>2097.7999261574428</v>
      </c>
      <c r="AF64">
        <v>2282</v>
      </c>
      <c r="AG64">
        <v>480</v>
      </c>
      <c r="AH64" t="s">
        <v>21</v>
      </c>
      <c r="AI64">
        <v>2.6355419999999998E-3</v>
      </c>
      <c r="AJ64">
        <v>0</v>
      </c>
      <c r="AK64">
        <v>10</v>
      </c>
      <c r="AL64">
        <v>82</v>
      </c>
      <c r="AM64">
        <f t="shared" si="10"/>
        <v>72</v>
      </c>
      <c r="AN64">
        <v>0.16</v>
      </c>
      <c r="AO64">
        <f t="shared" si="4"/>
        <v>0.37113402061855671</v>
      </c>
      <c r="AP64">
        <v>62</v>
      </c>
      <c r="AQ64">
        <f t="shared" si="5"/>
        <v>40.734939840000003</v>
      </c>
      <c r="AR64">
        <f t="shared" si="12"/>
        <v>1.26506016</v>
      </c>
      <c r="AS64">
        <f t="shared" si="11"/>
        <v>0.87349398399999989</v>
      </c>
      <c r="AU64" t="s">
        <v>303</v>
      </c>
      <c r="AX64" s="12">
        <v>0</v>
      </c>
      <c r="AY64">
        <v>34</v>
      </c>
      <c r="AZ64" t="s">
        <v>184</v>
      </c>
      <c r="BA64" t="s">
        <v>0</v>
      </c>
    </row>
    <row r="65" spans="1:53" x14ac:dyDescent="0.35">
      <c r="A65" t="s">
        <v>183</v>
      </c>
      <c r="B65">
        <v>1</v>
      </c>
      <c r="C65" t="s">
        <v>5</v>
      </c>
      <c r="D65" t="s">
        <v>4</v>
      </c>
      <c r="E65" t="s">
        <v>175</v>
      </c>
      <c r="F65" s="1" t="s">
        <v>182</v>
      </c>
      <c r="G65" t="s">
        <v>181</v>
      </c>
      <c r="H65">
        <v>7</v>
      </c>
      <c r="I65">
        <v>12</v>
      </c>
      <c r="J65">
        <v>23</v>
      </c>
      <c r="K65">
        <v>32</v>
      </c>
      <c r="L65">
        <v>10</v>
      </c>
      <c r="M65">
        <f t="shared" si="8"/>
        <v>42</v>
      </c>
      <c r="N65">
        <v>38</v>
      </c>
      <c r="O65">
        <v>4.46</v>
      </c>
      <c r="P65">
        <v>0.16</v>
      </c>
      <c r="Q65">
        <f t="shared" si="0"/>
        <v>1.2129610655331595E-2</v>
      </c>
      <c r="R65" s="6">
        <v>97</v>
      </c>
      <c r="S65">
        <v>0.59</v>
      </c>
      <c r="T65">
        <f t="shared" si="1"/>
        <v>0.80499999999999994</v>
      </c>
      <c r="U65">
        <v>1.02</v>
      </c>
      <c r="V65">
        <v>1.1499999999999999</v>
      </c>
      <c r="W65">
        <f t="shared" si="9"/>
        <v>1.7249999999999999</v>
      </c>
      <c r="X65">
        <f t="shared" si="2"/>
        <v>3.4499999999999997</v>
      </c>
      <c r="Y65">
        <v>0.65</v>
      </c>
      <c r="Z65">
        <v>17</v>
      </c>
      <c r="AA65">
        <v>17.7</v>
      </c>
      <c r="AB65">
        <v>71</v>
      </c>
      <c r="AC65">
        <f>Z65/AH65</f>
        <v>2097.7999261574428</v>
      </c>
      <c r="AF65">
        <v>2282</v>
      </c>
      <c r="AG65">
        <v>120</v>
      </c>
      <c r="AH65">
        <v>8.1037279999999993E-3</v>
      </c>
      <c r="AI65" t="s">
        <v>21</v>
      </c>
      <c r="AJ65">
        <v>1</v>
      </c>
      <c r="AK65">
        <v>17</v>
      </c>
      <c r="AL65">
        <v>225</v>
      </c>
      <c r="AM65">
        <f t="shared" si="10"/>
        <v>208</v>
      </c>
      <c r="AN65">
        <v>0.16</v>
      </c>
      <c r="AO65">
        <f t="shared" si="4"/>
        <v>1.0721649484536082</v>
      </c>
      <c r="AP65">
        <v>63</v>
      </c>
      <c r="AQ65" t="str">
        <f t="shared" si="5"/>
        <v>NA</v>
      </c>
      <c r="AR65" t="str">
        <f t="shared" si="12"/>
        <v>NA</v>
      </c>
      <c r="AS65" t="str">
        <f t="shared" si="11"/>
        <v>NA</v>
      </c>
      <c r="AU65" t="s">
        <v>303</v>
      </c>
      <c r="AX65" s="13">
        <v>1</v>
      </c>
      <c r="AY65">
        <v>35</v>
      </c>
      <c r="AZ65" t="s">
        <v>183</v>
      </c>
      <c r="BA65" t="s">
        <v>5</v>
      </c>
    </row>
    <row r="66" spans="1:53" x14ac:dyDescent="0.35">
      <c r="A66" t="s">
        <v>183</v>
      </c>
      <c r="B66">
        <v>1</v>
      </c>
      <c r="C66" t="s">
        <v>0</v>
      </c>
      <c r="D66" t="s">
        <v>4</v>
      </c>
      <c r="E66" t="s">
        <v>175</v>
      </c>
      <c r="F66" s="1" t="s">
        <v>182</v>
      </c>
      <c r="G66" t="s">
        <v>181</v>
      </c>
      <c r="H66">
        <v>7</v>
      </c>
      <c r="I66">
        <v>12</v>
      </c>
      <c r="J66">
        <v>23</v>
      </c>
      <c r="K66">
        <v>32</v>
      </c>
      <c r="L66">
        <v>10</v>
      </c>
      <c r="M66">
        <f t="shared" si="8"/>
        <v>42</v>
      </c>
      <c r="N66">
        <v>38</v>
      </c>
      <c r="O66">
        <v>4.46</v>
      </c>
      <c r="P66">
        <v>0.16</v>
      </c>
      <c r="Q66">
        <f t="shared" ref="Q66:Q130" si="13">P66/(PI()*(5*(S66/2)^2+5*(T66/2)^2+5*(U66/2)^2+5*(V66/2)^2))</f>
        <v>1.2129610655331595E-2</v>
      </c>
      <c r="R66" s="6">
        <v>97</v>
      </c>
      <c r="S66">
        <v>0.59</v>
      </c>
      <c r="T66">
        <f t="shared" ref="T66:T130" si="14">AVERAGE(S66,U66)</f>
        <v>0.80499999999999994</v>
      </c>
      <c r="U66">
        <v>1.02</v>
      </c>
      <c r="V66">
        <v>1.1499999999999999</v>
      </c>
      <c r="W66">
        <f t="shared" si="9"/>
        <v>1.7249999999999999</v>
      </c>
      <c r="X66">
        <f t="shared" ref="X66:X130" si="15">W66*2</f>
        <v>3.4499999999999997</v>
      </c>
      <c r="Y66">
        <v>0.65</v>
      </c>
      <c r="Z66">
        <v>17</v>
      </c>
      <c r="AA66">
        <v>17.7</v>
      </c>
      <c r="AB66">
        <v>71</v>
      </c>
      <c r="AC66">
        <v>2097.7999261574428</v>
      </c>
      <c r="AF66">
        <v>2282</v>
      </c>
      <c r="AG66">
        <v>472</v>
      </c>
      <c r="AH66" t="s">
        <v>21</v>
      </c>
      <c r="AI66">
        <v>2.6355419999999998E-3</v>
      </c>
      <c r="AJ66">
        <v>1</v>
      </c>
      <c r="AK66">
        <v>19</v>
      </c>
      <c r="AL66">
        <v>227</v>
      </c>
      <c r="AM66">
        <f t="shared" si="10"/>
        <v>208</v>
      </c>
      <c r="AN66">
        <v>0.16</v>
      </c>
      <c r="AO66">
        <f t="shared" ref="AO66:AO129" si="16">(AL66-AK66)/(2*R66)</f>
        <v>1.0721649484536082</v>
      </c>
      <c r="AP66">
        <v>64</v>
      </c>
      <c r="AQ66">
        <f t="shared" ref="AQ66:AQ129" si="17">IF(AI66&lt;&gt;"NA",K66+L66-AG66*AI66,"NA")</f>
        <v>40.756024175999997</v>
      </c>
      <c r="AR66">
        <f t="shared" ref="AR66:AR75" si="18">IF(AI66&lt;&gt;"NA",AG66*AI66,"NA")</f>
        <v>1.2439758239999998</v>
      </c>
      <c r="AS66">
        <f t="shared" si="11"/>
        <v>0.87560241760000002</v>
      </c>
      <c r="AU66" t="s">
        <v>303</v>
      </c>
      <c r="AX66" s="13">
        <v>1</v>
      </c>
      <c r="AY66">
        <v>35</v>
      </c>
      <c r="AZ66" t="s">
        <v>183</v>
      </c>
      <c r="BA66" t="s">
        <v>0</v>
      </c>
    </row>
    <row r="67" spans="1:53" x14ac:dyDescent="0.35">
      <c r="A67" t="s">
        <v>180</v>
      </c>
      <c r="B67">
        <v>1</v>
      </c>
      <c r="C67" t="s">
        <v>5</v>
      </c>
      <c r="D67" t="s">
        <v>4</v>
      </c>
      <c r="E67" t="s">
        <v>175</v>
      </c>
      <c r="F67" s="1" t="s">
        <v>182</v>
      </c>
      <c r="G67" t="s">
        <v>181</v>
      </c>
      <c r="H67">
        <v>7</v>
      </c>
      <c r="I67">
        <v>12</v>
      </c>
      <c r="J67">
        <v>24</v>
      </c>
      <c r="K67">
        <v>30</v>
      </c>
      <c r="L67">
        <v>10</v>
      </c>
      <c r="M67">
        <f t="shared" ref="M67:M131" si="19">K67+L67</f>
        <v>40</v>
      </c>
      <c r="N67">
        <v>38</v>
      </c>
      <c r="P67">
        <v>0.2</v>
      </c>
      <c r="Q67">
        <f t="shared" si="13"/>
        <v>1.3915186281258606E-2</v>
      </c>
      <c r="R67" s="6">
        <v>120</v>
      </c>
      <c r="S67">
        <v>0.8</v>
      </c>
      <c r="T67">
        <f t="shared" si="14"/>
        <v>0.9</v>
      </c>
      <c r="U67">
        <v>1</v>
      </c>
      <c r="V67">
        <v>1.1000000000000001</v>
      </c>
      <c r="W67">
        <f t="shared" ref="W67:W131" si="20">V67*1.5</f>
        <v>1.6500000000000001</v>
      </c>
      <c r="X67">
        <f t="shared" si="15"/>
        <v>3.3000000000000003</v>
      </c>
      <c r="Y67">
        <v>0.65</v>
      </c>
      <c r="Z67">
        <v>17</v>
      </c>
      <c r="AA67">
        <v>17.7</v>
      </c>
      <c r="AB67">
        <v>74</v>
      </c>
      <c r="AC67">
        <f>Z67/AH67</f>
        <v>2097.7999261574428</v>
      </c>
      <c r="AF67">
        <v>2282</v>
      </c>
      <c r="AG67">
        <v>120</v>
      </c>
      <c r="AH67">
        <v>8.1037279999999993E-3</v>
      </c>
      <c r="AI67" t="s">
        <v>21</v>
      </c>
      <c r="AJ67">
        <v>1</v>
      </c>
      <c r="AK67">
        <v>381</v>
      </c>
      <c r="AL67">
        <v>381</v>
      </c>
      <c r="AM67">
        <f t="shared" ref="AM67:AM130" si="21">AL67-AK67</f>
        <v>0</v>
      </c>
      <c r="AN67">
        <v>0.2</v>
      </c>
      <c r="AO67">
        <f t="shared" si="16"/>
        <v>0</v>
      </c>
      <c r="AP67">
        <v>65</v>
      </c>
      <c r="AQ67" t="str">
        <f t="shared" si="17"/>
        <v>NA</v>
      </c>
      <c r="AR67" t="str">
        <f t="shared" si="18"/>
        <v>NA</v>
      </c>
      <c r="AS67" t="str">
        <f t="shared" si="11"/>
        <v>NA</v>
      </c>
      <c r="AU67" t="s">
        <v>311</v>
      </c>
      <c r="AV67" t="s">
        <v>21</v>
      </c>
      <c r="AX67" s="14">
        <v>1</v>
      </c>
      <c r="AY67">
        <v>36</v>
      </c>
      <c r="AZ67" t="s">
        <v>180</v>
      </c>
      <c r="BA67" t="s">
        <v>5</v>
      </c>
    </row>
    <row r="68" spans="1:53" x14ac:dyDescent="0.35">
      <c r="A68" t="s">
        <v>180</v>
      </c>
      <c r="B68">
        <v>1</v>
      </c>
      <c r="C68" t="s">
        <v>0</v>
      </c>
      <c r="D68" t="s">
        <v>4</v>
      </c>
      <c r="E68" t="s">
        <v>175</v>
      </c>
      <c r="F68" s="1" t="s">
        <v>182</v>
      </c>
      <c r="G68" t="s">
        <v>181</v>
      </c>
      <c r="H68">
        <v>7</v>
      </c>
      <c r="I68">
        <v>12</v>
      </c>
      <c r="J68">
        <v>24</v>
      </c>
      <c r="K68">
        <v>30</v>
      </c>
      <c r="L68">
        <v>10</v>
      </c>
      <c r="M68">
        <f t="shared" si="19"/>
        <v>40</v>
      </c>
      <c r="N68">
        <v>38</v>
      </c>
      <c r="P68">
        <v>0.2</v>
      </c>
      <c r="Q68">
        <f t="shared" si="13"/>
        <v>1.3915186281258606E-2</v>
      </c>
      <c r="R68" s="6">
        <v>120</v>
      </c>
      <c r="S68">
        <v>0.8</v>
      </c>
      <c r="T68">
        <f t="shared" si="14"/>
        <v>0.9</v>
      </c>
      <c r="U68">
        <v>1</v>
      </c>
      <c r="V68">
        <v>1.1000000000000001</v>
      </c>
      <c r="W68">
        <f t="shared" si="20"/>
        <v>1.6500000000000001</v>
      </c>
      <c r="X68">
        <f t="shared" si="15"/>
        <v>3.3000000000000003</v>
      </c>
      <c r="Y68">
        <v>0.65</v>
      </c>
      <c r="Z68">
        <v>17</v>
      </c>
      <c r="AA68">
        <v>17.7</v>
      </c>
      <c r="AB68">
        <v>74</v>
      </c>
      <c r="AC68">
        <v>2097.7999261574428</v>
      </c>
      <c r="AF68">
        <v>2282</v>
      </c>
      <c r="AG68">
        <v>500</v>
      </c>
      <c r="AH68" t="s">
        <v>21</v>
      </c>
      <c r="AI68">
        <v>2.6355419999999998E-3</v>
      </c>
      <c r="AJ68">
        <v>1</v>
      </c>
      <c r="AK68">
        <v>320</v>
      </c>
      <c r="AL68">
        <v>320</v>
      </c>
      <c r="AM68">
        <f t="shared" si="21"/>
        <v>0</v>
      </c>
      <c r="AN68">
        <v>0.2</v>
      </c>
      <c r="AO68">
        <f t="shared" si="16"/>
        <v>0</v>
      </c>
      <c r="AP68">
        <v>66</v>
      </c>
      <c r="AQ68">
        <f t="shared" si="17"/>
        <v>38.682229</v>
      </c>
      <c r="AR68">
        <f t="shared" si="18"/>
        <v>1.317771</v>
      </c>
      <c r="AS68">
        <f t="shared" si="11"/>
        <v>0.86822289999999991</v>
      </c>
      <c r="AU68" t="s">
        <v>311</v>
      </c>
      <c r="AV68" t="s">
        <v>21</v>
      </c>
      <c r="AX68" s="14">
        <v>1</v>
      </c>
      <c r="AY68">
        <v>36</v>
      </c>
      <c r="AZ68" t="s">
        <v>180</v>
      </c>
      <c r="BA68" t="s">
        <v>0</v>
      </c>
    </row>
    <row r="69" spans="1:53" x14ac:dyDescent="0.35">
      <c r="A69" t="s">
        <v>178</v>
      </c>
      <c r="B69">
        <v>1</v>
      </c>
      <c r="C69" t="s">
        <v>5</v>
      </c>
      <c r="D69" t="s">
        <v>4</v>
      </c>
      <c r="E69" t="s">
        <v>175</v>
      </c>
      <c r="F69" s="1">
        <v>0.25</v>
      </c>
      <c r="G69" t="s">
        <v>179</v>
      </c>
      <c r="H69">
        <v>5</v>
      </c>
      <c r="I69">
        <v>12</v>
      </c>
      <c r="J69">
        <v>24</v>
      </c>
      <c r="K69">
        <v>22</v>
      </c>
      <c r="L69">
        <v>10</v>
      </c>
      <c r="M69">
        <f t="shared" si="19"/>
        <v>32</v>
      </c>
      <c r="N69">
        <v>35</v>
      </c>
      <c r="P69">
        <v>0.13</v>
      </c>
      <c r="Q69">
        <f t="shared" si="13"/>
        <v>1.1034742721038078E-2</v>
      </c>
      <c r="R69" s="6">
        <v>117.5</v>
      </c>
      <c r="S69">
        <v>0.68</v>
      </c>
      <c r="T69">
        <f t="shared" si="14"/>
        <v>0.76</v>
      </c>
      <c r="U69">
        <v>0.84</v>
      </c>
      <c r="V69">
        <v>1.1200000000000001</v>
      </c>
      <c r="W69">
        <f t="shared" si="20"/>
        <v>1.6800000000000002</v>
      </c>
      <c r="X69">
        <f t="shared" si="15"/>
        <v>3.3600000000000003</v>
      </c>
      <c r="Y69">
        <v>0.65</v>
      </c>
      <c r="Z69">
        <v>17</v>
      </c>
      <c r="AA69">
        <v>17.7</v>
      </c>
      <c r="AB69">
        <v>74</v>
      </c>
      <c r="AC69">
        <f>Z69/AH69</f>
        <v>1325.9999814360003</v>
      </c>
      <c r="AF69">
        <v>1429</v>
      </c>
      <c r="AG69">
        <v>408</v>
      </c>
      <c r="AH69">
        <v>1.2820513E-2</v>
      </c>
      <c r="AI69" t="s">
        <v>21</v>
      </c>
      <c r="AJ69">
        <v>1</v>
      </c>
      <c r="AK69">
        <v>26</v>
      </c>
      <c r="AL69">
        <v>499</v>
      </c>
      <c r="AM69">
        <f t="shared" si="21"/>
        <v>473</v>
      </c>
      <c r="AN69">
        <v>0.13</v>
      </c>
      <c r="AO69">
        <f t="shared" si="16"/>
        <v>2.0127659574468084</v>
      </c>
      <c r="AP69">
        <v>67</v>
      </c>
      <c r="AQ69" t="str">
        <f t="shared" si="17"/>
        <v>NA</v>
      </c>
      <c r="AR69" t="str">
        <f t="shared" si="18"/>
        <v>NA</v>
      </c>
      <c r="AS69" t="str">
        <f t="shared" si="11"/>
        <v>NA</v>
      </c>
      <c r="AU69" t="s">
        <v>303</v>
      </c>
      <c r="AW69" t="s">
        <v>313</v>
      </c>
      <c r="AX69" s="13">
        <v>1</v>
      </c>
      <c r="AY69">
        <v>37</v>
      </c>
      <c r="AZ69" t="s">
        <v>178</v>
      </c>
      <c r="BA69" t="s">
        <v>5</v>
      </c>
    </row>
    <row r="70" spans="1:53" x14ac:dyDescent="0.35">
      <c r="A70" t="s">
        <v>178</v>
      </c>
      <c r="B70">
        <v>1</v>
      </c>
      <c r="C70" t="s">
        <v>0</v>
      </c>
      <c r="D70" t="s">
        <v>4</v>
      </c>
      <c r="E70" t="s">
        <v>175</v>
      </c>
      <c r="F70" s="1">
        <v>0.25</v>
      </c>
      <c r="G70" t="s">
        <v>179</v>
      </c>
      <c r="H70">
        <v>5</v>
      </c>
      <c r="I70">
        <v>12</v>
      </c>
      <c r="J70">
        <v>24</v>
      </c>
      <c r="K70">
        <v>22</v>
      </c>
      <c r="L70">
        <v>10</v>
      </c>
      <c r="M70">
        <f t="shared" si="19"/>
        <v>32</v>
      </c>
      <c r="N70">
        <v>35</v>
      </c>
      <c r="P70">
        <v>0.13</v>
      </c>
      <c r="Q70">
        <f t="shared" si="13"/>
        <v>1.1034742721038078E-2</v>
      </c>
      <c r="R70" s="6">
        <v>117.5</v>
      </c>
      <c r="S70">
        <v>0.68</v>
      </c>
      <c r="T70">
        <f t="shared" si="14"/>
        <v>0.76</v>
      </c>
      <c r="U70">
        <v>0.84</v>
      </c>
      <c r="V70">
        <v>1.1200000000000001</v>
      </c>
      <c r="W70">
        <f t="shared" si="20"/>
        <v>1.6800000000000002</v>
      </c>
      <c r="X70">
        <f t="shared" si="15"/>
        <v>3.3600000000000003</v>
      </c>
      <c r="Y70">
        <v>0.65</v>
      </c>
      <c r="Z70">
        <v>17</v>
      </c>
      <c r="AA70">
        <v>17.7</v>
      </c>
      <c r="AB70">
        <v>74</v>
      </c>
      <c r="AC70">
        <v>1325.9999814360003</v>
      </c>
      <c r="AF70">
        <v>1429</v>
      </c>
      <c r="AG70">
        <v>595</v>
      </c>
      <c r="AH70" t="s">
        <v>21</v>
      </c>
      <c r="AI70">
        <v>2.6355419999999998E-3</v>
      </c>
      <c r="AJ70">
        <v>1</v>
      </c>
      <c r="AK70">
        <v>13</v>
      </c>
      <c r="AL70">
        <v>486</v>
      </c>
      <c r="AM70">
        <f t="shared" si="21"/>
        <v>473</v>
      </c>
      <c r="AN70">
        <v>0.13</v>
      </c>
      <c r="AO70">
        <f t="shared" si="16"/>
        <v>2.0127659574468084</v>
      </c>
      <c r="AP70">
        <v>68</v>
      </c>
      <c r="AQ70">
        <f t="shared" si="17"/>
        <v>30.431852509999999</v>
      </c>
      <c r="AR70">
        <f t="shared" si="18"/>
        <v>1.5681474899999999</v>
      </c>
      <c r="AS70">
        <f t="shared" si="11"/>
        <v>0.84318525100000008</v>
      </c>
      <c r="AU70" t="s">
        <v>303</v>
      </c>
      <c r="AW70" t="s">
        <v>313</v>
      </c>
      <c r="AX70" s="13">
        <v>1</v>
      </c>
      <c r="AY70">
        <v>37</v>
      </c>
      <c r="AZ70" t="s">
        <v>178</v>
      </c>
      <c r="BA70" t="s">
        <v>0</v>
      </c>
    </row>
    <row r="71" spans="1:53" x14ac:dyDescent="0.35">
      <c r="A71" t="s">
        <v>177</v>
      </c>
      <c r="B71">
        <v>1</v>
      </c>
      <c r="C71" t="s">
        <v>5</v>
      </c>
      <c r="D71" t="s">
        <v>4</v>
      </c>
      <c r="E71" t="s">
        <v>175</v>
      </c>
      <c r="F71" s="1">
        <v>0.28000000000000003</v>
      </c>
      <c r="G71" t="s">
        <v>174</v>
      </c>
      <c r="H71">
        <v>5</v>
      </c>
      <c r="I71">
        <v>12</v>
      </c>
      <c r="J71">
        <v>17</v>
      </c>
      <c r="K71">
        <v>22</v>
      </c>
      <c r="L71">
        <v>16</v>
      </c>
      <c r="M71">
        <f t="shared" si="19"/>
        <v>38</v>
      </c>
      <c r="N71">
        <v>37</v>
      </c>
      <c r="O71">
        <v>1.08</v>
      </c>
      <c r="P71">
        <v>0.08</v>
      </c>
      <c r="Q71">
        <f t="shared" si="13"/>
        <v>9.7499707889790749E-3</v>
      </c>
      <c r="R71" s="6">
        <v>97.953125</v>
      </c>
      <c r="S71">
        <v>0.68</v>
      </c>
      <c r="T71">
        <f t="shared" si="14"/>
        <v>0.67500000000000004</v>
      </c>
      <c r="U71">
        <v>0.67</v>
      </c>
      <c r="V71">
        <v>0.85</v>
      </c>
      <c r="W71">
        <f t="shared" si="20"/>
        <v>1.2749999999999999</v>
      </c>
      <c r="X71">
        <f t="shared" si="15"/>
        <v>2.5499999999999998</v>
      </c>
      <c r="Y71">
        <v>0.65</v>
      </c>
      <c r="Z71">
        <v>17</v>
      </c>
      <c r="AA71">
        <v>17.7</v>
      </c>
      <c r="AB71">
        <v>74</v>
      </c>
      <c r="AC71">
        <f>Z71/AH71</f>
        <v>1293.9999960418822</v>
      </c>
      <c r="AF71">
        <v>1443</v>
      </c>
      <c r="AG71">
        <v>142</v>
      </c>
      <c r="AH71">
        <v>1.3137558000000001E-2</v>
      </c>
      <c r="AI71" t="s">
        <v>21</v>
      </c>
      <c r="AJ71">
        <v>0</v>
      </c>
      <c r="AK71">
        <v>124</v>
      </c>
      <c r="AL71">
        <v>160</v>
      </c>
      <c r="AM71">
        <f t="shared" si="21"/>
        <v>36</v>
      </c>
      <c r="AN71">
        <v>0.08</v>
      </c>
      <c r="AO71">
        <f t="shared" si="16"/>
        <v>0.18376136544903493</v>
      </c>
      <c r="AP71">
        <v>69</v>
      </c>
      <c r="AQ71" t="str">
        <f t="shared" si="17"/>
        <v>NA</v>
      </c>
      <c r="AR71" t="str">
        <f t="shared" si="18"/>
        <v>NA</v>
      </c>
      <c r="AS71" t="str">
        <f t="shared" si="11"/>
        <v>NA</v>
      </c>
      <c r="AU71" t="s">
        <v>303</v>
      </c>
      <c r="AX71" s="12">
        <v>0</v>
      </c>
      <c r="AY71">
        <v>38</v>
      </c>
      <c r="AZ71" t="s">
        <v>177</v>
      </c>
      <c r="BA71" t="s">
        <v>5</v>
      </c>
    </row>
    <row r="72" spans="1:53" x14ac:dyDescent="0.35">
      <c r="A72" t="s">
        <v>177</v>
      </c>
      <c r="B72">
        <v>1</v>
      </c>
      <c r="C72" t="s">
        <v>0</v>
      </c>
      <c r="D72" t="s">
        <v>4</v>
      </c>
      <c r="E72" t="s">
        <v>175</v>
      </c>
      <c r="F72" s="1">
        <v>0.28000000000000003</v>
      </c>
      <c r="G72" t="s">
        <v>174</v>
      </c>
      <c r="H72">
        <v>5</v>
      </c>
      <c r="I72">
        <v>12</v>
      </c>
      <c r="J72">
        <v>17</v>
      </c>
      <c r="K72">
        <v>23</v>
      </c>
      <c r="L72">
        <v>16</v>
      </c>
      <c r="M72">
        <f t="shared" si="19"/>
        <v>39</v>
      </c>
      <c r="N72">
        <v>37</v>
      </c>
      <c r="O72">
        <v>1.08</v>
      </c>
      <c r="P72">
        <v>0.08</v>
      </c>
      <c r="Q72">
        <f t="shared" si="13"/>
        <v>9.7499707889790749E-3</v>
      </c>
      <c r="R72" s="6">
        <v>98.258620690000001</v>
      </c>
      <c r="S72">
        <v>0.68</v>
      </c>
      <c r="T72">
        <f t="shared" si="14"/>
        <v>0.67500000000000004</v>
      </c>
      <c r="U72">
        <v>0.67</v>
      </c>
      <c r="V72">
        <v>0.85</v>
      </c>
      <c r="W72">
        <f t="shared" si="20"/>
        <v>1.2749999999999999</v>
      </c>
      <c r="X72">
        <f t="shared" si="15"/>
        <v>2.5499999999999998</v>
      </c>
      <c r="Y72">
        <v>0.65</v>
      </c>
      <c r="Z72">
        <v>17</v>
      </c>
      <c r="AA72">
        <v>17.7</v>
      </c>
      <c r="AB72">
        <v>74</v>
      </c>
      <c r="AC72">
        <v>1293.9999960418822</v>
      </c>
      <c r="AF72">
        <v>1443</v>
      </c>
      <c r="AG72">
        <v>142</v>
      </c>
      <c r="AH72" t="s">
        <v>21</v>
      </c>
      <c r="AI72">
        <v>2.6355419999999998E-3</v>
      </c>
      <c r="AJ72">
        <v>0</v>
      </c>
      <c r="AK72">
        <v>303</v>
      </c>
      <c r="AL72">
        <v>339</v>
      </c>
      <c r="AM72">
        <f t="shared" si="21"/>
        <v>36</v>
      </c>
      <c r="AN72">
        <v>0.08</v>
      </c>
      <c r="AO72">
        <f t="shared" si="16"/>
        <v>0.18319003333853942</v>
      </c>
      <c r="AP72">
        <v>70</v>
      </c>
      <c r="AQ72">
        <f t="shared" si="17"/>
        <v>38.625753035999999</v>
      </c>
      <c r="AR72">
        <f t="shared" si="18"/>
        <v>0.37424696399999996</v>
      </c>
      <c r="AS72">
        <f t="shared" ref="AS72:AS135" si="22">IF(AR72&lt;&gt;"NA",(L72-AR72)/L72,"NA")</f>
        <v>0.97660956475000005</v>
      </c>
      <c r="AU72" t="s">
        <v>303</v>
      </c>
      <c r="AX72" s="12">
        <v>0</v>
      </c>
      <c r="AY72">
        <v>38</v>
      </c>
      <c r="AZ72" t="s">
        <v>177</v>
      </c>
      <c r="BA72" t="s">
        <v>0</v>
      </c>
    </row>
    <row r="73" spans="1:53" x14ac:dyDescent="0.35">
      <c r="A73" t="s">
        <v>176</v>
      </c>
      <c r="B73">
        <v>1</v>
      </c>
      <c r="C73" t="s">
        <v>5</v>
      </c>
      <c r="D73" t="s">
        <v>4</v>
      </c>
      <c r="E73" t="s">
        <v>175</v>
      </c>
      <c r="F73" s="1">
        <v>0.28000000000000003</v>
      </c>
      <c r="G73" t="s">
        <v>174</v>
      </c>
      <c r="H73">
        <v>5</v>
      </c>
      <c r="I73">
        <v>12</v>
      </c>
      <c r="J73">
        <v>17</v>
      </c>
      <c r="K73">
        <v>23</v>
      </c>
      <c r="L73">
        <v>16</v>
      </c>
      <c r="M73">
        <f t="shared" si="19"/>
        <v>39</v>
      </c>
      <c r="N73">
        <v>37</v>
      </c>
      <c r="O73">
        <v>1.08</v>
      </c>
      <c r="P73">
        <v>0.08</v>
      </c>
      <c r="Q73">
        <f t="shared" si="13"/>
        <v>9.7499707889790749E-3</v>
      </c>
      <c r="R73" s="6">
        <v>98.258620690000001</v>
      </c>
      <c r="S73">
        <v>0.68</v>
      </c>
      <c r="T73">
        <f t="shared" si="14"/>
        <v>0.67500000000000004</v>
      </c>
      <c r="U73">
        <v>0.67</v>
      </c>
      <c r="V73">
        <v>0.85</v>
      </c>
      <c r="W73">
        <f t="shared" si="20"/>
        <v>1.2749999999999999</v>
      </c>
      <c r="X73">
        <f t="shared" si="15"/>
        <v>2.5499999999999998</v>
      </c>
      <c r="Y73">
        <v>0.65</v>
      </c>
      <c r="Z73">
        <v>17</v>
      </c>
      <c r="AA73">
        <v>17.7</v>
      </c>
      <c r="AB73">
        <v>74</v>
      </c>
      <c r="AC73">
        <f>Z73/AH73</f>
        <v>1293.9999960418822</v>
      </c>
      <c r="AF73">
        <v>1443</v>
      </c>
      <c r="AG73">
        <v>600</v>
      </c>
      <c r="AH73">
        <v>1.3137558000000001E-2</v>
      </c>
      <c r="AI73" t="s">
        <v>21</v>
      </c>
      <c r="AJ73">
        <v>1</v>
      </c>
      <c r="AK73">
        <v>210</v>
      </c>
      <c r="AL73">
        <v>641</v>
      </c>
      <c r="AM73">
        <f t="shared" si="21"/>
        <v>431</v>
      </c>
      <c r="AN73">
        <v>0.08</v>
      </c>
      <c r="AO73">
        <f t="shared" si="16"/>
        <v>2.1931917880252914</v>
      </c>
      <c r="AP73">
        <v>71</v>
      </c>
      <c r="AQ73" t="str">
        <f t="shared" si="17"/>
        <v>NA</v>
      </c>
      <c r="AR73" t="str">
        <f t="shared" si="18"/>
        <v>NA</v>
      </c>
      <c r="AS73" t="str">
        <f t="shared" si="22"/>
        <v>NA</v>
      </c>
      <c r="AU73" t="s">
        <v>311</v>
      </c>
      <c r="AV73" t="s">
        <v>21</v>
      </c>
      <c r="AX73" s="14">
        <v>1</v>
      </c>
      <c r="AY73">
        <v>39</v>
      </c>
      <c r="AZ73" t="s">
        <v>176</v>
      </c>
      <c r="BA73" t="s">
        <v>5</v>
      </c>
    </row>
    <row r="74" spans="1:53" x14ac:dyDescent="0.35">
      <c r="A74" t="s">
        <v>176</v>
      </c>
      <c r="B74">
        <v>1</v>
      </c>
      <c r="C74" t="s">
        <v>0</v>
      </c>
      <c r="D74" t="s">
        <v>4</v>
      </c>
      <c r="E74" t="s">
        <v>175</v>
      </c>
      <c r="F74" s="1">
        <v>0.28000000000000003</v>
      </c>
      <c r="G74" t="s">
        <v>174</v>
      </c>
      <c r="H74">
        <v>5</v>
      </c>
      <c r="I74">
        <v>12</v>
      </c>
      <c r="J74">
        <v>17</v>
      </c>
      <c r="K74">
        <v>23</v>
      </c>
      <c r="L74">
        <v>16</v>
      </c>
      <c r="M74">
        <f t="shared" si="19"/>
        <v>39</v>
      </c>
      <c r="N74">
        <v>37</v>
      </c>
      <c r="O74">
        <v>1.08</v>
      </c>
      <c r="P74">
        <v>0.08</v>
      </c>
      <c r="Q74">
        <f t="shared" si="13"/>
        <v>9.7499707889790749E-3</v>
      </c>
      <c r="R74" s="6">
        <v>98.258620690000001</v>
      </c>
      <c r="S74">
        <v>0.68</v>
      </c>
      <c r="T74">
        <f t="shared" si="14"/>
        <v>0.67500000000000004</v>
      </c>
      <c r="U74">
        <v>0.67</v>
      </c>
      <c r="V74">
        <v>0.85</v>
      </c>
      <c r="W74">
        <f t="shared" si="20"/>
        <v>1.2749999999999999</v>
      </c>
      <c r="X74">
        <f t="shared" si="15"/>
        <v>2.5499999999999998</v>
      </c>
      <c r="Y74">
        <v>0.65</v>
      </c>
      <c r="Z74">
        <v>17</v>
      </c>
      <c r="AA74">
        <v>17.7</v>
      </c>
      <c r="AB74">
        <v>74</v>
      </c>
      <c r="AC74">
        <v>1293.9999960418822</v>
      </c>
      <c r="AF74">
        <v>1443</v>
      </c>
      <c r="AG74">
        <v>600</v>
      </c>
      <c r="AH74" t="s">
        <v>21</v>
      </c>
      <c r="AI74">
        <v>2.6355419999999998E-3</v>
      </c>
      <c r="AJ74">
        <v>1</v>
      </c>
      <c r="AK74">
        <v>215</v>
      </c>
      <c r="AL74">
        <v>646</v>
      </c>
      <c r="AM74">
        <f t="shared" si="21"/>
        <v>431</v>
      </c>
      <c r="AN74">
        <v>0.08</v>
      </c>
      <c r="AO74">
        <f t="shared" si="16"/>
        <v>2.1931917880252914</v>
      </c>
      <c r="AP74">
        <v>72</v>
      </c>
      <c r="AQ74">
        <f t="shared" si="17"/>
        <v>37.418674799999998</v>
      </c>
      <c r="AR74">
        <f t="shared" si="18"/>
        <v>1.5813252</v>
      </c>
      <c r="AS74">
        <f t="shared" si="22"/>
        <v>0.90116717499999999</v>
      </c>
      <c r="AU74" t="s">
        <v>311</v>
      </c>
      <c r="AV74" t="s">
        <v>21</v>
      </c>
      <c r="AX74" s="14">
        <v>1</v>
      </c>
      <c r="AY74">
        <v>39</v>
      </c>
      <c r="AZ74" t="s">
        <v>176</v>
      </c>
      <c r="BA74" t="s">
        <v>0</v>
      </c>
    </row>
    <row r="75" spans="1:53" x14ac:dyDescent="0.35">
      <c r="A75" t="s">
        <v>173</v>
      </c>
      <c r="B75">
        <v>1</v>
      </c>
      <c r="C75" t="s">
        <v>5</v>
      </c>
      <c r="D75" t="s">
        <v>4</v>
      </c>
      <c r="E75" t="s">
        <v>175</v>
      </c>
      <c r="F75" s="1">
        <v>0.28000000000000003</v>
      </c>
      <c r="G75" t="s">
        <v>174</v>
      </c>
      <c r="H75">
        <v>5</v>
      </c>
      <c r="I75">
        <v>12</v>
      </c>
      <c r="J75">
        <v>18</v>
      </c>
      <c r="K75">
        <v>35</v>
      </c>
      <c r="L75">
        <v>13</v>
      </c>
      <c r="M75">
        <f>K75+L75</f>
        <v>48</v>
      </c>
      <c r="N75">
        <v>40</v>
      </c>
      <c r="O75">
        <v>3.8</v>
      </c>
      <c r="P75">
        <v>0.15</v>
      </c>
      <c r="Q75">
        <f>P75/(PI()*(5*(S75/2)^2+5*(T75/2)^2+5*(U75/2)^2+5*(V75/2)^2))</f>
        <v>1.2126090902239643E-2</v>
      </c>
      <c r="R75" s="6">
        <v>98.258620690000001</v>
      </c>
      <c r="S75">
        <v>0.7</v>
      </c>
      <c r="T75">
        <f>AVERAGE(S75,U75)</f>
        <v>0.8</v>
      </c>
      <c r="U75">
        <v>0.9</v>
      </c>
      <c r="V75">
        <v>1.1000000000000001</v>
      </c>
      <c r="W75">
        <f>V75*1.5</f>
        <v>1.6500000000000001</v>
      </c>
      <c r="X75">
        <f>W75*2</f>
        <v>3.3000000000000003</v>
      </c>
      <c r="Y75">
        <v>0.65</v>
      </c>
      <c r="Z75">
        <v>17</v>
      </c>
      <c r="AA75">
        <v>17.7</v>
      </c>
      <c r="AB75">
        <v>74</v>
      </c>
      <c r="AC75">
        <f>Z75/AH75</f>
        <v>1336.9999639796481</v>
      </c>
      <c r="AF75">
        <v>1435</v>
      </c>
      <c r="AG75">
        <v>178</v>
      </c>
      <c r="AH75">
        <v>1.2715034E-2</v>
      </c>
      <c r="AI75" t="s">
        <v>21</v>
      </c>
      <c r="AJ75">
        <v>1</v>
      </c>
      <c r="AK75">
        <v>8</v>
      </c>
      <c r="AL75">
        <v>352</v>
      </c>
      <c r="AM75">
        <f t="shared" si="21"/>
        <v>344</v>
      </c>
      <c r="AN75">
        <v>0.15</v>
      </c>
      <c r="AO75">
        <f t="shared" si="16"/>
        <v>1.7504825407904878</v>
      </c>
      <c r="AP75">
        <v>73</v>
      </c>
      <c r="AQ75" t="str">
        <f t="shared" si="17"/>
        <v>NA</v>
      </c>
      <c r="AR75" t="str">
        <f t="shared" si="18"/>
        <v>NA</v>
      </c>
      <c r="AS75" t="str">
        <f t="shared" si="22"/>
        <v>NA</v>
      </c>
      <c r="AU75" t="s">
        <v>303</v>
      </c>
      <c r="AV75" t="s">
        <v>21</v>
      </c>
      <c r="AW75" t="s">
        <v>450</v>
      </c>
      <c r="AX75" s="13">
        <v>1</v>
      </c>
      <c r="AY75">
        <v>40</v>
      </c>
      <c r="AZ75" t="s">
        <v>173</v>
      </c>
      <c r="BA75" t="s">
        <v>5</v>
      </c>
    </row>
    <row r="76" spans="1:53" x14ac:dyDescent="0.35">
      <c r="A76" t="s">
        <v>173</v>
      </c>
      <c r="B76">
        <v>1</v>
      </c>
      <c r="C76" t="s">
        <v>0</v>
      </c>
      <c r="D76" t="s">
        <v>4</v>
      </c>
      <c r="E76" t="s">
        <v>175</v>
      </c>
      <c r="F76" s="1">
        <v>0.28000000000000003</v>
      </c>
      <c r="G76" t="s">
        <v>174</v>
      </c>
      <c r="H76">
        <v>5</v>
      </c>
      <c r="I76">
        <v>12</v>
      </c>
      <c r="J76">
        <v>18</v>
      </c>
      <c r="K76">
        <v>35</v>
      </c>
      <c r="L76">
        <v>13</v>
      </c>
      <c r="M76">
        <f t="shared" si="19"/>
        <v>48</v>
      </c>
      <c r="N76">
        <v>40</v>
      </c>
      <c r="O76">
        <v>3.8</v>
      </c>
      <c r="P76">
        <v>0.15</v>
      </c>
      <c r="Q76">
        <f t="shared" si="13"/>
        <v>1.2126090902239643E-2</v>
      </c>
      <c r="R76" s="6">
        <v>98.258620690000001</v>
      </c>
      <c r="S76">
        <v>0.7</v>
      </c>
      <c r="T76">
        <f t="shared" si="14"/>
        <v>0.8</v>
      </c>
      <c r="U76">
        <v>0.9</v>
      </c>
      <c r="V76">
        <v>1.1000000000000001</v>
      </c>
      <c r="W76">
        <f t="shared" si="20"/>
        <v>1.6500000000000001</v>
      </c>
      <c r="X76">
        <f t="shared" si="15"/>
        <v>3.3000000000000003</v>
      </c>
      <c r="Y76">
        <v>0.65</v>
      </c>
      <c r="Z76">
        <v>17</v>
      </c>
      <c r="AA76">
        <v>17.7</v>
      </c>
      <c r="AB76">
        <v>74</v>
      </c>
      <c r="AC76" t="e">
        <f>Z76/AH76</f>
        <v>#VALUE!</v>
      </c>
      <c r="AF76">
        <v>1435</v>
      </c>
      <c r="AG76">
        <v>178</v>
      </c>
      <c r="AH76" t="s">
        <v>21</v>
      </c>
      <c r="AI76">
        <v>2.6355419999999998E-3</v>
      </c>
      <c r="AJ76">
        <v>1</v>
      </c>
      <c r="AK76">
        <v>8</v>
      </c>
      <c r="AL76">
        <v>352</v>
      </c>
      <c r="AM76">
        <f t="shared" si="21"/>
        <v>344</v>
      </c>
      <c r="AN76">
        <v>0.15</v>
      </c>
      <c r="AO76">
        <f t="shared" si="16"/>
        <v>1.7504825407904878</v>
      </c>
      <c r="AP76">
        <v>74</v>
      </c>
      <c r="AQ76">
        <f t="shared" si="17"/>
        <v>47.530873524</v>
      </c>
      <c r="AR76">
        <f t="shared" ref="AR76:AR139" si="23">IF(AI76&lt;&gt;"NA",AG76*AI76,"NA")</f>
        <v>0.46912647599999996</v>
      </c>
      <c r="AS76">
        <f t="shared" si="22"/>
        <v>0.96391334800000006</v>
      </c>
      <c r="AU76" t="s">
        <v>303</v>
      </c>
      <c r="AV76" t="s">
        <v>21</v>
      </c>
      <c r="AX76" s="13">
        <v>1</v>
      </c>
      <c r="AY76">
        <v>40</v>
      </c>
      <c r="AZ76" t="s">
        <v>173</v>
      </c>
      <c r="BA76" t="s">
        <v>0</v>
      </c>
    </row>
    <row r="77" spans="1:53" x14ac:dyDescent="0.35">
      <c r="A77" t="s">
        <v>172</v>
      </c>
      <c r="B77">
        <v>1</v>
      </c>
      <c r="C77" t="s">
        <v>5</v>
      </c>
      <c r="D77" t="s">
        <v>4</v>
      </c>
      <c r="E77" t="s">
        <v>3</v>
      </c>
      <c r="F77" s="1">
        <v>0.32</v>
      </c>
      <c r="G77" t="s">
        <v>168</v>
      </c>
      <c r="H77">
        <v>5</v>
      </c>
      <c r="I77">
        <v>12</v>
      </c>
      <c r="J77">
        <v>13</v>
      </c>
      <c r="K77">
        <v>32</v>
      </c>
      <c r="L77">
        <v>13</v>
      </c>
      <c r="M77">
        <f t="shared" si="19"/>
        <v>45</v>
      </c>
      <c r="N77">
        <v>44</v>
      </c>
      <c r="O77">
        <v>1.55</v>
      </c>
      <c r="P77">
        <v>0.19</v>
      </c>
      <c r="Q77">
        <f t="shared" si="13"/>
        <v>1.3190235462483624E-2</v>
      </c>
      <c r="R77" s="6">
        <v>155.5</v>
      </c>
      <c r="S77">
        <v>0.57999999999999996</v>
      </c>
      <c r="T77">
        <f t="shared" si="14"/>
        <v>0.84000000000000008</v>
      </c>
      <c r="U77">
        <v>1.1000000000000001</v>
      </c>
      <c r="V77">
        <v>1.19</v>
      </c>
      <c r="W77">
        <f t="shared" si="20"/>
        <v>1.7849999999999999</v>
      </c>
      <c r="X77">
        <f t="shared" si="15"/>
        <v>3.57</v>
      </c>
      <c r="Y77">
        <v>0.65</v>
      </c>
      <c r="Z77">
        <v>17</v>
      </c>
      <c r="AA77">
        <v>17.7</v>
      </c>
      <c r="AB77">
        <v>55</v>
      </c>
      <c r="AC77">
        <f>Z77/AH77</f>
        <v>1336.9999639796481</v>
      </c>
      <c r="AF77">
        <v>1401</v>
      </c>
      <c r="AG77">
        <v>10</v>
      </c>
      <c r="AH77">
        <v>1.2715034E-2</v>
      </c>
      <c r="AI77" t="s">
        <v>21</v>
      </c>
      <c r="AJ77">
        <v>0</v>
      </c>
      <c r="AK77">
        <v>38</v>
      </c>
      <c r="AL77">
        <v>110</v>
      </c>
      <c r="AM77">
        <f t="shared" si="21"/>
        <v>72</v>
      </c>
      <c r="AN77">
        <v>0.19</v>
      </c>
      <c r="AO77">
        <f t="shared" si="16"/>
        <v>0.23151125401929259</v>
      </c>
      <c r="AP77">
        <v>75</v>
      </c>
      <c r="AQ77" t="str">
        <f t="shared" si="17"/>
        <v>NA</v>
      </c>
      <c r="AR77" t="str">
        <f t="shared" si="23"/>
        <v>NA</v>
      </c>
      <c r="AS77" t="str">
        <f t="shared" si="22"/>
        <v>NA</v>
      </c>
      <c r="AT77" s="5" t="s">
        <v>413</v>
      </c>
      <c r="AU77" t="s">
        <v>170</v>
      </c>
      <c r="AV77" t="s">
        <v>21</v>
      </c>
      <c r="AX77" s="14">
        <v>0</v>
      </c>
      <c r="AY77">
        <v>41</v>
      </c>
      <c r="AZ77" t="s">
        <v>172</v>
      </c>
      <c r="BA77" t="s">
        <v>5</v>
      </c>
    </row>
    <row r="78" spans="1:53" x14ac:dyDescent="0.35">
      <c r="A78" t="s">
        <v>172</v>
      </c>
      <c r="B78">
        <v>1</v>
      </c>
      <c r="C78" t="s">
        <v>0</v>
      </c>
      <c r="D78" t="s">
        <v>4</v>
      </c>
      <c r="E78" t="s">
        <v>3</v>
      </c>
      <c r="F78" s="1">
        <v>0.32</v>
      </c>
      <c r="G78" t="s">
        <v>168</v>
      </c>
      <c r="H78">
        <v>5</v>
      </c>
      <c r="I78">
        <v>12</v>
      </c>
      <c r="J78">
        <v>13</v>
      </c>
      <c r="K78">
        <v>32</v>
      </c>
      <c r="L78">
        <v>13</v>
      </c>
      <c r="M78">
        <f t="shared" si="19"/>
        <v>45</v>
      </c>
      <c r="N78">
        <v>44</v>
      </c>
      <c r="O78">
        <v>1.55</v>
      </c>
      <c r="P78">
        <v>0.19</v>
      </c>
      <c r="Q78">
        <f t="shared" si="13"/>
        <v>1.3190235462483624E-2</v>
      </c>
      <c r="R78" s="6">
        <v>155.5</v>
      </c>
      <c r="S78">
        <v>0.57999999999999996</v>
      </c>
      <c r="T78">
        <f t="shared" si="14"/>
        <v>0.84000000000000008</v>
      </c>
      <c r="U78">
        <v>1.1000000000000001</v>
      </c>
      <c r="V78">
        <v>1.19</v>
      </c>
      <c r="W78">
        <f t="shared" si="20"/>
        <v>1.7849999999999999</v>
      </c>
      <c r="X78">
        <f t="shared" si="15"/>
        <v>3.57</v>
      </c>
      <c r="Y78">
        <v>0.65</v>
      </c>
      <c r="Z78">
        <v>17</v>
      </c>
      <c r="AA78">
        <v>17.7</v>
      </c>
      <c r="AB78">
        <v>55</v>
      </c>
      <c r="AC78">
        <v>1336.9999639796481</v>
      </c>
      <c r="AF78">
        <v>1401</v>
      </c>
      <c r="AG78">
        <v>10</v>
      </c>
      <c r="AH78" t="s">
        <v>21</v>
      </c>
      <c r="AI78">
        <v>2.6355419999999998E-3</v>
      </c>
      <c r="AJ78">
        <v>0</v>
      </c>
      <c r="AK78">
        <v>53</v>
      </c>
      <c r="AL78">
        <v>59</v>
      </c>
      <c r="AM78">
        <f t="shared" si="21"/>
        <v>6</v>
      </c>
      <c r="AN78">
        <v>0.19</v>
      </c>
      <c r="AO78">
        <f t="shared" si="16"/>
        <v>1.9292604501607719E-2</v>
      </c>
      <c r="AP78">
        <v>76</v>
      </c>
      <c r="AQ78">
        <f t="shared" si="17"/>
        <v>44.973644579999998</v>
      </c>
      <c r="AR78">
        <f t="shared" si="23"/>
        <v>2.6355419999999997E-2</v>
      </c>
      <c r="AS78">
        <f t="shared" si="22"/>
        <v>0.99797266000000007</v>
      </c>
      <c r="AU78" t="s">
        <v>170</v>
      </c>
      <c r="AV78" t="s">
        <v>21</v>
      </c>
      <c r="AX78" s="14">
        <v>0</v>
      </c>
      <c r="AY78">
        <v>41</v>
      </c>
      <c r="AZ78" t="s">
        <v>172</v>
      </c>
      <c r="BA78" t="s">
        <v>0</v>
      </c>
    </row>
    <row r="79" spans="1:53" x14ac:dyDescent="0.35">
      <c r="A79" t="s">
        <v>171</v>
      </c>
      <c r="B79">
        <v>1</v>
      </c>
      <c r="C79" t="s">
        <v>5</v>
      </c>
      <c r="D79" t="s">
        <v>4</v>
      </c>
      <c r="E79" t="s">
        <v>3</v>
      </c>
      <c r="F79" s="1">
        <v>0.32</v>
      </c>
      <c r="G79" t="s">
        <v>168</v>
      </c>
      <c r="H79">
        <v>5</v>
      </c>
      <c r="I79">
        <v>12</v>
      </c>
      <c r="J79">
        <v>13</v>
      </c>
      <c r="K79">
        <v>32</v>
      </c>
      <c r="L79">
        <v>13</v>
      </c>
      <c r="M79">
        <f t="shared" si="19"/>
        <v>45</v>
      </c>
      <c r="N79">
        <v>44</v>
      </c>
      <c r="O79">
        <v>1.55</v>
      </c>
      <c r="P79">
        <v>0.19</v>
      </c>
      <c r="Q79">
        <f t="shared" si="13"/>
        <v>1.3190235462483624E-2</v>
      </c>
      <c r="R79" s="6">
        <v>155.5</v>
      </c>
      <c r="S79">
        <v>0.57999999999999996</v>
      </c>
      <c r="T79">
        <f t="shared" si="14"/>
        <v>0.84000000000000008</v>
      </c>
      <c r="U79">
        <v>1.1000000000000001</v>
      </c>
      <c r="V79">
        <v>1.19</v>
      </c>
      <c r="W79">
        <f t="shared" si="20"/>
        <v>1.7849999999999999</v>
      </c>
      <c r="X79">
        <f t="shared" si="15"/>
        <v>3.57</v>
      </c>
      <c r="Y79">
        <v>0.65</v>
      </c>
      <c r="Z79">
        <v>17</v>
      </c>
      <c r="AA79">
        <v>17.7</v>
      </c>
      <c r="AB79">
        <v>55</v>
      </c>
      <c r="AC79">
        <f>Z79/AH79</f>
        <v>1336.9999639796481</v>
      </c>
      <c r="AF79">
        <v>1401</v>
      </c>
      <c r="AG79">
        <v>15</v>
      </c>
      <c r="AH79">
        <v>1.2715034E-2</v>
      </c>
      <c r="AI79" t="s">
        <v>21</v>
      </c>
      <c r="AJ79">
        <v>1</v>
      </c>
      <c r="AK79">
        <v>11</v>
      </c>
      <c r="AL79">
        <v>298</v>
      </c>
      <c r="AM79">
        <f t="shared" si="21"/>
        <v>287</v>
      </c>
      <c r="AN79">
        <v>0.19</v>
      </c>
      <c r="AO79">
        <f t="shared" si="16"/>
        <v>0.92282958199356913</v>
      </c>
      <c r="AP79">
        <v>77</v>
      </c>
      <c r="AQ79" t="str">
        <f t="shared" si="17"/>
        <v>NA</v>
      </c>
      <c r="AR79" t="str">
        <f t="shared" si="23"/>
        <v>NA</v>
      </c>
      <c r="AS79" t="str">
        <f t="shared" si="22"/>
        <v>NA</v>
      </c>
      <c r="AU79" t="s">
        <v>170</v>
      </c>
      <c r="AV79" t="s">
        <v>21</v>
      </c>
      <c r="AX79" s="14">
        <v>1</v>
      </c>
      <c r="AY79">
        <v>42</v>
      </c>
      <c r="AZ79" t="s">
        <v>171</v>
      </c>
      <c r="BA79" t="s">
        <v>5</v>
      </c>
    </row>
    <row r="80" spans="1:53" x14ac:dyDescent="0.35">
      <c r="A80" t="s">
        <v>171</v>
      </c>
      <c r="B80">
        <v>1</v>
      </c>
      <c r="C80" t="s">
        <v>0</v>
      </c>
      <c r="D80" t="s">
        <v>4</v>
      </c>
      <c r="E80" t="s">
        <v>3</v>
      </c>
      <c r="F80" s="1">
        <v>0.32</v>
      </c>
      <c r="G80" t="s">
        <v>168</v>
      </c>
      <c r="H80">
        <v>5</v>
      </c>
      <c r="I80">
        <v>12</v>
      </c>
      <c r="J80">
        <v>13</v>
      </c>
      <c r="K80">
        <v>32</v>
      </c>
      <c r="L80">
        <v>13</v>
      </c>
      <c r="M80">
        <f t="shared" si="19"/>
        <v>45</v>
      </c>
      <c r="N80">
        <v>44</v>
      </c>
      <c r="O80">
        <v>1.55</v>
      </c>
      <c r="P80">
        <v>0.19</v>
      </c>
      <c r="Q80">
        <f t="shared" si="13"/>
        <v>1.3190235462483624E-2</v>
      </c>
      <c r="R80" s="6">
        <v>155.5</v>
      </c>
      <c r="S80">
        <v>0.57999999999999996</v>
      </c>
      <c r="T80">
        <f t="shared" si="14"/>
        <v>0.84000000000000008</v>
      </c>
      <c r="U80">
        <v>1.1000000000000001</v>
      </c>
      <c r="V80">
        <v>1.19</v>
      </c>
      <c r="W80">
        <f t="shared" si="20"/>
        <v>1.7849999999999999</v>
      </c>
      <c r="X80">
        <f t="shared" si="15"/>
        <v>3.57</v>
      </c>
      <c r="Y80">
        <v>0.65</v>
      </c>
      <c r="Z80">
        <v>17</v>
      </c>
      <c r="AA80">
        <v>17.7</v>
      </c>
      <c r="AB80">
        <v>55</v>
      </c>
      <c r="AC80">
        <v>1336.9999639796481</v>
      </c>
      <c r="AF80">
        <v>1401</v>
      </c>
      <c r="AG80">
        <v>15</v>
      </c>
      <c r="AH80" t="s">
        <v>21</v>
      </c>
      <c r="AI80">
        <v>2.6355419999999998E-3</v>
      </c>
      <c r="AJ80">
        <v>1</v>
      </c>
      <c r="AK80">
        <v>32</v>
      </c>
      <c r="AL80">
        <f>AK80+AL79-AK79</f>
        <v>319</v>
      </c>
      <c r="AM80">
        <f t="shared" si="21"/>
        <v>287</v>
      </c>
      <c r="AN80">
        <v>0.19</v>
      </c>
      <c r="AO80">
        <f t="shared" si="16"/>
        <v>0.92282958199356913</v>
      </c>
      <c r="AP80">
        <v>78</v>
      </c>
      <c r="AQ80">
        <f t="shared" si="17"/>
        <v>44.960466869999998</v>
      </c>
      <c r="AR80">
        <f t="shared" si="23"/>
        <v>3.953313E-2</v>
      </c>
      <c r="AS80">
        <f t="shared" si="22"/>
        <v>0.99695898999999999</v>
      </c>
      <c r="AU80" t="s">
        <v>170</v>
      </c>
      <c r="AV80" t="s">
        <v>21</v>
      </c>
      <c r="AX80" s="14">
        <v>1</v>
      </c>
      <c r="AY80">
        <v>42</v>
      </c>
      <c r="AZ80" t="s">
        <v>171</v>
      </c>
      <c r="BA80" t="s">
        <v>0</v>
      </c>
    </row>
    <row r="81" spans="1:53" x14ac:dyDescent="0.35">
      <c r="A81" t="s">
        <v>169</v>
      </c>
      <c r="B81">
        <v>1</v>
      </c>
      <c r="C81" t="s">
        <v>5</v>
      </c>
      <c r="D81" t="s">
        <v>4</v>
      </c>
      <c r="E81" t="s">
        <v>3</v>
      </c>
      <c r="F81" s="1">
        <v>0.32</v>
      </c>
      <c r="G81" t="s">
        <v>168</v>
      </c>
      <c r="H81">
        <v>5</v>
      </c>
      <c r="I81">
        <v>12</v>
      </c>
      <c r="J81">
        <v>15</v>
      </c>
      <c r="K81">
        <v>35</v>
      </c>
      <c r="L81">
        <v>12</v>
      </c>
      <c r="M81">
        <f t="shared" si="19"/>
        <v>47</v>
      </c>
      <c r="N81">
        <v>55</v>
      </c>
      <c r="O81">
        <v>1.79</v>
      </c>
      <c r="P81">
        <v>0.17</v>
      </c>
      <c r="Q81">
        <f t="shared" si="13"/>
        <v>1.5497295239133504E-2</v>
      </c>
      <c r="R81" s="6">
        <v>127.5</v>
      </c>
      <c r="S81">
        <v>0.79</v>
      </c>
      <c r="T81">
        <f t="shared" si="14"/>
        <v>0.82000000000000006</v>
      </c>
      <c r="U81">
        <v>0.85</v>
      </c>
      <c r="V81">
        <v>0.88</v>
      </c>
      <c r="W81">
        <f t="shared" si="20"/>
        <v>1.32</v>
      </c>
      <c r="X81">
        <f t="shared" si="15"/>
        <v>2.64</v>
      </c>
      <c r="Y81">
        <v>0.65</v>
      </c>
      <c r="Z81">
        <v>17</v>
      </c>
      <c r="AA81">
        <v>17.7</v>
      </c>
      <c r="AB81">
        <v>46</v>
      </c>
      <c r="AC81">
        <f>Z81/AH81</f>
        <v>1328.9999595827658</v>
      </c>
      <c r="AF81">
        <v>1411</v>
      </c>
      <c r="AG81">
        <v>221</v>
      </c>
      <c r="AH81">
        <v>1.2791573000000001E-2</v>
      </c>
      <c r="AI81" t="s">
        <v>21</v>
      </c>
      <c r="AJ81">
        <v>0</v>
      </c>
      <c r="AK81">
        <v>12</v>
      </c>
      <c r="AL81">
        <v>339</v>
      </c>
      <c r="AM81">
        <f t="shared" si="21"/>
        <v>327</v>
      </c>
      <c r="AN81">
        <v>0.17</v>
      </c>
      <c r="AO81">
        <f t="shared" si="16"/>
        <v>1.2823529411764707</v>
      </c>
      <c r="AP81">
        <v>79</v>
      </c>
      <c r="AQ81" t="str">
        <f t="shared" si="17"/>
        <v>NA</v>
      </c>
      <c r="AR81" t="str">
        <f t="shared" si="23"/>
        <v>NA</v>
      </c>
      <c r="AS81" t="str">
        <f t="shared" si="22"/>
        <v>NA</v>
      </c>
      <c r="AT81" s="5" t="s">
        <v>412</v>
      </c>
      <c r="AU81" t="s">
        <v>325</v>
      </c>
      <c r="AV81" t="s">
        <v>21</v>
      </c>
      <c r="AX81" s="14">
        <v>0</v>
      </c>
      <c r="AY81">
        <v>43</v>
      </c>
      <c r="AZ81" t="s">
        <v>169</v>
      </c>
      <c r="BA81" t="s">
        <v>5</v>
      </c>
    </row>
    <row r="82" spans="1:53" x14ac:dyDescent="0.35">
      <c r="A82" t="s">
        <v>169</v>
      </c>
      <c r="B82">
        <v>1</v>
      </c>
      <c r="C82" t="s">
        <v>0</v>
      </c>
      <c r="D82" t="s">
        <v>4</v>
      </c>
      <c r="E82" t="s">
        <v>3</v>
      </c>
      <c r="F82" s="1">
        <v>0.32</v>
      </c>
      <c r="G82" t="s">
        <v>168</v>
      </c>
      <c r="H82">
        <v>5</v>
      </c>
      <c r="I82">
        <v>12</v>
      </c>
      <c r="J82">
        <v>15</v>
      </c>
      <c r="K82">
        <v>35</v>
      </c>
      <c r="L82">
        <v>12</v>
      </c>
      <c r="M82">
        <f t="shared" si="19"/>
        <v>47</v>
      </c>
      <c r="N82">
        <v>55</v>
      </c>
      <c r="O82">
        <v>1.79</v>
      </c>
      <c r="P82">
        <v>0.17</v>
      </c>
      <c r="Q82">
        <f t="shared" si="13"/>
        <v>1.5497295239133504E-2</v>
      </c>
      <c r="R82" s="6">
        <v>127.5</v>
      </c>
      <c r="S82">
        <v>0.79</v>
      </c>
      <c r="T82">
        <f t="shared" si="14"/>
        <v>0.82000000000000006</v>
      </c>
      <c r="U82">
        <v>0.85</v>
      </c>
      <c r="V82">
        <v>0.88</v>
      </c>
      <c r="W82">
        <f t="shared" si="20"/>
        <v>1.32</v>
      </c>
      <c r="X82">
        <f t="shared" si="15"/>
        <v>2.64</v>
      </c>
      <c r="Y82">
        <v>0.65</v>
      </c>
      <c r="Z82">
        <v>17</v>
      </c>
      <c r="AA82">
        <v>17.7</v>
      </c>
      <c r="AB82">
        <v>46</v>
      </c>
      <c r="AC82">
        <v>1328.9999595827658</v>
      </c>
      <c r="AF82">
        <v>1411</v>
      </c>
      <c r="AG82">
        <v>221</v>
      </c>
      <c r="AH82" t="s">
        <v>21</v>
      </c>
      <c r="AI82">
        <v>2.6355419999999998E-3</v>
      </c>
      <c r="AJ82">
        <v>0</v>
      </c>
      <c r="AK82">
        <v>11</v>
      </c>
      <c r="AL82">
        <v>338</v>
      </c>
      <c r="AM82">
        <f t="shared" si="21"/>
        <v>327</v>
      </c>
      <c r="AN82">
        <v>0.17</v>
      </c>
      <c r="AO82">
        <f t="shared" si="16"/>
        <v>1.2823529411764707</v>
      </c>
      <c r="AP82">
        <v>80</v>
      </c>
      <c r="AQ82">
        <f t="shared" si="17"/>
        <v>46.417545218000001</v>
      </c>
      <c r="AR82">
        <f t="shared" si="23"/>
        <v>0.582454782</v>
      </c>
      <c r="AS82">
        <f t="shared" si="22"/>
        <v>0.9514621015000001</v>
      </c>
      <c r="AU82" t="s">
        <v>325</v>
      </c>
      <c r="AV82" t="s">
        <v>21</v>
      </c>
      <c r="AX82" s="14">
        <v>0</v>
      </c>
      <c r="AY82">
        <v>43</v>
      </c>
      <c r="AZ82" t="s">
        <v>169</v>
      </c>
      <c r="BA82" t="s">
        <v>0</v>
      </c>
    </row>
    <row r="83" spans="1:53" x14ac:dyDescent="0.35">
      <c r="A83" t="s">
        <v>167</v>
      </c>
      <c r="B83">
        <v>1</v>
      </c>
      <c r="C83" t="s">
        <v>5</v>
      </c>
      <c r="D83" t="s">
        <v>4</v>
      </c>
      <c r="E83" t="s">
        <v>3</v>
      </c>
      <c r="F83" s="1">
        <v>0.32</v>
      </c>
      <c r="G83" t="s">
        <v>168</v>
      </c>
      <c r="H83">
        <v>5</v>
      </c>
      <c r="I83">
        <v>12</v>
      </c>
      <c r="J83">
        <v>15</v>
      </c>
      <c r="K83">
        <v>35</v>
      </c>
      <c r="L83">
        <v>12</v>
      </c>
      <c r="M83">
        <f t="shared" si="19"/>
        <v>47</v>
      </c>
      <c r="N83">
        <v>55</v>
      </c>
      <c r="O83">
        <v>1.79</v>
      </c>
      <c r="P83">
        <v>0.17</v>
      </c>
      <c r="Q83">
        <f t="shared" si="13"/>
        <v>1.5497295239133504E-2</v>
      </c>
      <c r="R83" s="6">
        <v>127.5</v>
      </c>
      <c r="S83">
        <v>0.79</v>
      </c>
      <c r="T83">
        <f t="shared" si="14"/>
        <v>0.82000000000000006</v>
      </c>
      <c r="U83">
        <v>0.85</v>
      </c>
      <c r="V83">
        <v>0.88</v>
      </c>
      <c r="W83">
        <f t="shared" si="20"/>
        <v>1.32</v>
      </c>
      <c r="X83">
        <f t="shared" si="15"/>
        <v>2.64</v>
      </c>
      <c r="Y83">
        <v>0.65</v>
      </c>
      <c r="Z83">
        <v>17</v>
      </c>
      <c r="AA83">
        <v>17.7</v>
      </c>
      <c r="AB83">
        <v>46</v>
      </c>
      <c r="AC83">
        <f>Z83/AH83</f>
        <v>1328.9999595827658</v>
      </c>
      <c r="AF83">
        <v>1411</v>
      </c>
      <c r="AG83">
        <v>932</v>
      </c>
      <c r="AH83">
        <v>1.2791573000000001E-2</v>
      </c>
      <c r="AI83" t="s">
        <v>21</v>
      </c>
      <c r="AJ83">
        <v>1</v>
      </c>
      <c r="AK83">
        <v>117</v>
      </c>
      <c r="AL83">
        <v>342</v>
      </c>
      <c r="AM83">
        <f t="shared" si="21"/>
        <v>225</v>
      </c>
      <c r="AN83">
        <v>0.17</v>
      </c>
      <c r="AO83">
        <f t="shared" si="16"/>
        <v>0.88235294117647056</v>
      </c>
      <c r="AP83">
        <v>81</v>
      </c>
      <c r="AQ83" t="str">
        <f t="shared" si="17"/>
        <v>NA</v>
      </c>
      <c r="AR83" t="str">
        <f t="shared" si="23"/>
        <v>NA</v>
      </c>
      <c r="AS83" t="str">
        <f t="shared" si="22"/>
        <v>NA</v>
      </c>
      <c r="AU83" t="s">
        <v>325</v>
      </c>
      <c r="AV83" t="s">
        <v>21</v>
      </c>
      <c r="AX83" s="14">
        <v>1</v>
      </c>
      <c r="AY83">
        <v>44</v>
      </c>
      <c r="AZ83" t="s">
        <v>167</v>
      </c>
      <c r="BA83" t="s">
        <v>5</v>
      </c>
    </row>
    <row r="84" spans="1:53" x14ac:dyDescent="0.35">
      <c r="A84" t="s">
        <v>167</v>
      </c>
      <c r="B84">
        <v>1</v>
      </c>
      <c r="C84" t="s">
        <v>0</v>
      </c>
      <c r="D84" t="s">
        <v>4</v>
      </c>
      <c r="E84" t="s">
        <v>3</v>
      </c>
      <c r="F84" s="1">
        <v>0.32</v>
      </c>
      <c r="G84" t="s">
        <v>168</v>
      </c>
      <c r="H84">
        <v>5</v>
      </c>
      <c r="I84">
        <v>12</v>
      </c>
      <c r="J84">
        <v>15</v>
      </c>
      <c r="K84">
        <v>35</v>
      </c>
      <c r="L84">
        <v>12</v>
      </c>
      <c r="M84">
        <f t="shared" si="19"/>
        <v>47</v>
      </c>
      <c r="N84">
        <v>55</v>
      </c>
      <c r="O84">
        <v>1.79</v>
      </c>
      <c r="P84">
        <v>0.17</v>
      </c>
      <c r="Q84">
        <f t="shared" si="13"/>
        <v>1.5497295239133504E-2</v>
      </c>
      <c r="R84" s="6">
        <v>127.5</v>
      </c>
      <c r="S84">
        <v>0.79</v>
      </c>
      <c r="T84">
        <f t="shared" si="14"/>
        <v>0.82000000000000006</v>
      </c>
      <c r="U84">
        <v>0.85</v>
      </c>
      <c r="V84">
        <v>0.88</v>
      </c>
      <c r="W84">
        <f t="shared" si="20"/>
        <v>1.32</v>
      </c>
      <c r="X84">
        <f t="shared" si="15"/>
        <v>2.64</v>
      </c>
      <c r="Y84">
        <v>0.65</v>
      </c>
      <c r="Z84">
        <v>17</v>
      </c>
      <c r="AA84">
        <v>17.7</v>
      </c>
      <c r="AB84">
        <v>46</v>
      </c>
      <c r="AC84">
        <v>1328.9999595827658</v>
      </c>
      <c r="AF84">
        <v>1411</v>
      </c>
      <c r="AG84">
        <v>932</v>
      </c>
      <c r="AH84" t="s">
        <v>21</v>
      </c>
      <c r="AI84">
        <v>2.6355419999999998E-3</v>
      </c>
      <c r="AJ84">
        <v>1</v>
      </c>
      <c r="AK84">
        <v>115</v>
      </c>
      <c r="AL84">
        <v>340</v>
      </c>
      <c r="AM84">
        <f t="shared" si="21"/>
        <v>225</v>
      </c>
      <c r="AN84">
        <v>0.17</v>
      </c>
      <c r="AO84">
        <f t="shared" si="16"/>
        <v>0.88235294117647056</v>
      </c>
      <c r="AP84">
        <v>82</v>
      </c>
      <c r="AQ84">
        <f t="shared" si="17"/>
        <v>44.543674856000003</v>
      </c>
      <c r="AR84">
        <f t="shared" si="23"/>
        <v>2.456325144</v>
      </c>
      <c r="AS84">
        <f t="shared" si="22"/>
        <v>0.79530623799999989</v>
      </c>
      <c r="AT84" s="7"/>
      <c r="AU84" t="s">
        <v>325</v>
      </c>
      <c r="AV84" t="s">
        <v>21</v>
      </c>
      <c r="AX84" s="14">
        <v>1</v>
      </c>
      <c r="AY84">
        <v>44</v>
      </c>
      <c r="AZ84" t="s">
        <v>167</v>
      </c>
      <c r="BA84" t="s">
        <v>0</v>
      </c>
    </row>
    <row r="85" spans="1:53" x14ac:dyDescent="0.35">
      <c r="A85" t="s">
        <v>166</v>
      </c>
      <c r="B85">
        <v>1</v>
      </c>
      <c r="C85" t="s">
        <v>5</v>
      </c>
      <c r="D85" t="s">
        <v>4</v>
      </c>
      <c r="E85" t="s">
        <v>3</v>
      </c>
      <c r="F85" s="1">
        <v>0.33</v>
      </c>
      <c r="G85" t="s">
        <v>165</v>
      </c>
      <c r="H85">
        <v>5</v>
      </c>
      <c r="I85">
        <v>14</v>
      </c>
      <c r="J85">
        <v>25</v>
      </c>
      <c r="K85">
        <v>32</v>
      </c>
      <c r="L85">
        <v>9</v>
      </c>
      <c r="M85">
        <f t="shared" si="19"/>
        <v>41</v>
      </c>
      <c r="N85">
        <v>32</v>
      </c>
      <c r="O85">
        <v>2.8</v>
      </c>
      <c r="P85">
        <v>0.22</v>
      </c>
      <c r="Q85">
        <f t="shared" si="13"/>
        <v>1.3425003586951152E-2</v>
      </c>
      <c r="R85" s="6">
        <v>102.5</v>
      </c>
      <c r="S85">
        <v>0.81</v>
      </c>
      <c r="T85">
        <f t="shared" si="14"/>
        <v>0.94000000000000006</v>
      </c>
      <c r="U85">
        <v>1.07</v>
      </c>
      <c r="V85">
        <v>1.22</v>
      </c>
      <c r="W85">
        <f t="shared" si="20"/>
        <v>1.83</v>
      </c>
      <c r="X85">
        <f t="shared" si="15"/>
        <v>3.66</v>
      </c>
      <c r="Y85">
        <v>0.65</v>
      </c>
      <c r="Z85">
        <v>17</v>
      </c>
      <c r="AA85">
        <v>17.7</v>
      </c>
      <c r="AB85">
        <v>50</v>
      </c>
      <c r="AC85">
        <f>Z85/AH85</f>
        <v>1483.5333470807423</v>
      </c>
      <c r="AD85" t="s">
        <v>458</v>
      </c>
      <c r="AE85">
        <v>1268</v>
      </c>
      <c r="AF85">
        <v>1269</v>
      </c>
      <c r="AG85">
        <v>1022</v>
      </c>
      <c r="AH85">
        <v>1.1459129E-2</v>
      </c>
      <c r="AI85" t="s">
        <v>21</v>
      </c>
      <c r="AJ85">
        <v>1</v>
      </c>
      <c r="AK85">
        <v>10</v>
      </c>
      <c r="AL85">
        <v>136</v>
      </c>
      <c r="AM85">
        <f t="shared" si="21"/>
        <v>126</v>
      </c>
      <c r="AN85">
        <v>0.22</v>
      </c>
      <c r="AO85">
        <f t="shared" si="16"/>
        <v>0.61463414634146341</v>
      </c>
      <c r="AP85">
        <v>83</v>
      </c>
      <c r="AQ85" t="str">
        <f t="shared" si="17"/>
        <v>NA</v>
      </c>
      <c r="AR85" t="str">
        <f t="shared" si="23"/>
        <v>NA</v>
      </c>
      <c r="AS85" t="str">
        <f t="shared" si="22"/>
        <v>NA</v>
      </c>
      <c r="AT85" s="7"/>
      <c r="AU85" t="s">
        <v>303</v>
      </c>
      <c r="AX85" s="9">
        <v>11</v>
      </c>
      <c r="AY85">
        <v>45</v>
      </c>
      <c r="AZ85" t="s">
        <v>166</v>
      </c>
      <c r="BA85" t="s">
        <v>5</v>
      </c>
    </row>
    <row r="86" spans="1:53" x14ac:dyDescent="0.35">
      <c r="A86" t="s">
        <v>166</v>
      </c>
      <c r="B86">
        <v>1</v>
      </c>
      <c r="C86" t="s">
        <v>0</v>
      </c>
      <c r="D86" t="s">
        <v>4</v>
      </c>
      <c r="E86" t="s">
        <v>3</v>
      </c>
      <c r="F86" s="1">
        <v>0.33</v>
      </c>
      <c r="G86" t="s">
        <v>165</v>
      </c>
      <c r="H86">
        <v>5</v>
      </c>
      <c r="I86">
        <v>14</v>
      </c>
      <c r="J86">
        <v>25</v>
      </c>
      <c r="K86">
        <v>32</v>
      </c>
      <c r="L86">
        <v>9</v>
      </c>
      <c r="M86">
        <f t="shared" si="19"/>
        <v>41</v>
      </c>
      <c r="N86">
        <v>32</v>
      </c>
      <c r="O86">
        <v>2.8</v>
      </c>
      <c r="P86">
        <v>0.22</v>
      </c>
      <c r="Q86">
        <f t="shared" si="13"/>
        <v>1.3425003586951152E-2</v>
      </c>
      <c r="R86" s="6">
        <v>102.5</v>
      </c>
      <c r="S86">
        <v>0.81</v>
      </c>
      <c r="T86">
        <f t="shared" si="14"/>
        <v>0.94000000000000006</v>
      </c>
      <c r="U86">
        <v>1.07</v>
      </c>
      <c r="V86">
        <v>1.22</v>
      </c>
      <c r="W86">
        <f t="shared" si="20"/>
        <v>1.83</v>
      </c>
      <c r="X86">
        <f t="shared" si="15"/>
        <v>3.66</v>
      </c>
      <c r="Y86">
        <v>0.65</v>
      </c>
      <c r="Z86">
        <v>17</v>
      </c>
      <c r="AA86">
        <v>17.7</v>
      </c>
      <c r="AB86">
        <v>50</v>
      </c>
      <c r="AC86">
        <v>1483.5333470807423</v>
      </c>
      <c r="AD86" t="s">
        <v>459</v>
      </c>
      <c r="AE86">
        <v>1268</v>
      </c>
      <c r="AF86">
        <v>1269</v>
      </c>
      <c r="AG86">
        <v>1022</v>
      </c>
      <c r="AH86" t="s">
        <v>21</v>
      </c>
      <c r="AI86">
        <v>2.6355419999999998E-3</v>
      </c>
      <c r="AJ86">
        <v>1</v>
      </c>
      <c r="AK86">
        <v>9</v>
      </c>
      <c r="AL86">
        <v>135</v>
      </c>
      <c r="AM86">
        <f t="shared" si="21"/>
        <v>126</v>
      </c>
      <c r="AN86">
        <v>0.22</v>
      </c>
      <c r="AO86">
        <f t="shared" si="16"/>
        <v>0.61463414634146341</v>
      </c>
      <c r="AP86">
        <v>84</v>
      </c>
      <c r="AQ86">
        <f t="shared" si="17"/>
        <v>38.306476076000003</v>
      </c>
      <c r="AR86">
        <f t="shared" si="23"/>
        <v>2.693523924</v>
      </c>
      <c r="AS86">
        <f t="shared" si="22"/>
        <v>0.70071956400000002</v>
      </c>
      <c r="AT86" s="7"/>
      <c r="AU86" t="s">
        <v>303</v>
      </c>
      <c r="AX86" s="9">
        <v>11</v>
      </c>
      <c r="AY86">
        <v>45</v>
      </c>
      <c r="AZ86" t="s">
        <v>166</v>
      </c>
      <c r="BA86" t="s">
        <v>0</v>
      </c>
    </row>
    <row r="87" spans="1:53" x14ac:dyDescent="0.35">
      <c r="A87" t="s">
        <v>164</v>
      </c>
      <c r="B87">
        <v>1</v>
      </c>
      <c r="C87" t="s">
        <v>5</v>
      </c>
      <c r="D87" t="s">
        <v>4</v>
      </c>
      <c r="E87" t="s">
        <v>3</v>
      </c>
      <c r="F87" s="1">
        <v>0.33</v>
      </c>
      <c r="G87" t="s">
        <v>165</v>
      </c>
      <c r="H87">
        <v>5</v>
      </c>
      <c r="I87">
        <v>14</v>
      </c>
      <c r="J87">
        <v>25</v>
      </c>
      <c r="K87">
        <v>32</v>
      </c>
      <c r="L87">
        <v>9</v>
      </c>
      <c r="M87">
        <f t="shared" si="19"/>
        <v>41</v>
      </c>
      <c r="N87">
        <v>32</v>
      </c>
      <c r="O87">
        <v>2.8</v>
      </c>
      <c r="P87">
        <v>0.22</v>
      </c>
      <c r="Q87">
        <f t="shared" si="13"/>
        <v>1.3425003586951152E-2</v>
      </c>
      <c r="R87" s="6">
        <v>102.5</v>
      </c>
      <c r="S87">
        <v>0.81</v>
      </c>
      <c r="T87">
        <f t="shared" si="14"/>
        <v>0.94000000000000006</v>
      </c>
      <c r="U87">
        <v>1.07</v>
      </c>
      <c r="V87">
        <v>1.22</v>
      </c>
      <c r="W87">
        <f t="shared" si="20"/>
        <v>1.83</v>
      </c>
      <c r="X87">
        <f t="shared" si="15"/>
        <v>3.66</v>
      </c>
      <c r="Y87">
        <v>0.65</v>
      </c>
      <c r="Z87">
        <v>17</v>
      </c>
      <c r="AA87">
        <v>17.7</v>
      </c>
      <c r="AB87">
        <v>50</v>
      </c>
      <c r="AC87">
        <f>Z87/AH87</f>
        <v>1483.5333470807423</v>
      </c>
      <c r="AD87" t="s">
        <v>460</v>
      </c>
      <c r="AE87">
        <v>1268</v>
      </c>
      <c r="AF87">
        <v>1269</v>
      </c>
      <c r="AG87">
        <v>866</v>
      </c>
      <c r="AH87">
        <v>1.1459129E-2</v>
      </c>
      <c r="AI87" t="s">
        <v>21</v>
      </c>
      <c r="AJ87">
        <v>1</v>
      </c>
      <c r="AK87">
        <v>21</v>
      </c>
      <c r="AL87">
        <v>168</v>
      </c>
      <c r="AM87">
        <f t="shared" si="21"/>
        <v>147</v>
      </c>
      <c r="AN87">
        <v>0.22</v>
      </c>
      <c r="AO87">
        <f t="shared" si="16"/>
        <v>0.71707317073170729</v>
      </c>
      <c r="AP87">
        <v>85</v>
      </c>
      <c r="AQ87" t="str">
        <f t="shared" si="17"/>
        <v>NA</v>
      </c>
      <c r="AR87" t="str">
        <f t="shared" si="23"/>
        <v>NA</v>
      </c>
      <c r="AS87" t="str">
        <f t="shared" si="22"/>
        <v>NA</v>
      </c>
      <c r="AU87" t="s">
        <v>311</v>
      </c>
      <c r="AV87" t="s">
        <v>432</v>
      </c>
      <c r="AX87" s="14">
        <v>1</v>
      </c>
      <c r="AY87">
        <v>46</v>
      </c>
      <c r="AZ87" t="s">
        <v>164</v>
      </c>
      <c r="BA87" t="s">
        <v>5</v>
      </c>
    </row>
    <row r="88" spans="1:53" x14ac:dyDescent="0.35">
      <c r="A88" t="s">
        <v>164</v>
      </c>
      <c r="B88">
        <v>1</v>
      </c>
      <c r="C88" t="s">
        <v>0</v>
      </c>
      <c r="D88" t="s">
        <v>4</v>
      </c>
      <c r="E88" t="s">
        <v>3</v>
      </c>
      <c r="F88" s="1">
        <v>0.33</v>
      </c>
      <c r="G88" t="s">
        <v>165</v>
      </c>
      <c r="H88">
        <v>5</v>
      </c>
      <c r="I88">
        <v>14</v>
      </c>
      <c r="J88">
        <v>25</v>
      </c>
      <c r="K88">
        <v>32</v>
      </c>
      <c r="L88">
        <v>9</v>
      </c>
      <c r="M88">
        <f t="shared" si="19"/>
        <v>41</v>
      </c>
      <c r="N88">
        <v>32</v>
      </c>
      <c r="O88">
        <v>2.8</v>
      </c>
      <c r="P88">
        <v>0.22</v>
      </c>
      <c r="Q88">
        <f t="shared" si="13"/>
        <v>1.3425003586951152E-2</v>
      </c>
      <c r="R88" s="6">
        <v>102.5</v>
      </c>
      <c r="S88">
        <v>0.81</v>
      </c>
      <c r="T88">
        <f t="shared" si="14"/>
        <v>0.94000000000000006</v>
      </c>
      <c r="U88">
        <v>1.07</v>
      </c>
      <c r="V88">
        <v>1.22</v>
      </c>
      <c r="W88">
        <f t="shared" si="20"/>
        <v>1.83</v>
      </c>
      <c r="X88">
        <f t="shared" si="15"/>
        <v>3.66</v>
      </c>
      <c r="Y88">
        <v>0.65</v>
      </c>
      <c r="Z88">
        <v>17</v>
      </c>
      <c r="AA88">
        <v>17.7</v>
      </c>
      <c r="AB88">
        <v>50</v>
      </c>
      <c r="AC88">
        <v>1483.5333470807423</v>
      </c>
      <c r="AD88" t="s">
        <v>461</v>
      </c>
      <c r="AE88">
        <v>1268</v>
      </c>
      <c r="AF88">
        <v>1269</v>
      </c>
      <c r="AG88">
        <v>866</v>
      </c>
      <c r="AH88" t="s">
        <v>21</v>
      </c>
      <c r="AI88">
        <v>2.6355419999999998E-3</v>
      </c>
      <c r="AJ88">
        <v>1</v>
      </c>
      <c r="AK88">
        <v>18</v>
      </c>
      <c r="AL88">
        <v>165</v>
      </c>
      <c r="AM88">
        <f t="shared" si="21"/>
        <v>147</v>
      </c>
      <c r="AN88">
        <v>0.22</v>
      </c>
      <c r="AO88">
        <f t="shared" si="16"/>
        <v>0.71707317073170729</v>
      </c>
      <c r="AP88">
        <v>86</v>
      </c>
      <c r="AQ88">
        <f t="shared" si="17"/>
        <v>38.717620627999999</v>
      </c>
      <c r="AR88">
        <f t="shared" si="23"/>
        <v>2.2823793719999999</v>
      </c>
      <c r="AS88">
        <f t="shared" si="22"/>
        <v>0.74640229200000008</v>
      </c>
      <c r="AU88" t="s">
        <v>311</v>
      </c>
      <c r="AV88" t="s">
        <v>432</v>
      </c>
      <c r="AX88" s="14">
        <v>1</v>
      </c>
      <c r="AY88">
        <v>46</v>
      </c>
      <c r="AZ88" t="s">
        <v>164</v>
      </c>
      <c r="BA88" t="s">
        <v>0</v>
      </c>
    </row>
    <row r="89" spans="1:53" ht="16.5" customHeight="1" x14ac:dyDescent="0.35">
      <c r="A89" t="s">
        <v>163</v>
      </c>
      <c r="B89">
        <v>1</v>
      </c>
      <c r="C89" t="s">
        <v>5</v>
      </c>
      <c r="D89" t="s">
        <v>4</v>
      </c>
      <c r="E89" t="s">
        <v>3</v>
      </c>
      <c r="F89" s="1">
        <v>0.34</v>
      </c>
      <c r="G89" t="s">
        <v>121</v>
      </c>
      <c r="H89">
        <v>7</v>
      </c>
      <c r="I89">
        <v>14</v>
      </c>
      <c r="J89">
        <v>21</v>
      </c>
      <c r="K89">
        <v>32</v>
      </c>
      <c r="L89">
        <v>8</v>
      </c>
      <c r="M89">
        <f t="shared" si="19"/>
        <v>40</v>
      </c>
      <c r="N89">
        <v>47</v>
      </c>
      <c r="O89">
        <v>2.91</v>
      </c>
      <c r="P89">
        <v>0.19</v>
      </c>
      <c r="Q89">
        <f t="shared" si="13"/>
        <v>1.3917587935777293E-2</v>
      </c>
      <c r="R89" s="6">
        <v>146.5</v>
      </c>
      <c r="S89">
        <v>0.75</v>
      </c>
      <c r="T89">
        <f t="shared" si="14"/>
        <v>0.89</v>
      </c>
      <c r="U89">
        <v>1.03</v>
      </c>
      <c r="V89">
        <v>1.03</v>
      </c>
      <c r="W89">
        <f t="shared" si="20"/>
        <v>1.5449999999999999</v>
      </c>
      <c r="X89">
        <f t="shared" si="15"/>
        <v>3.09</v>
      </c>
      <c r="Y89">
        <v>0.65</v>
      </c>
      <c r="Z89">
        <v>17</v>
      </c>
      <c r="AA89">
        <v>17.7</v>
      </c>
      <c r="AB89">
        <v>60</v>
      </c>
      <c r="AC89">
        <f>Z89/AH89</f>
        <v>1304.4666626663022</v>
      </c>
      <c r="AD89" t="s">
        <v>462</v>
      </c>
      <c r="AE89">
        <v>1269</v>
      </c>
      <c r="AF89">
        <v>1270</v>
      </c>
      <c r="AG89">
        <v>290</v>
      </c>
      <c r="AH89">
        <v>1.3032146E-2</v>
      </c>
      <c r="AI89" t="s">
        <v>21</v>
      </c>
      <c r="AJ89">
        <v>0</v>
      </c>
      <c r="AK89">
        <v>30</v>
      </c>
      <c r="AL89">
        <v>199</v>
      </c>
      <c r="AM89">
        <f t="shared" si="21"/>
        <v>169</v>
      </c>
      <c r="AN89">
        <v>0.19</v>
      </c>
      <c r="AO89">
        <f t="shared" si="16"/>
        <v>0.57679180887372017</v>
      </c>
      <c r="AP89">
        <v>87</v>
      </c>
      <c r="AQ89" t="str">
        <f t="shared" si="17"/>
        <v>NA</v>
      </c>
      <c r="AR89" t="str">
        <f t="shared" si="23"/>
        <v>NA</v>
      </c>
      <c r="AS89" t="str">
        <f t="shared" si="22"/>
        <v>NA</v>
      </c>
      <c r="AT89" s="5" t="s">
        <v>429</v>
      </c>
      <c r="AU89" t="s">
        <v>303</v>
      </c>
      <c r="AX89" s="12">
        <v>0</v>
      </c>
      <c r="AY89">
        <v>47</v>
      </c>
      <c r="AZ89" t="s">
        <v>163</v>
      </c>
      <c r="BA89" t="s">
        <v>5</v>
      </c>
    </row>
    <row r="90" spans="1:53" x14ac:dyDescent="0.35">
      <c r="A90" t="s">
        <v>163</v>
      </c>
      <c r="B90">
        <v>1</v>
      </c>
      <c r="C90" t="s">
        <v>0</v>
      </c>
      <c r="D90" t="s">
        <v>4</v>
      </c>
      <c r="E90" t="s">
        <v>3</v>
      </c>
      <c r="F90" s="1">
        <v>0.34</v>
      </c>
      <c r="G90" t="s">
        <v>121</v>
      </c>
      <c r="H90">
        <v>7</v>
      </c>
      <c r="I90">
        <v>14</v>
      </c>
      <c r="J90">
        <v>21</v>
      </c>
      <c r="K90">
        <v>32</v>
      </c>
      <c r="L90">
        <v>8</v>
      </c>
      <c r="M90">
        <f t="shared" si="19"/>
        <v>40</v>
      </c>
      <c r="N90">
        <v>47</v>
      </c>
      <c r="O90">
        <v>2.91</v>
      </c>
      <c r="P90">
        <v>0.19</v>
      </c>
      <c r="Q90">
        <f t="shared" si="13"/>
        <v>1.3917587935777293E-2</v>
      </c>
      <c r="R90" s="6">
        <v>146.5</v>
      </c>
      <c r="S90">
        <v>0.75</v>
      </c>
      <c r="T90">
        <f t="shared" si="14"/>
        <v>0.89</v>
      </c>
      <c r="U90">
        <v>1.03</v>
      </c>
      <c r="V90">
        <v>1.03</v>
      </c>
      <c r="W90">
        <f t="shared" si="20"/>
        <v>1.5449999999999999</v>
      </c>
      <c r="X90">
        <f t="shared" si="15"/>
        <v>3.09</v>
      </c>
      <c r="Y90">
        <v>0.65</v>
      </c>
      <c r="Z90">
        <v>17</v>
      </c>
      <c r="AA90">
        <v>17.7</v>
      </c>
      <c r="AB90">
        <v>60</v>
      </c>
      <c r="AC90">
        <v>1304.4666626663022</v>
      </c>
      <c r="AD90" t="s">
        <v>463</v>
      </c>
      <c r="AE90">
        <v>1269</v>
      </c>
      <c r="AF90">
        <v>1270</v>
      </c>
      <c r="AG90">
        <v>290</v>
      </c>
      <c r="AH90" t="s">
        <v>21</v>
      </c>
      <c r="AI90">
        <v>3.270111E-3</v>
      </c>
      <c r="AJ90">
        <v>0</v>
      </c>
      <c r="AK90">
        <v>8</v>
      </c>
      <c r="AL90">
        <v>177</v>
      </c>
      <c r="AM90">
        <f t="shared" si="21"/>
        <v>169</v>
      </c>
      <c r="AN90">
        <v>0.19</v>
      </c>
      <c r="AO90">
        <f t="shared" si="16"/>
        <v>0.57679180887372017</v>
      </c>
      <c r="AP90">
        <v>88</v>
      </c>
      <c r="AQ90">
        <f t="shared" si="17"/>
        <v>39.051667809999998</v>
      </c>
      <c r="AR90">
        <f t="shared" si="23"/>
        <v>0.94833219000000002</v>
      </c>
      <c r="AS90">
        <f t="shared" si="22"/>
        <v>0.88145847624999996</v>
      </c>
      <c r="AU90" t="s">
        <v>303</v>
      </c>
      <c r="AX90" s="12">
        <v>0</v>
      </c>
      <c r="AY90">
        <v>47</v>
      </c>
      <c r="AZ90" t="s">
        <v>163</v>
      </c>
      <c r="BA90" t="s">
        <v>0</v>
      </c>
    </row>
    <row r="91" spans="1:53" x14ac:dyDescent="0.35">
      <c r="A91" t="s">
        <v>162</v>
      </c>
      <c r="B91">
        <v>1</v>
      </c>
      <c r="C91" t="s">
        <v>5</v>
      </c>
      <c r="D91" t="s">
        <v>4</v>
      </c>
      <c r="E91" t="s">
        <v>3</v>
      </c>
      <c r="F91" s="1">
        <v>0.34</v>
      </c>
      <c r="G91" t="s">
        <v>121</v>
      </c>
      <c r="H91">
        <v>7</v>
      </c>
      <c r="I91">
        <v>14</v>
      </c>
      <c r="J91">
        <v>21</v>
      </c>
      <c r="K91">
        <v>32</v>
      </c>
      <c r="L91">
        <v>8</v>
      </c>
      <c r="M91">
        <f t="shared" si="19"/>
        <v>40</v>
      </c>
      <c r="N91">
        <v>47</v>
      </c>
      <c r="O91">
        <v>2.91</v>
      </c>
      <c r="P91">
        <v>0.19</v>
      </c>
      <c r="Q91">
        <f t="shared" si="13"/>
        <v>1.3917587935777293E-2</v>
      </c>
      <c r="R91" s="6">
        <v>146.5</v>
      </c>
      <c r="S91">
        <v>0.75</v>
      </c>
      <c r="T91">
        <f t="shared" si="14"/>
        <v>0.89</v>
      </c>
      <c r="U91">
        <v>1.03</v>
      </c>
      <c r="V91">
        <v>1.03</v>
      </c>
      <c r="W91">
        <f t="shared" si="20"/>
        <v>1.5449999999999999</v>
      </c>
      <c r="X91">
        <f t="shared" si="15"/>
        <v>3.09</v>
      </c>
      <c r="Y91">
        <v>0.65</v>
      </c>
      <c r="Z91">
        <v>17</v>
      </c>
      <c r="AA91">
        <v>17.7</v>
      </c>
      <c r="AB91">
        <v>60</v>
      </c>
      <c r="AC91">
        <f>Z91/AH91</f>
        <v>1304.4666626663022</v>
      </c>
      <c r="AD91" t="s">
        <v>464</v>
      </c>
      <c r="AE91">
        <v>1269</v>
      </c>
      <c r="AF91">
        <v>1270</v>
      </c>
      <c r="AG91">
        <v>625</v>
      </c>
      <c r="AH91">
        <v>1.3032146E-2</v>
      </c>
      <c r="AI91" t="s">
        <v>21</v>
      </c>
      <c r="AJ91">
        <v>1</v>
      </c>
      <c r="AK91">
        <v>38</v>
      </c>
      <c r="AL91">
        <v>275</v>
      </c>
      <c r="AM91">
        <f t="shared" si="21"/>
        <v>237</v>
      </c>
      <c r="AN91">
        <v>0.19</v>
      </c>
      <c r="AO91">
        <f t="shared" si="16"/>
        <v>0.80887372013651881</v>
      </c>
      <c r="AP91">
        <v>89</v>
      </c>
      <c r="AQ91" t="str">
        <f t="shared" si="17"/>
        <v>NA</v>
      </c>
      <c r="AR91" t="str">
        <f t="shared" si="23"/>
        <v>NA</v>
      </c>
      <c r="AS91" t="str">
        <f t="shared" si="22"/>
        <v>NA</v>
      </c>
      <c r="AU91" t="s">
        <v>303</v>
      </c>
      <c r="AX91" s="13">
        <v>1</v>
      </c>
      <c r="AY91">
        <v>48</v>
      </c>
      <c r="AZ91" t="s">
        <v>162</v>
      </c>
      <c r="BA91" t="s">
        <v>5</v>
      </c>
    </row>
    <row r="92" spans="1:53" x14ac:dyDescent="0.35">
      <c r="A92" t="s">
        <v>162</v>
      </c>
      <c r="B92">
        <v>1</v>
      </c>
      <c r="C92" t="s">
        <v>0</v>
      </c>
      <c r="D92" t="s">
        <v>4</v>
      </c>
      <c r="E92" t="s">
        <v>3</v>
      </c>
      <c r="F92" s="1">
        <v>0.34</v>
      </c>
      <c r="G92" t="s">
        <v>121</v>
      </c>
      <c r="H92">
        <v>7</v>
      </c>
      <c r="I92">
        <v>14</v>
      </c>
      <c r="J92">
        <v>21</v>
      </c>
      <c r="K92">
        <v>32</v>
      </c>
      <c r="L92">
        <v>8</v>
      </c>
      <c r="M92">
        <f t="shared" si="19"/>
        <v>40</v>
      </c>
      <c r="N92">
        <v>47</v>
      </c>
      <c r="O92">
        <v>2.91</v>
      </c>
      <c r="P92">
        <v>0.19</v>
      </c>
      <c r="Q92">
        <f t="shared" si="13"/>
        <v>1.3917587935777293E-2</v>
      </c>
      <c r="R92" s="6">
        <v>146.5</v>
      </c>
      <c r="S92">
        <v>0.75</v>
      </c>
      <c r="T92">
        <f t="shared" si="14"/>
        <v>0.89</v>
      </c>
      <c r="U92">
        <v>1.03</v>
      </c>
      <c r="V92">
        <v>1.03</v>
      </c>
      <c r="W92">
        <f t="shared" si="20"/>
        <v>1.5449999999999999</v>
      </c>
      <c r="X92">
        <f t="shared" si="15"/>
        <v>3.09</v>
      </c>
      <c r="Y92">
        <v>0.65</v>
      </c>
      <c r="Z92">
        <v>17</v>
      </c>
      <c r="AA92">
        <v>17.7</v>
      </c>
      <c r="AB92">
        <v>60</v>
      </c>
      <c r="AC92">
        <v>1304.4666626663022</v>
      </c>
      <c r="AD92" t="s">
        <v>465</v>
      </c>
      <c r="AE92">
        <v>1269</v>
      </c>
      <c r="AF92">
        <v>1270</v>
      </c>
      <c r="AG92">
        <v>625</v>
      </c>
      <c r="AH92" t="s">
        <v>21</v>
      </c>
      <c r="AI92">
        <v>3.270111E-3</v>
      </c>
      <c r="AJ92">
        <v>1</v>
      </c>
      <c r="AK92">
        <v>42</v>
      </c>
      <c r="AL92">
        <v>279</v>
      </c>
      <c r="AM92">
        <f t="shared" si="21"/>
        <v>237</v>
      </c>
      <c r="AN92">
        <v>0.19</v>
      </c>
      <c r="AO92">
        <f t="shared" si="16"/>
        <v>0.80887372013651881</v>
      </c>
      <c r="AP92">
        <v>90</v>
      </c>
      <c r="AQ92">
        <f t="shared" si="17"/>
        <v>37.956180625000002</v>
      </c>
      <c r="AR92">
        <f t="shared" si="23"/>
        <v>2.043819375</v>
      </c>
      <c r="AS92">
        <f t="shared" si="22"/>
        <v>0.744522578125</v>
      </c>
      <c r="AU92" t="s">
        <v>303</v>
      </c>
      <c r="AX92" s="13">
        <v>1</v>
      </c>
      <c r="AY92">
        <v>48</v>
      </c>
      <c r="AZ92" t="s">
        <v>162</v>
      </c>
      <c r="BA92" t="s">
        <v>0</v>
      </c>
    </row>
    <row r="93" spans="1:53" x14ac:dyDescent="0.35">
      <c r="A93" t="s">
        <v>161</v>
      </c>
      <c r="B93">
        <v>1</v>
      </c>
      <c r="C93" t="s">
        <v>5</v>
      </c>
      <c r="D93" t="s">
        <v>4</v>
      </c>
      <c r="E93" t="s">
        <v>3</v>
      </c>
      <c r="F93" s="1">
        <v>0.35</v>
      </c>
      <c r="G93" t="s">
        <v>149</v>
      </c>
      <c r="H93">
        <v>4</v>
      </c>
      <c r="I93">
        <v>12</v>
      </c>
      <c r="J93">
        <v>15</v>
      </c>
      <c r="K93">
        <v>31</v>
      </c>
      <c r="L93">
        <v>11</v>
      </c>
      <c r="M93">
        <f t="shared" si="19"/>
        <v>42</v>
      </c>
      <c r="N93">
        <v>48</v>
      </c>
      <c r="O93">
        <v>3.2</v>
      </c>
      <c r="P93">
        <v>0.22</v>
      </c>
      <c r="Q93">
        <f t="shared" si="13"/>
        <v>1.4669810670179152E-2</v>
      </c>
      <c r="R93" s="6">
        <v>99</v>
      </c>
      <c r="S93">
        <v>0.8</v>
      </c>
      <c r="T93">
        <f t="shared" si="14"/>
        <v>0.9</v>
      </c>
      <c r="U93">
        <v>1</v>
      </c>
      <c r="V93">
        <v>1.17</v>
      </c>
      <c r="W93">
        <f t="shared" si="20"/>
        <v>1.7549999999999999</v>
      </c>
      <c r="X93">
        <f t="shared" si="15"/>
        <v>3.51</v>
      </c>
      <c r="Y93">
        <v>0.65</v>
      </c>
      <c r="Z93">
        <v>17</v>
      </c>
      <c r="AA93">
        <v>17.7</v>
      </c>
      <c r="AB93">
        <v>60</v>
      </c>
      <c r="AC93">
        <f>Z93/AH93</f>
        <v>1302.2000286484006</v>
      </c>
      <c r="AD93" t="s">
        <v>466</v>
      </c>
      <c r="AE93">
        <v>1276</v>
      </c>
      <c r="AF93">
        <v>1275</v>
      </c>
      <c r="AG93">
        <v>250</v>
      </c>
      <c r="AH93">
        <v>1.305483E-2</v>
      </c>
      <c r="AI93" t="s">
        <v>21</v>
      </c>
      <c r="AJ93">
        <v>1</v>
      </c>
      <c r="AK93">
        <v>14</v>
      </c>
      <c r="AL93">
        <v>208</v>
      </c>
      <c r="AM93">
        <f t="shared" si="21"/>
        <v>194</v>
      </c>
      <c r="AN93">
        <v>0.22</v>
      </c>
      <c r="AO93">
        <f t="shared" si="16"/>
        <v>0.97979797979797978</v>
      </c>
      <c r="AP93">
        <v>91</v>
      </c>
      <c r="AQ93" t="str">
        <f t="shared" si="17"/>
        <v>NA</v>
      </c>
      <c r="AR93" t="str">
        <f t="shared" si="23"/>
        <v>NA</v>
      </c>
      <c r="AS93" t="str">
        <f t="shared" si="22"/>
        <v>NA</v>
      </c>
      <c r="AU93" t="s">
        <v>303</v>
      </c>
      <c r="AX93" s="13">
        <v>1</v>
      </c>
      <c r="AY93">
        <v>49</v>
      </c>
      <c r="AZ93" t="s">
        <v>161</v>
      </c>
      <c r="BA93" t="s">
        <v>5</v>
      </c>
    </row>
    <row r="94" spans="1:53" x14ac:dyDescent="0.35">
      <c r="A94" t="s">
        <v>161</v>
      </c>
      <c r="B94">
        <v>1</v>
      </c>
      <c r="C94" t="s">
        <v>0</v>
      </c>
      <c r="D94" t="s">
        <v>4</v>
      </c>
      <c r="E94" t="s">
        <v>3</v>
      </c>
      <c r="F94" s="1">
        <v>0.35</v>
      </c>
      <c r="G94" t="s">
        <v>149</v>
      </c>
      <c r="H94">
        <v>4</v>
      </c>
      <c r="I94">
        <v>12</v>
      </c>
      <c r="J94">
        <v>15</v>
      </c>
      <c r="K94">
        <v>31</v>
      </c>
      <c r="L94">
        <v>11</v>
      </c>
      <c r="M94">
        <f t="shared" si="19"/>
        <v>42</v>
      </c>
      <c r="N94">
        <v>48</v>
      </c>
      <c r="O94">
        <v>3.2</v>
      </c>
      <c r="P94">
        <v>0.22</v>
      </c>
      <c r="Q94">
        <f t="shared" si="13"/>
        <v>1.4669810670179152E-2</v>
      </c>
      <c r="R94" s="6">
        <v>99</v>
      </c>
      <c r="S94">
        <v>0.8</v>
      </c>
      <c r="T94">
        <f t="shared" si="14"/>
        <v>0.9</v>
      </c>
      <c r="U94">
        <v>1</v>
      </c>
      <c r="V94">
        <v>1.17</v>
      </c>
      <c r="W94">
        <f t="shared" si="20"/>
        <v>1.7549999999999999</v>
      </c>
      <c r="X94">
        <f t="shared" si="15"/>
        <v>3.51</v>
      </c>
      <c r="Y94">
        <v>0.65</v>
      </c>
      <c r="Z94">
        <v>17</v>
      </c>
      <c r="AA94">
        <v>17.7</v>
      </c>
      <c r="AB94">
        <v>60</v>
      </c>
      <c r="AC94">
        <v>1302.2000286484006</v>
      </c>
      <c r="AD94" t="s">
        <v>467</v>
      </c>
      <c r="AE94">
        <v>1276</v>
      </c>
      <c r="AF94">
        <v>1275</v>
      </c>
      <c r="AG94">
        <v>250</v>
      </c>
      <c r="AH94" t="s">
        <v>21</v>
      </c>
      <c r="AI94">
        <v>3.270111E-3</v>
      </c>
      <c r="AJ94">
        <v>1</v>
      </c>
      <c r="AK94">
        <v>7</v>
      </c>
      <c r="AL94">
        <v>201</v>
      </c>
      <c r="AM94">
        <f t="shared" si="21"/>
        <v>194</v>
      </c>
      <c r="AN94">
        <v>0.22</v>
      </c>
      <c r="AO94">
        <f t="shared" si="16"/>
        <v>0.97979797979797978</v>
      </c>
      <c r="AP94">
        <v>92</v>
      </c>
      <c r="AQ94">
        <f t="shared" si="17"/>
        <v>41.182472250000004</v>
      </c>
      <c r="AR94">
        <f t="shared" si="23"/>
        <v>0.81752775</v>
      </c>
      <c r="AS94">
        <f t="shared" si="22"/>
        <v>0.92567929545454541</v>
      </c>
      <c r="AU94" t="s">
        <v>303</v>
      </c>
      <c r="AX94" s="13">
        <v>1</v>
      </c>
      <c r="AY94">
        <v>49</v>
      </c>
      <c r="AZ94" t="s">
        <v>161</v>
      </c>
      <c r="BA94" t="s">
        <v>0</v>
      </c>
    </row>
    <row r="95" spans="1:53" x14ac:dyDescent="0.35">
      <c r="A95" t="s">
        <v>160</v>
      </c>
      <c r="B95">
        <v>1</v>
      </c>
      <c r="C95" t="s">
        <v>5</v>
      </c>
      <c r="D95" t="s">
        <v>4</v>
      </c>
      <c r="E95" t="s">
        <v>3</v>
      </c>
      <c r="F95" s="1">
        <v>0.33</v>
      </c>
      <c r="G95" t="s">
        <v>141</v>
      </c>
      <c r="H95">
        <v>6</v>
      </c>
      <c r="I95">
        <v>14</v>
      </c>
      <c r="J95">
        <v>29</v>
      </c>
      <c r="K95">
        <v>27</v>
      </c>
      <c r="L95">
        <v>10</v>
      </c>
      <c r="M95">
        <f t="shared" si="19"/>
        <v>37</v>
      </c>
      <c r="N95">
        <v>44</v>
      </c>
      <c r="O95">
        <v>3.84</v>
      </c>
      <c r="P95">
        <v>0.18</v>
      </c>
      <c r="Q95">
        <f t="shared" si="13"/>
        <v>1.4012495276232445E-2</v>
      </c>
      <c r="R95" s="6">
        <v>97</v>
      </c>
      <c r="S95">
        <v>0.75</v>
      </c>
      <c r="T95">
        <f t="shared" si="14"/>
        <v>0.86499999999999999</v>
      </c>
      <c r="U95">
        <v>0.98</v>
      </c>
      <c r="V95">
        <v>1</v>
      </c>
      <c r="W95">
        <f t="shared" si="20"/>
        <v>1.5</v>
      </c>
      <c r="X95">
        <f t="shared" si="15"/>
        <v>3</v>
      </c>
      <c r="Y95">
        <v>0.65</v>
      </c>
      <c r="Z95">
        <v>17</v>
      </c>
      <c r="AA95">
        <v>17.7</v>
      </c>
      <c r="AB95">
        <v>60</v>
      </c>
      <c r="AC95">
        <f>Z95/AH95</f>
        <v>1383.8000321041609</v>
      </c>
      <c r="AD95" t="s">
        <v>468</v>
      </c>
      <c r="AE95">
        <v>1272</v>
      </c>
      <c r="AF95">
        <v>1275</v>
      </c>
      <c r="AG95">
        <v>495</v>
      </c>
      <c r="AH95">
        <v>1.2285012E-2</v>
      </c>
      <c r="AI95" t="s">
        <v>21</v>
      </c>
      <c r="AJ95">
        <v>1</v>
      </c>
      <c r="AK95">
        <v>3</v>
      </c>
      <c r="AL95">
        <v>276</v>
      </c>
      <c r="AM95">
        <f t="shared" si="21"/>
        <v>273</v>
      </c>
      <c r="AN95">
        <v>0.18</v>
      </c>
      <c r="AO95">
        <f t="shared" si="16"/>
        <v>1.4072164948453609</v>
      </c>
      <c r="AP95">
        <v>93</v>
      </c>
      <c r="AQ95" t="str">
        <f t="shared" si="17"/>
        <v>NA</v>
      </c>
      <c r="AR95" t="str">
        <f t="shared" si="23"/>
        <v>NA</v>
      </c>
      <c r="AS95" t="str">
        <f t="shared" si="22"/>
        <v>NA</v>
      </c>
      <c r="AU95" t="s">
        <v>303</v>
      </c>
      <c r="AW95" t="s">
        <v>313</v>
      </c>
      <c r="AX95" s="9">
        <v>11</v>
      </c>
      <c r="AY95">
        <v>50</v>
      </c>
      <c r="AZ95" t="s">
        <v>160</v>
      </c>
      <c r="BA95" t="s">
        <v>5</v>
      </c>
    </row>
    <row r="96" spans="1:53" x14ac:dyDescent="0.35">
      <c r="A96" t="s">
        <v>160</v>
      </c>
      <c r="B96">
        <v>1</v>
      </c>
      <c r="C96" t="s">
        <v>0</v>
      </c>
      <c r="D96" t="s">
        <v>4</v>
      </c>
      <c r="E96" t="s">
        <v>3</v>
      </c>
      <c r="F96" s="1">
        <v>0.33</v>
      </c>
      <c r="G96" t="s">
        <v>141</v>
      </c>
      <c r="H96">
        <v>6</v>
      </c>
      <c r="I96">
        <v>14</v>
      </c>
      <c r="J96">
        <v>29</v>
      </c>
      <c r="K96">
        <v>27</v>
      </c>
      <c r="L96">
        <v>10</v>
      </c>
      <c r="M96">
        <f t="shared" si="19"/>
        <v>37</v>
      </c>
      <c r="N96">
        <v>44</v>
      </c>
      <c r="O96">
        <v>3.84</v>
      </c>
      <c r="P96">
        <v>0.18</v>
      </c>
      <c r="Q96">
        <f t="shared" si="13"/>
        <v>1.4012495276232445E-2</v>
      </c>
      <c r="R96" s="6">
        <v>97</v>
      </c>
      <c r="S96">
        <v>0.75</v>
      </c>
      <c r="T96">
        <f t="shared" si="14"/>
        <v>0.86499999999999999</v>
      </c>
      <c r="U96">
        <v>0.98</v>
      </c>
      <c r="V96">
        <v>1</v>
      </c>
      <c r="W96">
        <f t="shared" si="20"/>
        <v>1.5</v>
      </c>
      <c r="X96">
        <f t="shared" si="15"/>
        <v>3</v>
      </c>
      <c r="Y96">
        <v>0.65</v>
      </c>
      <c r="Z96">
        <v>17</v>
      </c>
      <c r="AA96">
        <v>17.7</v>
      </c>
      <c r="AB96">
        <v>60</v>
      </c>
      <c r="AC96">
        <v>1383.8000321041609</v>
      </c>
      <c r="AD96" t="s">
        <v>469</v>
      </c>
      <c r="AE96">
        <v>1272</v>
      </c>
      <c r="AF96">
        <v>1275</v>
      </c>
      <c r="AG96">
        <v>495</v>
      </c>
      <c r="AH96" t="s">
        <v>21</v>
      </c>
      <c r="AI96">
        <v>3.2935360000000001E-3</v>
      </c>
      <c r="AJ96">
        <v>1</v>
      </c>
      <c r="AK96">
        <v>15</v>
      </c>
      <c r="AL96">
        <f>AK96+AM95</f>
        <v>288</v>
      </c>
      <c r="AM96">
        <f t="shared" si="21"/>
        <v>273</v>
      </c>
      <c r="AN96">
        <v>0.18</v>
      </c>
      <c r="AO96">
        <f t="shared" si="16"/>
        <v>1.4072164948453609</v>
      </c>
      <c r="AP96">
        <v>94</v>
      </c>
      <c r="AQ96">
        <f t="shared" si="17"/>
        <v>35.369699679999997</v>
      </c>
      <c r="AR96">
        <f t="shared" si="23"/>
        <v>1.6303003200000001</v>
      </c>
      <c r="AS96">
        <f t="shared" si="22"/>
        <v>0.83696996800000001</v>
      </c>
      <c r="AU96" t="s">
        <v>303</v>
      </c>
      <c r="AW96" t="s">
        <v>313</v>
      </c>
      <c r="AX96" s="9">
        <v>11</v>
      </c>
      <c r="AY96">
        <v>50</v>
      </c>
      <c r="AZ96" t="s">
        <v>160</v>
      </c>
      <c r="BA96" t="s">
        <v>0</v>
      </c>
    </row>
    <row r="97" spans="1:53" x14ac:dyDescent="0.35">
      <c r="A97" t="s">
        <v>159</v>
      </c>
      <c r="B97">
        <v>1</v>
      </c>
      <c r="C97" t="s">
        <v>5</v>
      </c>
      <c r="D97" t="s">
        <v>4</v>
      </c>
      <c r="E97" t="s">
        <v>3</v>
      </c>
      <c r="F97" s="1">
        <v>0.36</v>
      </c>
      <c r="G97" t="s">
        <v>118</v>
      </c>
      <c r="H97">
        <v>7</v>
      </c>
      <c r="I97">
        <v>11</v>
      </c>
      <c r="J97">
        <v>14</v>
      </c>
      <c r="K97">
        <v>27</v>
      </c>
      <c r="L97">
        <v>8</v>
      </c>
      <c r="M97">
        <f t="shared" si="19"/>
        <v>35</v>
      </c>
      <c r="N97">
        <v>50</v>
      </c>
      <c r="O97">
        <v>2.6</v>
      </c>
      <c r="P97">
        <v>0.22</v>
      </c>
      <c r="Q97">
        <f t="shared" si="13"/>
        <v>1.5516560024469507E-2</v>
      </c>
      <c r="R97" s="6">
        <v>94</v>
      </c>
      <c r="S97">
        <v>0.78</v>
      </c>
      <c r="T97">
        <f t="shared" si="14"/>
        <v>0.89</v>
      </c>
      <c r="U97">
        <v>1</v>
      </c>
      <c r="V97">
        <v>1.1000000000000001</v>
      </c>
      <c r="W97">
        <f t="shared" si="20"/>
        <v>1.6500000000000001</v>
      </c>
      <c r="X97">
        <f t="shared" si="15"/>
        <v>3.3000000000000003</v>
      </c>
      <c r="Y97">
        <v>0.65</v>
      </c>
      <c r="Z97">
        <v>17</v>
      </c>
      <c r="AA97">
        <v>17.7</v>
      </c>
      <c r="AB97">
        <v>60</v>
      </c>
      <c r="AC97">
        <f>Z97/AH97</f>
        <v>1278.9666190464764</v>
      </c>
      <c r="AF97">
        <v>1275</v>
      </c>
      <c r="AG97">
        <v>10</v>
      </c>
      <c r="AH97">
        <v>1.3291981E-2</v>
      </c>
      <c r="AI97" t="s">
        <v>21</v>
      </c>
      <c r="AJ97">
        <v>0</v>
      </c>
      <c r="AK97">
        <v>40</v>
      </c>
      <c r="AL97">
        <f>AK97+AM96</f>
        <v>313</v>
      </c>
      <c r="AM97">
        <f t="shared" si="21"/>
        <v>273</v>
      </c>
      <c r="AN97">
        <v>0.22</v>
      </c>
      <c r="AO97">
        <f t="shared" si="16"/>
        <v>1.4521276595744681</v>
      </c>
      <c r="AP97">
        <v>95</v>
      </c>
      <c r="AQ97" t="str">
        <f t="shared" si="17"/>
        <v>NA</v>
      </c>
      <c r="AR97" t="str">
        <f t="shared" si="23"/>
        <v>NA</v>
      </c>
      <c r="AS97" t="str">
        <f t="shared" si="22"/>
        <v>NA</v>
      </c>
      <c r="AU97" t="s">
        <v>303</v>
      </c>
      <c r="AX97" s="12">
        <v>0</v>
      </c>
      <c r="AY97">
        <v>51</v>
      </c>
      <c r="AZ97" t="s">
        <v>159</v>
      </c>
      <c r="BA97" t="s">
        <v>5</v>
      </c>
    </row>
    <row r="98" spans="1:53" x14ac:dyDescent="0.35">
      <c r="A98" t="s">
        <v>159</v>
      </c>
      <c r="B98">
        <v>1</v>
      </c>
      <c r="C98" t="s">
        <v>0</v>
      </c>
      <c r="D98" t="s">
        <v>4</v>
      </c>
      <c r="E98" t="s">
        <v>3</v>
      </c>
      <c r="F98" s="1">
        <v>0.36</v>
      </c>
      <c r="G98" t="s">
        <v>118</v>
      </c>
      <c r="H98">
        <v>7</v>
      </c>
      <c r="I98">
        <v>11</v>
      </c>
      <c r="J98">
        <v>14</v>
      </c>
      <c r="K98">
        <v>27</v>
      </c>
      <c r="L98">
        <v>8</v>
      </c>
      <c r="M98">
        <f t="shared" si="19"/>
        <v>35</v>
      </c>
      <c r="N98">
        <v>50</v>
      </c>
      <c r="O98">
        <v>2.6</v>
      </c>
      <c r="P98">
        <v>0.22</v>
      </c>
      <c r="Q98">
        <f t="shared" si="13"/>
        <v>1.5516560024469507E-2</v>
      </c>
      <c r="R98" s="6">
        <v>94</v>
      </c>
      <c r="S98">
        <v>0.78</v>
      </c>
      <c r="T98">
        <f t="shared" si="14"/>
        <v>0.89</v>
      </c>
      <c r="U98">
        <v>1</v>
      </c>
      <c r="V98">
        <v>1.1000000000000001</v>
      </c>
      <c r="W98">
        <f t="shared" si="20"/>
        <v>1.6500000000000001</v>
      </c>
      <c r="X98">
        <f t="shared" si="15"/>
        <v>3.3000000000000003</v>
      </c>
      <c r="Y98">
        <v>0.65</v>
      </c>
      <c r="Z98">
        <v>17</v>
      </c>
      <c r="AA98">
        <v>17.7</v>
      </c>
      <c r="AB98">
        <v>60</v>
      </c>
      <c r="AC98">
        <v>1278.9666190464764</v>
      </c>
      <c r="AF98">
        <v>1275</v>
      </c>
      <c r="AG98">
        <v>10</v>
      </c>
      <c r="AH98" t="s">
        <v>21</v>
      </c>
      <c r="AI98">
        <v>3.2935360000000001E-3</v>
      </c>
      <c r="AJ98">
        <v>0</v>
      </c>
      <c r="AK98">
        <v>12</v>
      </c>
      <c r="AL98">
        <v>16</v>
      </c>
      <c r="AM98">
        <f t="shared" si="21"/>
        <v>4</v>
      </c>
      <c r="AN98">
        <v>0.22</v>
      </c>
      <c r="AO98">
        <f t="shared" si="16"/>
        <v>2.1276595744680851E-2</v>
      </c>
      <c r="AP98">
        <v>96</v>
      </c>
      <c r="AQ98">
        <f t="shared" si="17"/>
        <v>34.967064639999997</v>
      </c>
      <c r="AR98">
        <f t="shared" si="23"/>
        <v>3.2935360000000004E-2</v>
      </c>
      <c r="AS98">
        <f t="shared" si="22"/>
        <v>0.99588308000000003</v>
      </c>
      <c r="AU98" t="s">
        <v>303</v>
      </c>
      <c r="AX98" s="12">
        <v>0</v>
      </c>
      <c r="AY98">
        <v>51</v>
      </c>
      <c r="AZ98" t="s">
        <v>159</v>
      </c>
      <c r="BA98" t="s">
        <v>0</v>
      </c>
    </row>
    <row r="99" spans="1:53" x14ac:dyDescent="0.35">
      <c r="A99" t="s">
        <v>158</v>
      </c>
      <c r="B99">
        <v>1</v>
      </c>
      <c r="C99" t="s">
        <v>5</v>
      </c>
      <c r="D99" t="s">
        <v>4</v>
      </c>
      <c r="E99" t="s">
        <v>3</v>
      </c>
      <c r="F99" s="1">
        <v>0.36</v>
      </c>
      <c r="G99" t="s">
        <v>118</v>
      </c>
      <c r="H99">
        <v>7</v>
      </c>
      <c r="I99">
        <v>11</v>
      </c>
      <c r="J99">
        <v>14</v>
      </c>
      <c r="K99">
        <v>27</v>
      </c>
      <c r="L99">
        <v>8</v>
      </c>
      <c r="M99">
        <f t="shared" si="19"/>
        <v>35</v>
      </c>
      <c r="N99">
        <v>50</v>
      </c>
      <c r="O99">
        <v>2.6</v>
      </c>
      <c r="P99">
        <v>0.22</v>
      </c>
      <c r="Q99">
        <f t="shared" si="13"/>
        <v>1.5516560024469507E-2</v>
      </c>
      <c r="R99" s="6">
        <v>94</v>
      </c>
      <c r="S99">
        <v>0.78</v>
      </c>
      <c r="T99">
        <f t="shared" si="14"/>
        <v>0.89</v>
      </c>
      <c r="U99">
        <v>1</v>
      </c>
      <c r="V99">
        <v>1.1000000000000001</v>
      </c>
      <c r="W99">
        <f t="shared" si="20"/>
        <v>1.6500000000000001</v>
      </c>
      <c r="X99">
        <f t="shared" si="15"/>
        <v>3.3000000000000003</v>
      </c>
      <c r="Y99">
        <v>0.65</v>
      </c>
      <c r="Z99">
        <v>17</v>
      </c>
      <c r="AA99">
        <v>17.7</v>
      </c>
      <c r="AB99">
        <v>60</v>
      </c>
      <c r="AC99">
        <f>Z99/AH99</f>
        <v>1278.9666190464764</v>
      </c>
      <c r="AF99">
        <v>1275</v>
      </c>
      <c r="AG99">
        <v>235</v>
      </c>
      <c r="AH99">
        <v>1.3291981E-2</v>
      </c>
      <c r="AI99" t="s">
        <v>21</v>
      </c>
      <c r="AJ99">
        <v>0</v>
      </c>
      <c r="AK99">
        <v>29</v>
      </c>
      <c r="AL99">
        <v>72</v>
      </c>
      <c r="AM99">
        <f t="shared" si="21"/>
        <v>43</v>
      </c>
      <c r="AN99">
        <v>0.22</v>
      </c>
      <c r="AO99">
        <f t="shared" si="16"/>
        <v>0.22872340425531915</v>
      </c>
      <c r="AP99">
        <v>97</v>
      </c>
      <c r="AQ99" t="str">
        <f t="shared" si="17"/>
        <v>NA</v>
      </c>
      <c r="AR99" t="str">
        <f t="shared" si="23"/>
        <v>NA</v>
      </c>
      <c r="AS99" t="str">
        <f t="shared" si="22"/>
        <v>NA</v>
      </c>
      <c r="AU99" t="s">
        <v>303</v>
      </c>
      <c r="AX99" s="12">
        <v>0</v>
      </c>
      <c r="AY99">
        <v>52</v>
      </c>
      <c r="AZ99" t="s">
        <v>158</v>
      </c>
      <c r="BA99" t="s">
        <v>5</v>
      </c>
    </row>
    <row r="100" spans="1:53" x14ac:dyDescent="0.35">
      <c r="A100" t="s">
        <v>158</v>
      </c>
      <c r="B100">
        <v>1</v>
      </c>
      <c r="C100" t="s">
        <v>0</v>
      </c>
      <c r="D100" t="s">
        <v>4</v>
      </c>
      <c r="E100" t="s">
        <v>3</v>
      </c>
      <c r="F100" s="1">
        <v>0.36</v>
      </c>
      <c r="G100" t="s">
        <v>118</v>
      </c>
      <c r="H100">
        <v>7</v>
      </c>
      <c r="I100">
        <v>11</v>
      </c>
      <c r="J100">
        <v>14</v>
      </c>
      <c r="K100">
        <v>27</v>
      </c>
      <c r="L100">
        <v>8</v>
      </c>
      <c r="M100">
        <f t="shared" si="19"/>
        <v>35</v>
      </c>
      <c r="N100">
        <v>50</v>
      </c>
      <c r="O100">
        <v>2.6</v>
      </c>
      <c r="P100">
        <v>0.22</v>
      </c>
      <c r="Q100">
        <f t="shared" si="13"/>
        <v>1.5516560024469507E-2</v>
      </c>
      <c r="R100" s="6">
        <v>94</v>
      </c>
      <c r="S100">
        <v>0.78</v>
      </c>
      <c r="T100">
        <f t="shared" si="14"/>
        <v>0.89</v>
      </c>
      <c r="U100">
        <v>1</v>
      </c>
      <c r="V100">
        <v>1.1000000000000001</v>
      </c>
      <c r="W100">
        <f t="shared" si="20"/>
        <v>1.6500000000000001</v>
      </c>
      <c r="X100">
        <f t="shared" si="15"/>
        <v>3.3000000000000003</v>
      </c>
      <c r="Y100">
        <v>0.65</v>
      </c>
      <c r="Z100">
        <v>17</v>
      </c>
      <c r="AA100">
        <v>17.7</v>
      </c>
      <c r="AB100">
        <v>60</v>
      </c>
      <c r="AC100">
        <v>1278.9666190464764</v>
      </c>
      <c r="AF100">
        <v>1275</v>
      </c>
      <c r="AG100">
        <v>235</v>
      </c>
      <c r="AH100" t="s">
        <v>21</v>
      </c>
      <c r="AI100">
        <v>3.2935360000000001E-3</v>
      </c>
      <c r="AJ100">
        <v>0</v>
      </c>
      <c r="AK100">
        <v>10</v>
      </c>
      <c r="AL100">
        <v>53</v>
      </c>
      <c r="AM100">
        <f t="shared" si="21"/>
        <v>43</v>
      </c>
      <c r="AN100">
        <v>0.22</v>
      </c>
      <c r="AO100">
        <f t="shared" si="16"/>
        <v>0.22872340425531915</v>
      </c>
      <c r="AP100">
        <v>98</v>
      </c>
      <c r="AQ100">
        <f t="shared" si="17"/>
        <v>34.226019039999997</v>
      </c>
      <c r="AR100">
        <f t="shared" si="23"/>
        <v>0.77398096000000005</v>
      </c>
      <c r="AS100">
        <f t="shared" si="22"/>
        <v>0.90325237999999997</v>
      </c>
      <c r="AU100" t="s">
        <v>303</v>
      </c>
      <c r="AX100" s="12">
        <v>0</v>
      </c>
      <c r="AY100">
        <v>52</v>
      </c>
      <c r="AZ100" t="s">
        <v>158</v>
      </c>
      <c r="BA100" t="s">
        <v>0</v>
      </c>
    </row>
    <row r="101" spans="1:53" x14ac:dyDescent="0.35">
      <c r="A101" t="s">
        <v>157</v>
      </c>
      <c r="B101">
        <v>1</v>
      </c>
      <c r="C101" t="s">
        <v>5</v>
      </c>
      <c r="D101" t="s">
        <v>4</v>
      </c>
      <c r="E101" t="s">
        <v>3</v>
      </c>
      <c r="F101" s="1">
        <v>0.36</v>
      </c>
      <c r="G101" t="s">
        <v>118</v>
      </c>
      <c r="H101">
        <v>7</v>
      </c>
      <c r="I101">
        <v>11</v>
      </c>
      <c r="J101">
        <v>14</v>
      </c>
      <c r="K101">
        <v>27</v>
      </c>
      <c r="L101">
        <v>8</v>
      </c>
      <c r="M101">
        <f t="shared" si="19"/>
        <v>35</v>
      </c>
      <c r="N101">
        <v>50</v>
      </c>
      <c r="O101">
        <v>2.6</v>
      </c>
      <c r="P101">
        <v>0.22</v>
      </c>
      <c r="Q101">
        <f t="shared" si="13"/>
        <v>1.5516560024469507E-2</v>
      </c>
      <c r="R101" s="6">
        <v>94</v>
      </c>
      <c r="S101">
        <v>0.78</v>
      </c>
      <c r="T101">
        <f t="shared" si="14"/>
        <v>0.89</v>
      </c>
      <c r="U101">
        <v>1</v>
      </c>
      <c r="V101">
        <v>1.1000000000000001</v>
      </c>
      <c r="W101">
        <f t="shared" si="20"/>
        <v>1.6500000000000001</v>
      </c>
      <c r="X101">
        <f t="shared" si="15"/>
        <v>3.3000000000000003</v>
      </c>
      <c r="Y101">
        <v>0.65</v>
      </c>
      <c r="Z101">
        <v>17</v>
      </c>
      <c r="AA101">
        <v>17.7</v>
      </c>
      <c r="AB101">
        <v>60</v>
      </c>
      <c r="AC101">
        <f>Z101/AH101</f>
        <v>1278.9666190464764</v>
      </c>
      <c r="AF101">
        <v>1275</v>
      </c>
      <c r="AG101">
        <v>335</v>
      </c>
      <c r="AH101">
        <v>1.3291981E-2</v>
      </c>
      <c r="AI101" t="s">
        <v>21</v>
      </c>
      <c r="AJ101">
        <v>0</v>
      </c>
      <c r="AK101">
        <v>14</v>
      </c>
      <c r="AL101">
        <v>121</v>
      </c>
      <c r="AM101">
        <f t="shared" si="21"/>
        <v>107</v>
      </c>
      <c r="AN101">
        <v>0.22</v>
      </c>
      <c r="AO101">
        <f t="shared" si="16"/>
        <v>0.56914893617021278</v>
      </c>
      <c r="AP101">
        <v>99</v>
      </c>
      <c r="AQ101" t="str">
        <f t="shared" si="17"/>
        <v>NA</v>
      </c>
      <c r="AR101" t="str">
        <f t="shared" si="23"/>
        <v>NA</v>
      </c>
      <c r="AS101" t="str">
        <f t="shared" si="22"/>
        <v>NA</v>
      </c>
      <c r="AU101" t="s">
        <v>303</v>
      </c>
      <c r="AX101" s="12">
        <v>0</v>
      </c>
      <c r="AY101">
        <v>53</v>
      </c>
      <c r="AZ101" t="s">
        <v>157</v>
      </c>
      <c r="BA101" t="s">
        <v>5</v>
      </c>
    </row>
    <row r="102" spans="1:53" x14ac:dyDescent="0.35">
      <c r="A102" t="s">
        <v>157</v>
      </c>
      <c r="B102">
        <v>1</v>
      </c>
      <c r="C102" t="s">
        <v>0</v>
      </c>
      <c r="D102" t="s">
        <v>4</v>
      </c>
      <c r="E102" t="s">
        <v>3</v>
      </c>
      <c r="F102" s="1">
        <v>0.36</v>
      </c>
      <c r="G102" t="s">
        <v>118</v>
      </c>
      <c r="H102">
        <v>7</v>
      </c>
      <c r="I102">
        <v>11</v>
      </c>
      <c r="J102">
        <v>14</v>
      </c>
      <c r="K102">
        <v>27</v>
      </c>
      <c r="L102">
        <v>8</v>
      </c>
      <c r="M102">
        <f t="shared" si="19"/>
        <v>35</v>
      </c>
      <c r="N102">
        <v>50</v>
      </c>
      <c r="O102">
        <v>2.6</v>
      </c>
      <c r="P102">
        <v>0.22</v>
      </c>
      <c r="Q102">
        <f t="shared" si="13"/>
        <v>1.5516560024469507E-2</v>
      </c>
      <c r="R102" s="6">
        <v>94</v>
      </c>
      <c r="S102">
        <v>0.78</v>
      </c>
      <c r="T102">
        <f t="shared" si="14"/>
        <v>0.89</v>
      </c>
      <c r="U102">
        <v>1</v>
      </c>
      <c r="V102">
        <v>1.1000000000000001</v>
      </c>
      <c r="W102">
        <f t="shared" si="20"/>
        <v>1.6500000000000001</v>
      </c>
      <c r="X102">
        <f t="shared" si="15"/>
        <v>3.3000000000000003</v>
      </c>
      <c r="Y102">
        <v>0.65</v>
      </c>
      <c r="Z102">
        <v>17</v>
      </c>
      <c r="AA102">
        <v>17.7</v>
      </c>
      <c r="AB102">
        <v>60</v>
      </c>
      <c r="AC102">
        <v>1278.9666190464764</v>
      </c>
      <c r="AF102">
        <v>1275</v>
      </c>
      <c r="AG102">
        <v>335</v>
      </c>
      <c r="AH102" t="s">
        <v>21</v>
      </c>
      <c r="AI102">
        <v>3.2935360000000001E-3</v>
      </c>
      <c r="AJ102">
        <v>0</v>
      </c>
      <c r="AK102">
        <v>16</v>
      </c>
      <c r="AL102">
        <v>123</v>
      </c>
      <c r="AM102">
        <f t="shared" si="21"/>
        <v>107</v>
      </c>
      <c r="AN102">
        <v>0.22</v>
      </c>
      <c r="AO102">
        <f t="shared" si="16"/>
        <v>0.56914893617021278</v>
      </c>
      <c r="AP102">
        <v>100</v>
      </c>
      <c r="AQ102">
        <f t="shared" si="17"/>
        <v>33.89666544</v>
      </c>
      <c r="AR102">
        <f t="shared" si="23"/>
        <v>1.10333456</v>
      </c>
      <c r="AS102">
        <f t="shared" si="22"/>
        <v>0.86208317999999995</v>
      </c>
      <c r="AU102" t="s">
        <v>303</v>
      </c>
      <c r="AX102" s="12">
        <v>0</v>
      </c>
      <c r="AY102">
        <v>53</v>
      </c>
      <c r="AZ102" t="s">
        <v>157</v>
      </c>
      <c r="BA102" t="s">
        <v>0</v>
      </c>
    </row>
    <row r="103" spans="1:53" x14ac:dyDescent="0.35">
      <c r="A103" t="s">
        <v>156</v>
      </c>
      <c r="B103">
        <v>1</v>
      </c>
      <c r="C103" t="s">
        <v>5</v>
      </c>
      <c r="D103" t="s">
        <v>4</v>
      </c>
      <c r="E103" t="s">
        <v>3</v>
      </c>
      <c r="F103" s="1">
        <v>0.36</v>
      </c>
      <c r="G103" t="s">
        <v>118</v>
      </c>
      <c r="H103">
        <v>7</v>
      </c>
      <c r="I103">
        <v>11</v>
      </c>
      <c r="J103">
        <v>14</v>
      </c>
      <c r="K103">
        <v>27</v>
      </c>
      <c r="L103">
        <v>0.8</v>
      </c>
      <c r="M103">
        <f t="shared" si="19"/>
        <v>27.8</v>
      </c>
      <c r="N103">
        <v>50</v>
      </c>
      <c r="O103">
        <v>2.6</v>
      </c>
      <c r="P103">
        <v>0.22</v>
      </c>
      <c r="Q103">
        <f t="shared" si="13"/>
        <v>1.5516560024469507E-2</v>
      </c>
      <c r="R103" s="6">
        <v>94</v>
      </c>
      <c r="S103">
        <v>0.78</v>
      </c>
      <c r="T103">
        <f t="shared" si="14"/>
        <v>0.89</v>
      </c>
      <c r="U103">
        <v>1</v>
      </c>
      <c r="V103">
        <v>1.1000000000000001</v>
      </c>
      <c r="W103">
        <f t="shared" si="20"/>
        <v>1.6500000000000001</v>
      </c>
      <c r="X103">
        <f t="shared" si="15"/>
        <v>3.3000000000000003</v>
      </c>
      <c r="Y103">
        <v>0.65</v>
      </c>
      <c r="Z103">
        <v>17</v>
      </c>
      <c r="AA103">
        <v>17.7</v>
      </c>
      <c r="AB103">
        <v>60</v>
      </c>
      <c r="AC103">
        <f>Z103/AH103</f>
        <v>1278.9666190464764</v>
      </c>
      <c r="AF103">
        <v>1275</v>
      </c>
      <c r="AG103">
        <v>100</v>
      </c>
      <c r="AH103">
        <v>1.3291981E-2</v>
      </c>
      <c r="AI103" t="s">
        <v>21</v>
      </c>
      <c r="AJ103">
        <v>0</v>
      </c>
      <c r="AK103">
        <v>22</v>
      </c>
      <c r="AL103">
        <v>72</v>
      </c>
      <c r="AM103">
        <f t="shared" si="21"/>
        <v>50</v>
      </c>
      <c r="AN103">
        <v>0.22</v>
      </c>
      <c r="AO103">
        <f t="shared" si="16"/>
        <v>0.26595744680851063</v>
      </c>
      <c r="AP103">
        <v>101</v>
      </c>
      <c r="AQ103" t="str">
        <f t="shared" si="17"/>
        <v>NA</v>
      </c>
      <c r="AR103" t="str">
        <f t="shared" si="23"/>
        <v>NA</v>
      </c>
      <c r="AS103" t="str">
        <f t="shared" si="22"/>
        <v>NA</v>
      </c>
      <c r="AU103" t="s">
        <v>303</v>
      </c>
      <c r="AX103" s="12">
        <v>0</v>
      </c>
      <c r="AY103">
        <v>54</v>
      </c>
      <c r="AZ103" t="s">
        <v>156</v>
      </c>
      <c r="BA103" t="s">
        <v>5</v>
      </c>
    </row>
    <row r="104" spans="1:53" x14ac:dyDescent="0.35">
      <c r="A104" t="s">
        <v>156</v>
      </c>
      <c r="B104">
        <v>1</v>
      </c>
      <c r="C104" t="s">
        <v>0</v>
      </c>
      <c r="D104" t="s">
        <v>4</v>
      </c>
      <c r="E104" t="s">
        <v>3</v>
      </c>
      <c r="F104" s="1">
        <v>0.36</v>
      </c>
      <c r="G104" t="s">
        <v>118</v>
      </c>
      <c r="H104">
        <v>7</v>
      </c>
      <c r="I104">
        <v>11</v>
      </c>
      <c r="J104">
        <v>14</v>
      </c>
      <c r="K104">
        <v>27</v>
      </c>
      <c r="L104">
        <v>8</v>
      </c>
      <c r="M104">
        <f t="shared" si="19"/>
        <v>35</v>
      </c>
      <c r="N104">
        <v>50</v>
      </c>
      <c r="O104">
        <v>2.6</v>
      </c>
      <c r="P104">
        <v>0.22</v>
      </c>
      <c r="Q104">
        <f t="shared" si="13"/>
        <v>1.5516560024469507E-2</v>
      </c>
      <c r="R104" s="6">
        <v>94</v>
      </c>
      <c r="S104">
        <v>0.78</v>
      </c>
      <c r="T104">
        <f t="shared" si="14"/>
        <v>0.89</v>
      </c>
      <c r="U104">
        <v>1</v>
      </c>
      <c r="V104">
        <v>1.1000000000000001</v>
      </c>
      <c r="W104">
        <f t="shared" si="20"/>
        <v>1.6500000000000001</v>
      </c>
      <c r="X104">
        <f t="shared" si="15"/>
        <v>3.3000000000000003</v>
      </c>
      <c r="Y104">
        <v>0.65</v>
      </c>
      <c r="Z104">
        <v>17</v>
      </c>
      <c r="AA104">
        <v>17.7</v>
      </c>
      <c r="AB104">
        <v>60</v>
      </c>
      <c r="AC104">
        <v>1278.9666190464764</v>
      </c>
      <c r="AF104">
        <v>1275</v>
      </c>
      <c r="AG104">
        <v>100</v>
      </c>
      <c r="AH104" t="s">
        <v>21</v>
      </c>
      <c r="AI104">
        <v>3.2935360000000001E-3</v>
      </c>
      <c r="AJ104">
        <v>0</v>
      </c>
      <c r="AK104">
        <v>13</v>
      </c>
      <c r="AL104">
        <v>63</v>
      </c>
      <c r="AM104">
        <f t="shared" si="21"/>
        <v>50</v>
      </c>
      <c r="AN104">
        <v>0.22</v>
      </c>
      <c r="AO104">
        <f t="shared" si="16"/>
        <v>0.26595744680851063</v>
      </c>
      <c r="AP104">
        <v>102</v>
      </c>
      <c r="AQ104">
        <f t="shared" si="17"/>
        <v>34.670646400000003</v>
      </c>
      <c r="AR104">
        <f t="shared" si="23"/>
        <v>0.32935360000000002</v>
      </c>
      <c r="AS104">
        <f t="shared" si="22"/>
        <v>0.95883079999999998</v>
      </c>
      <c r="AU104" t="s">
        <v>303</v>
      </c>
      <c r="AX104" s="12">
        <v>0</v>
      </c>
      <c r="AY104">
        <v>54</v>
      </c>
      <c r="AZ104" t="s">
        <v>156</v>
      </c>
      <c r="BA104" t="s">
        <v>0</v>
      </c>
    </row>
    <row r="105" spans="1:53" x14ac:dyDescent="0.35">
      <c r="A105" t="s">
        <v>155</v>
      </c>
      <c r="B105">
        <v>1</v>
      </c>
      <c r="C105" t="s">
        <v>5</v>
      </c>
      <c r="D105" t="s">
        <v>4</v>
      </c>
      <c r="E105" t="s">
        <v>3</v>
      </c>
      <c r="F105" s="1">
        <v>0.36</v>
      </c>
      <c r="G105" t="s">
        <v>118</v>
      </c>
      <c r="H105">
        <v>7</v>
      </c>
      <c r="I105">
        <v>11</v>
      </c>
      <c r="J105">
        <v>14</v>
      </c>
      <c r="K105">
        <v>27</v>
      </c>
      <c r="L105">
        <v>8</v>
      </c>
      <c r="M105">
        <f t="shared" si="19"/>
        <v>35</v>
      </c>
      <c r="N105">
        <v>50</v>
      </c>
      <c r="O105">
        <v>2.6</v>
      </c>
      <c r="P105">
        <v>0.22</v>
      </c>
      <c r="Q105">
        <f t="shared" si="13"/>
        <v>1.5516560024469507E-2</v>
      </c>
      <c r="R105" s="6">
        <v>94</v>
      </c>
      <c r="S105">
        <v>0.78</v>
      </c>
      <c r="T105">
        <f t="shared" si="14"/>
        <v>0.89</v>
      </c>
      <c r="U105">
        <v>1</v>
      </c>
      <c r="V105">
        <v>1.1000000000000001</v>
      </c>
      <c r="W105">
        <f t="shared" si="20"/>
        <v>1.6500000000000001</v>
      </c>
      <c r="X105">
        <f t="shared" si="15"/>
        <v>3.3000000000000003</v>
      </c>
      <c r="Y105">
        <v>0.65</v>
      </c>
      <c r="Z105">
        <v>17</v>
      </c>
      <c r="AA105">
        <v>17.7</v>
      </c>
      <c r="AB105">
        <v>60</v>
      </c>
      <c r="AC105">
        <f>Z105/AH105</f>
        <v>1278.9666190464764</v>
      </c>
      <c r="AF105">
        <v>1275</v>
      </c>
      <c r="AG105">
        <v>150</v>
      </c>
      <c r="AH105">
        <v>1.3291981E-2</v>
      </c>
      <c r="AI105" t="s">
        <v>21</v>
      </c>
      <c r="AJ105">
        <v>0</v>
      </c>
      <c r="AK105">
        <v>24</v>
      </c>
      <c r="AL105">
        <v>61</v>
      </c>
      <c r="AM105">
        <f t="shared" si="21"/>
        <v>37</v>
      </c>
      <c r="AN105">
        <v>0.22</v>
      </c>
      <c r="AO105">
        <f t="shared" si="16"/>
        <v>0.19680851063829788</v>
      </c>
      <c r="AP105">
        <v>103</v>
      </c>
      <c r="AQ105" t="str">
        <f t="shared" si="17"/>
        <v>NA</v>
      </c>
      <c r="AR105" t="str">
        <f t="shared" si="23"/>
        <v>NA</v>
      </c>
      <c r="AS105" t="str">
        <f t="shared" si="22"/>
        <v>NA</v>
      </c>
      <c r="AU105" t="s">
        <v>303</v>
      </c>
      <c r="AX105" s="12">
        <v>0</v>
      </c>
      <c r="AY105">
        <v>55</v>
      </c>
      <c r="AZ105" t="s">
        <v>155</v>
      </c>
      <c r="BA105" t="s">
        <v>5</v>
      </c>
    </row>
    <row r="106" spans="1:53" x14ac:dyDescent="0.35">
      <c r="A106" t="s">
        <v>155</v>
      </c>
      <c r="B106">
        <v>1</v>
      </c>
      <c r="C106" t="s">
        <v>0</v>
      </c>
      <c r="D106" t="s">
        <v>4</v>
      </c>
      <c r="E106" t="s">
        <v>3</v>
      </c>
      <c r="F106" s="1">
        <v>0.36</v>
      </c>
      <c r="G106" t="s">
        <v>118</v>
      </c>
      <c r="H106">
        <v>7</v>
      </c>
      <c r="I106">
        <v>11</v>
      </c>
      <c r="J106">
        <v>14</v>
      </c>
      <c r="K106">
        <v>27</v>
      </c>
      <c r="L106">
        <v>8</v>
      </c>
      <c r="M106">
        <f t="shared" si="19"/>
        <v>35</v>
      </c>
      <c r="N106">
        <v>50</v>
      </c>
      <c r="O106">
        <v>2.6</v>
      </c>
      <c r="P106">
        <v>0.22</v>
      </c>
      <c r="Q106">
        <f t="shared" si="13"/>
        <v>1.5516560024469507E-2</v>
      </c>
      <c r="R106" s="6">
        <v>94</v>
      </c>
      <c r="S106">
        <v>0.78</v>
      </c>
      <c r="T106">
        <f t="shared" si="14"/>
        <v>0.89</v>
      </c>
      <c r="U106">
        <v>1</v>
      </c>
      <c r="V106">
        <v>1.1000000000000001</v>
      </c>
      <c r="W106">
        <f t="shared" si="20"/>
        <v>1.6500000000000001</v>
      </c>
      <c r="X106">
        <f t="shared" si="15"/>
        <v>3.3000000000000003</v>
      </c>
      <c r="Y106">
        <v>0.65</v>
      </c>
      <c r="Z106">
        <v>17</v>
      </c>
      <c r="AA106">
        <v>17.7</v>
      </c>
      <c r="AB106">
        <v>60</v>
      </c>
      <c r="AC106">
        <v>1278.9666190464764</v>
      </c>
      <c r="AF106">
        <v>1275</v>
      </c>
      <c r="AG106">
        <v>150</v>
      </c>
      <c r="AH106" t="s">
        <v>21</v>
      </c>
      <c r="AI106">
        <v>3.2935360000000001E-3</v>
      </c>
      <c r="AJ106">
        <v>0</v>
      </c>
      <c r="AK106">
        <v>24</v>
      </c>
      <c r="AL106">
        <v>61</v>
      </c>
      <c r="AM106">
        <f t="shared" si="21"/>
        <v>37</v>
      </c>
      <c r="AN106">
        <v>0.22</v>
      </c>
      <c r="AO106">
        <f t="shared" si="16"/>
        <v>0.19680851063829788</v>
      </c>
      <c r="AP106">
        <v>104</v>
      </c>
      <c r="AQ106">
        <f t="shared" si="17"/>
        <v>34.5059696</v>
      </c>
      <c r="AR106">
        <f t="shared" si="23"/>
        <v>0.49403040000000004</v>
      </c>
      <c r="AS106">
        <f t="shared" si="22"/>
        <v>0.93824620000000003</v>
      </c>
      <c r="AU106" t="s">
        <v>303</v>
      </c>
      <c r="AX106" s="12">
        <v>0</v>
      </c>
      <c r="AY106">
        <v>55</v>
      </c>
      <c r="AZ106" t="s">
        <v>155</v>
      </c>
      <c r="BA106" t="s">
        <v>0</v>
      </c>
    </row>
    <row r="107" spans="1:53" x14ac:dyDescent="0.35">
      <c r="A107" t="s">
        <v>154</v>
      </c>
      <c r="B107">
        <v>1</v>
      </c>
      <c r="C107" t="s">
        <v>5</v>
      </c>
      <c r="D107" t="s">
        <v>4</v>
      </c>
      <c r="E107" t="s">
        <v>3</v>
      </c>
      <c r="F107" s="1">
        <v>0.36</v>
      </c>
      <c r="G107" t="s">
        <v>118</v>
      </c>
      <c r="H107">
        <v>7</v>
      </c>
      <c r="I107">
        <v>11</v>
      </c>
      <c r="J107">
        <v>14</v>
      </c>
      <c r="K107">
        <v>27</v>
      </c>
      <c r="L107">
        <v>8</v>
      </c>
      <c r="M107">
        <f t="shared" si="19"/>
        <v>35</v>
      </c>
      <c r="N107">
        <v>50</v>
      </c>
      <c r="O107">
        <v>2.6</v>
      </c>
      <c r="P107">
        <v>0.22</v>
      </c>
      <c r="Q107">
        <f t="shared" si="13"/>
        <v>1.5516560024469507E-2</v>
      </c>
      <c r="R107" s="6">
        <v>94</v>
      </c>
      <c r="S107">
        <v>0.78</v>
      </c>
      <c r="T107">
        <f t="shared" si="14"/>
        <v>0.89</v>
      </c>
      <c r="U107">
        <v>1</v>
      </c>
      <c r="V107">
        <v>1.1000000000000001</v>
      </c>
      <c r="W107">
        <f t="shared" si="20"/>
        <v>1.6500000000000001</v>
      </c>
      <c r="X107">
        <f t="shared" si="15"/>
        <v>3.3000000000000003</v>
      </c>
      <c r="Y107">
        <v>0.65</v>
      </c>
      <c r="Z107">
        <v>17</v>
      </c>
      <c r="AA107">
        <v>17.7</v>
      </c>
      <c r="AB107">
        <v>60</v>
      </c>
      <c r="AC107">
        <f>Z107/AH107</f>
        <v>1278.9666190464764</v>
      </c>
      <c r="AF107">
        <v>1275</v>
      </c>
      <c r="AG107">
        <v>565</v>
      </c>
      <c r="AH107">
        <v>1.3291981E-2</v>
      </c>
      <c r="AI107" t="s">
        <v>21</v>
      </c>
      <c r="AJ107">
        <v>1</v>
      </c>
      <c r="AK107">
        <v>40</v>
      </c>
      <c r="AL107">
        <v>319</v>
      </c>
      <c r="AM107">
        <f t="shared" si="21"/>
        <v>279</v>
      </c>
      <c r="AN107">
        <v>0.22</v>
      </c>
      <c r="AO107">
        <f t="shared" si="16"/>
        <v>1.4840425531914894</v>
      </c>
      <c r="AP107">
        <v>105</v>
      </c>
      <c r="AQ107" t="str">
        <f t="shared" si="17"/>
        <v>NA</v>
      </c>
      <c r="AR107" t="str">
        <f t="shared" si="23"/>
        <v>NA</v>
      </c>
      <c r="AS107" t="str">
        <f t="shared" si="22"/>
        <v>NA</v>
      </c>
      <c r="AU107" t="s">
        <v>303</v>
      </c>
      <c r="AW107" t="s">
        <v>312</v>
      </c>
      <c r="AX107" s="13">
        <v>1</v>
      </c>
      <c r="AY107">
        <v>56</v>
      </c>
      <c r="AZ107" t="s">
        <v>154</v>
      </c>
      <c r="BA107" t="s">
        <v>5</v>
      </c>
    </row>
    <row r="108" spans="1:53" x14ac:dyDescent="0.35">
      <c r="A108" t="s">
        <v>154</v>
      </c>
      <c r="B108">
        <v>1</v>
      </c>
      <c r="C108" t="s">
        <v>0</v>
      </c>
      <c r="D108" t="s">
        <v>4</v>
      </c>
      <c r="E108" t="s">
        <v>3</v>
      </c>
      <c r="F108" s="1">
        <v>0.36</v>
      </c>
      <c r="G108" t="s">
        <v>118</v>
      </c>
      <c r="H108">
        <v>7</v>
      </c>
      <c r="I108">
        <v>11</v>
      </c>
      <c r="J108">
        <v>14</v>
      </c>
      <c r="K108">
        <v>27</v>
      </c>
      <c r="L108">
        <v>8</v>
      </c>
      <c r="M108">
        <f t="shared" si="19"/>
        <v>35</v>
      </c>
      <c r="N108">
        <v>50</v>
      </c>
      <c r="O108">
        <v>2.6</v>
      </c>
      <c r="P108">
        <v>0.22</v>
      </c>
      <c r="Q108">
        <f>P108/(PI()*(5*(S108/2)^2+5*(T108/2)^2+5*(U108/2)^2+5*(V108/2)^2))</f>
        <v>1.5516560024469507E-2</v>
      </c>
      <c r="R108" s="6">
        <v>94</v>
      </c>
      <c r="S108">
        <v>0.78</v>
      </c>
      <c r="T108">
        <f t="shared" si="14"/>
        <v>0.89</v>
      </c>
      <c r="U108">
        <v>1</v>
      </c>
      <c r="V108">
        <v>1.1000000000000001</v>
      </c>
      <c r="W108">
        <f t="shared" si="20"/>
        <v>1.6500000000000001</v>
      </c>
      <c r="X108">
        <f t="shared" si="15"/>
        <v>3.3000000000000003</v>
      </c>
      <c r="Y108">
        <v>0.65</v>
      </c>
      <c r="Z108">
        <v>17</v>
      </c>
      <c r="AA108">
        <v>17.7</v>
      </c>
      <c r="AB108">
        <v>60</v>
      </c>
      <c r="AC108">
        <v>1278.9666190464764</v>
      </c>
      <c r="AF108">
        <v>1275</v>
      </c>
      <c r="AG108">
        <v>565</v>
      </c>
      <c r="AH108" t="s">
        <v>21</v>
      </c>
      <c r="AI108">
        <v>3.2935360000000001E-3</v>
      </c>
      <c r="AJ108">
        <v>1</v>
      </c>
      <c r="AK108">
        <v>30</v>
      </c>
      <c r="AL108">
        <v>309</v>
      </c>
      <c r="AM108">
        <f t="shared" si="21"/>
        <v>279</v>
      </c>
      <c r="AN108">
        <v>0.22</v>
      </c>
      <c r="AO108">
        <f t="shared" si="16"/>
        <v>1.4840425531914894</v>
      </c>
      <c r="AP108">
        <v>106</v>
      </c>
      <c r="AQ108">
        <f t="shared" si="17"/>
        <v>33.139152160000002</v>
      </c>
      <c r="AR108">
        <f t="shared" si="23"/>
        <v>1.8608478400000001</v>
      </c>
      <c r="AS108">
        <f t="shared" si="22"/>
        <v>0.76739402000000001</v>
      </c>
      <c r="AU108" t="s">
        <v>303</v>
      </c>
      <c r="AW108" t="s">
        <v>312</v>
      </c>
      <c r="AX108" s="13">
        <v>1</v>
      </c>
      <c r="AY108">
        <v>56</v>
      </c>
      <c r="AZ108" t="s">
        <v>154</v>
      </c>
      <c r="BA108" t="s">
        <v>0</v>
      </c>
    </row>
    <row r="109" spans="1:53" x14ac:dyDescent="0.35">
      <c r="A109" t="s">
        <v>153</v>
      </c>
      <c r="B109">
        <v>1</v>
      </c>
      <c r="C109" t="s">
        <v>5</v>
      </c>
      <c r="D109" t="s">
        <v>4</v>
      </c>
      <c r="E109" t="s">
        <v>3</v>
      </c>
      <c r="F109" s="1">
        <v>0.36</v>
      </c>
      <c r="G109" t="s">
        <v>118</v>
      </c>
      <c r="H109">
        <v>7</v>
      </c>
      <c r="I109">
        <v>11</v>
      </c>
      <c r="J109">
        <v>14</v>
      </c>
      <c r="K109">
        <v>27</v>
      </c>
      <c r="L109">
        <v>8</v>
      </c>
      <c r="M109">
        <f t="shared" si="19"/>
        <v>35</v>
      </c>
      <c r="N109">
        <v>50</v>
      </c>
      <c r="O109">
        <v>2.6</v>
      </c>
      <c r="P109">
        <v>0.22</v>
      </c>
      <c r="Q109">
        <f t="shared" si="13"/>
        <v>1.5516560024469507E-2</v>
      </c>
      <c r="R109" s="6">
        <v>94</v>
      </c>
      <c r="S109">
        <v>0.78</v>
      </c>
      <c r="T109">
        <f t="shared" si="14"/>
        <v>0.89</v>
      </c>
      <c r="U109">
        <v>1</v>
      </c>
      <c r="V109">
        <v>1.1000000000000001</v>
      </c>
      <c r="W109">
        <f t="shared" si="20"/>
        <v>1.6500000000000001</v>
      </c>
      <c r="X109">
        <f t="shared" si="15"/>
        <v>3.3000000000000003</v>
      </c>
      <c r="Y109">
        <v>0.65</v>
      </c>
      <c r="Z109">
        <v>17</v>
      </c>
      <c r="AA109">
        <v>17.7</v>
      </c>
      <c r="AB109">
        <v>60</v>
      </c>
      <c r="AC109">
        <f>Z109/AH109</f>
        <v>1278.9666190464764</v>
      </c>
      <c r="AF109">
        <v>1275</v>
      </c>
      <c r="AG109">
        <v>1190</v>
      </c>
      <c r="AH109">
        <v>1.3291981E-2</v>
      </c>
      <c r="AI109" t="s">
        <v>21</v>
      </c>
      <c r="AJ109">
        <v>1</v>
      </c>
      <c r="AK109">
        <v>14</v>
      </c>
      <c r="AL109">
        <f>AK109+AM109</f>
        <v>215</v>
      </c>
      <c r="AM109">
        <v>201</v>
      </c>
      <c r="AN109">
        <v>0.22</v>
      </c>
      <c r="AO109">
        <f t="shared" si="16"/>
        <v>1.0691489361702127</v>
      </c>
      <c r="AP109">
        <v>107</v>
      </c>
      <c r="AQ109" t="str">
        <f t="shared" si="17"/>
        <v>NA</v>
      </c>
      <c r="AR109" t="str">
        <f t="shared" si="23"/>
        <v>NA</v>
      </c>
      <c r="AS109" t="str">
        <f t="shared" si="22"/>
        <v>NA</v>
      </c>
      <c r="AU109" t="s">
        <v>303</v>
      </c>
      <c r="AX109" s="9">
        <v>111</v>
      </c>
      <c r="AY109">
        <v>57</v>
      </c>
      <c r="AZ109" t="s">
        <v>153</v>
      </c>
      <c r="BA109" t="s">
        <v>5</v>
      </c>
    </row>
    <row r="110" spans="1:53" x14ac:dyDescent="0.35">
      <c r="A110" t="s">
        <v>153</v>
      </c>
      <c r="B110">
        <v>1</v>
      </c>
      <c r="C110" t="s">
        <v>0</v>
      </c>
      <c r="D110" t="s">
        <v>4</v>
      </c>
      <c r="E110" t="s">
        <v>3</v>
      </c>
      <c r="F110" s="1">
        <v>0.36</v>
      </c>
      <c r="G110" t="s">
        <v>118</v>
      </c>
      <c r="H110">
        <v>7</v>
      </c>
      <c r="I110">
        <v>11</v>
      </c>
      <c r="J110">
        <v>14</v>
      </c>
      <c r="K110">
        <v>27</v>
      </c>
      <c r="L110">
        <v>8</v>
      </c>
      <c r="M110">
        <f t="shared" si="19"/>
        <v>35</v>
      </c>
      <c r="N110">
        <v>50</v>
      </c>
      <c r="O110">
        <v>2.6</v>
      </c>
      <c r="P110">
        <v>0.22</v>
      </c>
      <c r="Q110">
        <f t="shared" si="13"/>
        <v>1.5516560024469507E-2</v>
      </c>
      <c r="R110" s="6">
        <v>94</v>
      </c>
      <c r="S110">
        <v>0.78</v>
      </c>
      <c r="T110">
        <f t="shared" si="14"/>
        <v>0.89</v>
      </c>
      <c r="U110">
        <v>1</v>
      </c>
      <c r="V110">
        <v>1.1000000000000001</v>
      </c>
      <c r="W110">
        <f t="shared" si="20"/>
        <v>1.6500000000000001</v>
      </c>
      <c r="X110">
        <f t="shared" si="15"/>
        <v>3.3000000000000003</v>
      </c>
      <c r="Y110">
        <v>0.65</v>
      </c>
      <c r="Z110">
        <v>17</v>
      </c>
      <c r="AA110">
        <v>17.7</v>
      </c>
      <c r="AB110">
        <v>60</v>
      </c>
      <c r="AC110">
        <v>1278.9666190464764</v>
      </c>
      <c r="AF110">
        <v>1275</v>
      </c>
      <c r="AG110">
        <v>1190</v>
      </c>
      <c r="AH110" t="s">
        <v>21</v>
      </c>
      <c r="AI110">
        <v>3.2935360000000001E-3</v>
      </c>
      <c r="AJ110">
        <v>1</v>
      </c>
      <c r="AK110">
        <v>15</v>
      </c>
      <c r="AL110">
        <f>AK110+AM109</f>
        <v>216</v>
      </c>
      <c r="AM110">
        <f t="shared" si="21"/>
        <v>201</v>
      </c>
      <c r="AN110">
        <v>0.22</v>
      </c>
      <c r="AO110">
        <f t="shared" si="16"/>
        <v>1.0691489361702127</v>
      </c>
      <c r="AP110">
        <v>108</v>
      </c>
      <c r="AQ110">
        <f t="shared" si="17"/>
        <v>31.080692159999998</v>
      </c>
      <c r="AR110">
        <f t="shared" si="23"/>
        <v>3.9193078400000001</v>
      </c>
      <c r="AS110">
        <f t="shared" si="22"/>
        <v>0.51008651999999999</v>
      </c>
      <c r="AU110" t="s">
        <v>303</v>
      </c>
      <c r="AX110" s="9">
        <v>111</v>
      </c>
      <c r="AY110">
        <v>57</v>
      </c>
      <c r="AZ110" t="s">
        <v>153</v>
      </c>
      <c r="BA110" t="s">
        <v>0</v>
      </c>
    </row>
    <row r="111" spans="1:53" x14ac:dyDescent="0.35">
      <c r="A111" t="s">
        <v>152</v>
      </c>
      <c r="B111">
        <v>1</v>
      </c>
      <c r="C111" t="s">
        <v>5</v>
      </c>
      <c r="D111" t="s">
        <v>4</v>
      </c>
      <c r="E111" t="s">
        <v>3</v>
      </c>
      <c r="F111" s="1">
        <v>0.36</v>
      </c>
      <c r="G111" t="s">
        <v>118</v>
      </c>
      <c r="H111">
        <v>7</v>
      </c>
      <c r="I111">
        <v>14</v>
      </c>
      <c r="J111">
        <v>17</v>
      </c>
      <c r="K111">
        <v>33</v>
      </c>
      <c r="L111">
        <v>9</v>
      </c>
      <c r="M111">
        <f t="shared" si="19"/>
        <v>42</v>
      </c>
      <c r="N111">
        <v>50</v>
      </c>
      <c r="O111">
        <v>3.48</v>
      </c>
      <c r="P111">
        <v>0.31</v>
      </c>
      <c r="Q111">
        <f t="shared" si="13"/>
        <v>1.3116366498891764E-2</v>
      </c>
      <c r="R111" s="6">
        <v>106.7498178</v>
      </c>
      <c r="S111">
        <v>0.88</v>
      </c>
      <c r="T111">
        <f t="shared" si="14"/>
        <v>1.04</v>
      </c>
      <c r="U111">
        <v>1.2</v>
      </c>
      <c r="V111">
        <v>1.65</v>
      </c>
      <c r="W111">
        <f t="shared" si="20"/>
        <v>2.4749999999999996</v>
      </c>
      <c r="X111">
        <f t="shared" si="15"/>
        <v>4.9499999999999993</v>
      </c>
      <c r="Y111">
        <v>0.65</v>
      </c>
      <c r="Z111">
        <v>17</v>
      </c>
      <c r="AA111">
        <v>17.7</v>
      </c>
      <c r="AB111">
        <v>60</v>
      </c>
      <c r="AC111">
        <f>Z111/AH111</f>
        <v>1430.9764309764309</v>
      </c>
      <c r="AF111">
        <v>1275</v>
      </c>
      <c r="AG111">
        <v>405</v>
      </c>
      <c r="AH111">
        <v>1.188E-2</v>
      </c>
      <c r="AI111" t="s">
        <v>21</v>
      </c>
      <c r="AJ111">
        <v>0</v>
      </c>
      <c r="AK111">
        <v>20</v>
      </c>
      <c r="AL111">
        <v>99</v>
      </c>
      <c r="AM111">
        <f t="shared" si="21"/>
        <v>79</v>
      </c>
      <c r="AN111">
        <v>0.31</v>
      </c>
      <c r="AO111">
        <f t="shared" si="16"/>
        <v>0.37002405075767725</v>
      </c>
      <c r="AP111">
        <v>109</v>
      </c>
      <c r="AQ111" t="str">
        <f t="shared" si="17"/>
        <v>NA</v>
      </c>
      <c r="AR111" t="str">
        <f t="shared" si="23"/>
        <v>NA</v>
      </c>
      <c r="AS111" t="str">
        <f t="shared" si="22"/>
        <v>NA</v>
      </c>
      <c r="AU111" t="s">
        <v>303</v>
      </c>
      <c r="AX111" s="12">
        <v>0</v>
      </c>
      <c r="AY111">
        <v>58</v>
      </c>
      <c r="AZ111" t="s">
        <v>152</v>
      </c>
      <c r="BA111" t="s">
        <v>5</v>
      </c>
    </row>
    <row r="112" spans="1:53" x14ac:dyDescent="0.35">
      <c r="A112" t="s">
        <v>152</v>
      </c>
      <c r="B112">
        <v>1</v>
      </c>
      <c r="C112" t="s">
        <v>0</v>
      </c>
      <c r="D112" t="s">
        <v>4</v>
      </c>
      <c r="E112" t="s">
        <v>3</v>
      </c>
      <c r="F112" s="1">
        <v>0.36</v>
      </c>
      <c r="G112" t="s">
        <v>118</v>
      </c>
      <c r="H112">
        <v>7</v>
      </c>
      <c r="I112">
        <v>14</v>
      </c>
      <c r="J112">
        <v>17</v>
      </c>
      <c r="K112">
        <v>33</v>
      </c>
      <c r="L112">
        <v>9</v>
      </c>
      <c r="M112">
        <f t="shared" si="19"/>
        <v>42</v>
      </c>
      <c r="N112">
        <v>52</v>
      </c>
      <c r="O112">
        <v>3.48</v>
      </c>
      <c r="P112">
        <v>0.31</v>
      </c>
      <c r="Q112">
        <f t="shared" si="13"/>
        <v>1.3116366498891764E-2</v>
      </c>
      <c r="R112" s="6">
        <v>106.514813</v>
      </c>
      <c r="S112">
        <v>0.88</v>
      </c>
      <c r="T112">
        <f t="shared" si="14"/>
        <v>1.04</v>
      </c>
      <c r="U112">
        <v>1.2</v>
      </c>
      <c r="V112">
        <v>1.65</v>
      </c>
      <c r="W112">
        <f t="shared" si="20"/>
        <v>2.4749999999999996</v>
      </c>
      <c r="X112">
        <f t="shared" si="15"/>
        <v>4.9499999999999993</v>
      </c>
      <c r="Y112">
        <v>0.65</v>
      </c>
      <c r="Z112">
        <v>17</v>
      </c>
      <c r="AA112">
        <v>17.7</v>
      </c>
      <c r="AB112">
        <v>60</v>
      </c>
      <c r="AC112">
        <f>AC111</f>
        <v>1430.9764309764309</v>
      </c>
      <c r="AF112">
        <v>1275</v>
      </c>
      <c r="AG112">
        <v>405</v>
      </c>
      <c r="AH112" t="s">
        <v>21</v>
      </c>
      <c r="AI112">
        <v>3.219871E-3</v>
      </c>
      <c r="AJ112">
        <v>0</v>
      </c>
      <c r="AK112">
        <v>19</v>
      </c>
      <c r="AL112">
        <v>98</v>
      </c>
      <c r="AM112">
        <f t="shared" si="21"/>
        <v>79</v>
      </c>
      <c r="AN112">
        <v>0.31</v>
      </c>
      <c r="AO112">
        <f t="shared" si="16"/>
        <v>0.37084043887867502</v>
      </c>
      <c r="AP112">
        <v>110</v>
      </c>
      <c r="AQ112">
        <f t="shared" si="17"/>
        <v>40.695952245000001</v>
      </c>
      <c r="AR112">
        <f t="shared" si="23"/>
        <v>1.304047755</v>
      </c>
      <c r="AS112">
        <f t="shared" si="22"/>
        <v>0.855105805</v>
      </c>
      <c r="AU112" t="s">
        <v>303</v>
      </c>
      <c r="AX112" s="12">
        <v>0</v>
      </c>
      <c r="AY112">
        <v>58</v>
      </c>
      <c r="AZ112" t="s">
        <v>152</v>
      </c>
      <c r="BA112" t="s">
        <v>0</v>
      </c>
    </row>
    <row r="113" spans="1:53" x14ac:dyDescent="0.35">
      <c r="A113" t="s">
        <v>151</v>
      </c>
      <c r="B113">
        <v>1</v>
      </c>
      <c r="C113" t="s">
        <v>5</v>
      </c>
      <c r="D113" t="s">
        <v>4</v>
      </c>
      <c r="E113" t="s">
        <v>3</v>
      </c>
      <c r="F113" s="1">
        <v>0.36</v>
      </c>
      <c r="G113" t="s">
        <v>118</v>
      </c>
      <c r="H113">
        <v>7</v>
      </c>
      <c r="I113">
        <v>14</v>
      </c>
      <c r="J113">
        <v>17</v>
      </c>
      <c r="K113">
        <v>33</v>
      </c>
      <c r="L113">
        <v>9</v>
      </c>
      <c r="M113">
        <f t="shared" si="19"/>
        <v>42</v>
      </c>
      <c r="N113">
        <v>52</v>
      </c>
      <c r="O113">
        <v>3.48</v>
      </c>
      <c r="P113">
        <v>0.31</v>
      </c>
      <c r="Q113">
        <f t="shared" si="13"/>
        <v>1.3116366498891764E-2</v>
      </c>
      <c r="R113" s="6">
        <v>106.514813</v>
      </c>
      <c r="S113">
        <v>0.88</v>
      </c>
      <c r="T113">
        <f t="shared" si="14"/>
        <v>1.04</v>
      </c>
      <c r="U113">
        <v>1.2</v>
      </c>
      <c r="V113">
        <v>1.65</v>
      </c>
      <c r="W113">
        <f t="shared" si="20"/>
        <v>2.4749999999999996</v>
      </c>
      <c r="X113">
        <f t="shared" si="15"/>
        <v>4.9499999999999993</v>
      </c>
      <c r="Y113">
        <v>0.65</v>
      </c>
      <c r="Z113">
        <v>17</v>
      </c>
      <c r="AA113">
        <v>17.7</v>
      </c>
      <c r="AB113">
        <v>60</v>
      </c>
      <c r="AC113">
        <f>Z113/AH113</f>
        <v>1430.9764309764309</v>
      </c>
      <c r="AF113">
        <v>1275</v>
      </c>
      <c r="AG113">
        <v>600</v>
      </c>
      <c r="AH113">
        <v>1.188E-2</v>
      </c>
      <c r="AI113" t="s">
        <v>21</v>
      </c>
      <c r="AJ113">
        <v>0</v>
      </c>
      <c r="AK113">
        <v>17</v>
      </c>
      <c r="AL113">
        <f>AK113+AL114-AK114</f>
        <v>95</v>
      </c>
      <c r="AM113">
        <f t="shared" si="21"/>
        <v>78</v>
      </c>
      <c r="AN113">
        <v>0.31</v>
      </c>
      <c r="AO113">
        <f t="shared" si="16"/>
        <v>0.3661462561080589</v>
      </c>
      <c r="AP113">
        <v>111</v>
      </c>
      <c r="AQ113" t="str">
        <f t="shared" si="17"/>
        <v>NA</v>
      </c>
      <c r="AR113" t="str">
        <f t="shared" si="23"/>
        <v>NA</v>
      </c>
      <c r="AS113" t="str">
        <f t="shared" si="22"/>
        <v>NA</v>
      </c>
      <c r="AU113" t="s">
        <v>303</v>
      </c>
      <c r="AX113" s="12">
        <v>0</v>
      </c>
      <c r="AY113">
        <v>59</v>
      </c>
      <c r="AZ113" t="s">
        <v>151</v>
      </c>
      <c r="BA113" t="s">
        <v>5</v>
      </c>
    </row>
    <row r="114" spans="1:53" x14ac:dyDescent="0.35">
      <c r="A114" t="s">
        <v>151</v>
      </c>
      <c r="B114">
        <v>1</v>
      </c>
      <c r="C114" t="s">
        <v>0</v>
      </c>
      <c r="D114" t="s">
        <v>4</v>
      </c>
      <c r="E114" t="s">
        <v>3</v>
      </c>
      <c r="F114" s="1">
        <v>0.36</v>
      </c>
      <c r="G114" t="s">
        <v>118</v>
      </c>
      <c r="H114">
        <v>7</v>
      </c>
      <c r="I114">
        <v>14</v>
      </c>
      <c r="J114">
        <v>17</v>
      </c>
      <c r="K114">
        <v>33</v>
      </c>
      <c r="L114">
        <v>9</v>
      </c>
      <c r="M114">
        <f t="shared" si="19"/>
        <v>42</v>
      </c>
      <c r="N114">
        <v>52</v>
      </c>
      <c r="O114">
        <v>3.48</v>
      </c>
      <c r="P114">
        <v>0.31</v>
      </c>
      <c r="Q114">
        <f t="shared" si="13"/>
        <v>1.3116366498891764E-2</v>
      </c>
      <c r="R114" s="6">
        <v>106.514813</v>
      </c>
      <c r="S114">
        <v>0.88</v>
      </c>
      <c r="T114">
        <f t="shared" si="14"/>
        <v>1.04</v>
      </c>
      <c r="U114">
        <v>1.2</v>
      </c>
      <c r="V114">
        <v>1.65</v>
      </c>
      <c r="W114">
        <f t="shared" si="20"/>
        <v>2.4749999999999996</v>
      </c>
      <c r="X114">
        <f t="shared" si="15"/>
        <v>4.9499999999999993</v>
      </c>
      <c r="Y114">
        <v>0.65</v>
      </c>
      <c r="Z114">
        <v>17</v>
      </c>
      <c r="AA114">
        <v>17.7</v>
      </c>
      <c r="AB114">
        <v>60</v>
      </c>
      <c r="AC114">
        <f>AC113</f>
        <v>1430.9764309764309</v>
      </c>
      <c r="AF114">
        <v>1275</v>
      </c>
      <c r="AG114">
        <v>600</v>
      </c>
      <c r="AH114" t="s">
        <v>21</v>
      </c>
      <c r="AI114">
        <v>3.219871E-3</v>
      </c>
      <c r="AJ114">
        <v>0</v>
      </c>
      <c r="AK114">
        <v>90</v>
      </c>
      <c r="AL114">
        <v>168</v>
      </c>
      <c r="AM114">
        <f t="shared" si="21"/>
        <v>78</v>
      </c>
      <c r="AN114">
        <v>0.31</v>
      </c>
      <c r="AO114">
        <f t="shared" si="16"/>
        <v>0.3661462561080589</v>
      </c>
      <c r="AP114">
        <v>112</v>
      </c>
      <c r="AQ114">
        <f t="shared" si="17"/>
        <v>40.0680774</v>
      </c>
      <c r="AR114">
        <f t="shared" si="23"/>
        <v>1.9319226</v>
      </c>
      <c r="AS114">
        <f t="shared" si="22"/>
        <v>0.78534193333333335</v>
      </c>
      <c r="AU114" t="s">
        <v>303</v>
      </c>
      <c r="AX114" s="12">
        <v>0</v>
      </c>
      <c r="AY114">
        <v>59</v>
      </c>
      <c r="AZ114" t="s">
        <v>151</v>
      </c>
      <c r="BA114" t="s">
        <v>0</v>
      </c>
    </row>
    <row r="115" spans="1:53" x14ac:dyDescent="0.35">
      <c r="A115" t="s">
        <v>150</v>
      </c>
      <c r="B115">
        <v>1</v>
      </c>
      <c r="C115" t="s">
        <v>5</v>
      </c>
      <c r="D115" t="s">
        <v>4</v>
      </c>
      <c r="E115" t="s">
        <v>3</v>
      </c>
      <c r="F115" s="1">
        <v>0.36</v>
      </c>
      <c r="G115" t="s">
        <v>118</v>
      </c>
      <c r="H115">
        <v>7</v>
      </c>
      <c r="I115">
        <v>14</v>
      </c>
      <c r="J115">
        <v>17</v>
      </c>
      <c r="K115">
        <v>33</v>
      </c>
      <c r="L115">
        <v>9</v>
      </c>
      <c r="M115">
        <f t="shared" si="19"/>
        <v>42</v>
      </c>
      <c r="N115">
        <v>52</v>
      </c>
      <c r="O115">
        <v>3.48</v>
      </c>
      <c r="P115">
        <v>0.31</v>
      </c>
      <c r="Q115">
        <f t="shared" si="13"/>
        <v>1.3116366498891764E-2</v>
      </c>
      <c r="R115" s="6">
        <v>106.514813</v>
      </c>
      <c r="S115">
        <v>0.88</v>
      </c>
      <c r="T115">
        <f t="shared" si="14"/>
        <v>1.04</v>
      </c>
      <c r="U115">
        <v>1.2</v>
      </c>
      <c r="V115">
        <v>1.65</v>
      </c>
      <c r="W115">
        <f t="shared" si="20"/>
        <v>2.4749999999999996</v>
      </c>
      <c r="X115">
        <f t="shared" si="15"/>
        <v>4.9499999999999993</v>
      </c>
      <c r="Y115">
        <v>0.65</v>
      </c>
      <c r="Z115">
        <v>17</v>
      </c>
      <c r="AA115">
        <v>17.7</v>
      </c>
      <c r="AB115">
        <v>60</v>
      </c>
      <c r="AC115">
        <f>Z115/AH115</f>
        <v>1430.9764309764309</v>
      </c>
      <c r="AF115">
        <v>1275</v>
      </c>
      <c r="AG115">
        <v>555</v>
      </c>
      <c r="AH115">
        <v>1.188E-2</v>
      </c>
      <c r="AI115" t="s">
        <v>21</v>
      </c>
      <c r="AJ115">
        <v>1</v>
      </c>
      <c r="AK115">
        <v>19</v>
      </c>
      <c r="AL115">
        <v>120</v>
      </c>
      <c r="AM115">
        <f t="shared" si="21"/>
        <v>101</v>
      </c>
      <c r="AN115">
        <v>0.31</v>
      </c>
      <c r="AO115">
        <f t="shared" si="16"/>
        <v>0.4741124598322301</v>
      </c>
      <c r="AP115">
        <v>113</v>
      </c>
      <c r="AQ115" t="str">
        <f t="shared" si="17"/>
        <v>NA</v>
      </c>
      <c r="AR115" t="str">
        <f t="shared" si="23"/>
        <v>NA</v>
      </c>
      <c r="AS115" t="str">
        <f t="shared" si="22"/>
        <v>NA</v>
      </c>
      <c r="AU115" t="s">
        <v>303</v>
      </c>
      <c r="AX115" s="13">
        <v>1</v>
      </c>
      <c r="AY115">
        <v>60</v>
      </c>
      <c r="AZ115" t="s">
        <v>150</v>
      </c>
      <c r="BA115" t="s">
        <v>5</v>
      </c>
    </row>
    <row r="116" spans="1:53" x14ac:dyDescent="0.35">
      <c r="A116" t="s">
        <v>150</v>
      </c>
      <c r="B116">
        <v>1</v>
      </c>
      <c r="C116" t="s">
        <v>0</v>
      </c>
      <c r="D116" t="s">
        <v>4</v>
      </c>
      <c r="E116" t="s">
        <v>3</v>
      </c>
      <c r="F116" s="1">
        <v>0.36</v>
      </c>
      <c r="G116" t="s">
        <v>118</v>
      </c>
      <c r="H116">
        <v>7</v>
      </c>
      <c r="I116">
        <v>14</v>
      </c>
      <c r="J116">
        <v>17</v>
      </c>
      <c r="K116">
        <v>33</v>
      </c>
      <c r="L116">
        <v>9</v>
      </c>
      <c r="M116">
        <f t="shared" si="19"/>
        <v>42</v>
      </c>
      <c r="N116">
        <v>52</v>
      </c>
      <c r="O116">
        <v>3.48</v>
      </c>
      <c r="P116">
        <v>0.31</v>
      </c>
      <c r="Q116">
        <f t="shared" si="13"/>
        <v>1.3116366498891764E-2</v>
      </c>
      <c r="R116" s="6">
        <v>106.514813</v>
      </c>
      <c r="S116">
        <v>0.88</v>
      </c>
      <c r="T116">
        <f t="shared" si="14"/>
        <v>1.04</v>
      </c>
      <c r="U116">
        <v>1.2</v>
      </c>
      <c r="V116">
        <v>1.65</v>
      </c>
      <c r="W116">
        <f t="shared" si="20"/>
        <v>2.4749999999999996</v>
      </c>
      <c r="X116">
        <f t="shared" si="15"/>
        <v>4.9499999999999993</v>
      </c>
      <c r="Y116">
        <v>0.65</v>
      </c>
      <c r="Z116">
        <v>17</v>
      </c>
      <c r="AA116">
        <v>17.7</v>
      </c>
      <c r="AB116">
        <v>60</v>
      </c>
      <c r="AC116">
        <f>AC115</f>
        <v>1430.9764309764309</v>
      </c>
      <c r="AF116">
        <v>1275</v>
      </c>
      <c r="AG116">
        <v>555</v>
      </c>
      <c r="AH116" t="s">
        <v>21</v>
      </c>
      <c r="AI116">
        <v>3.219871E-3</v>
      </c>
      <c r="AJ116">
        <v>1</v>
      </c>
      <c r="AK116">
        <v>13</v>
      </c>
      <c r="AL116">
        <v>114</v>
      </c>
      <c r="AM116">
        <f t="shared" si="21"/>
        <v>101</v>
      </c>
      <c r="AN116">
        <v>0.31</v>
      </c>
      <c r="AO116">
        <f t="shared" si="16"/>
        <v>0.4741124598322301</v>
      </c>
      <c r="AP116">
        <v>114</v>
      </c>
      <c r="AQ116">
        <f t="shared" si="17"/>
        <v>40.212971594999999</v>
      </c>
      <c r="AR116">
        <f t="shared" si="23"/>
        <v>1.787028405</v>
      </c>
      <c r="AS116">
        <f t="shared" si="22"/>
        <v>0.80144128833333328</v>
      </c>
      <c r="AU116" t="s">
        <v>303</v>
      </c>
      <c r="AX116" s="13">
        <v>1</v>
      </c>
      <c r="AY116">
        <v>60</v>
      </c>
      <c r="AZ116" t="s">
        <v>150</v>
      </c>
      <c r="BA116" t="s">
        <v>0</v>
      </c>
    </row>
    <row r="117" spans="1:53" x14ac:dyDescent="0.35">
      <c r="A117" t="s">
        <v>148</v>
      </c>
      <c r="B117">
        <v>1</v>
      </c>
      <c r="C117" t="s">
        <v>5</v>
      </c>
      <c r="D117" t="s">
        <v>4</v>
      </c>
      <c r="E117" t="s">
        <v>3</v>
      </c>
      <c r="F117" s="1">
        <v>0.35</v>
      </c>
      <c r="G117" t="s">
        <v>149</v>
      </c>
      <c r="H117">
        <v>4</v>
      </c>
      <c r="I117">
        <v>18</v>
      </c>
      <c r="J117">
        <v>22</v>
      </c>
      <c r="K117">
        <v>33</v>
      </c>
      <c r="L117">
        <v>10</v>
      </c>
      <c r="M117">
        <f t="shared" si="19"/>
        <v>43</v>
      </c>
      <c r="N117">
        <v>54</v>
      </c>
      <c r="O117">
        <v>2.57</v>
      </c>
      <c r="P117">
        <v>0.26</v>
      </c>
      <c r="Q117">
        <f t="shared" si="13"/>
        <v>1.4370337578674812E-2</v>
      </c>
      <c r="R117" s="6">
        <v>89</v>
      </c>
      <c r="S117">
        <v>0.86</v>
      </c>
      <c r="T117">
        <f t="shared" si="14"/>
        <v>0.96</v>
      </c>
      <c r="U117">
        <v>1.06</v>
      </c>
      <c r="V117">
        <v>1.35</v>
      </c>
      <c r="W117">
        <f t="shared" si="20"/>
        <v>2.0250000000000004</v>
      </c>
      <c r="X117">
        <f t="shared" si="15"/>
        <v>4.0500000000000007</v>
      </c>
      <c r="Y117">
        <v>0.65</v>
      </c>
      <c r="Z117">
        <v>17</v>
      </c>
      <c r="AA117">
        <v>17.7</v>
      </c>
      <c r="AB117">
        <v>60</v>
      </c>
      <c r="AC117">
        <f>Z117/AH117</f>
        <v>1284.6333369303065</v>
      </c>
      <c r="AD117" t="s">
        <v>470</v>
      </c>
      <c r="AE117">
        <v>1276</v>
      </c>
      <c r="AF117">
        <v>1275</v>
      </c>
      <c r="AG117">
        <v>370</v>
      </c>
      <c r="AH117">
        <v>1.3233348000000001E-2</v>
      </c>
      <c r="AI117" t="s">
        <v>21</v>
      </c>
      <c r="AJ117">
        <v>1</v>
      </c>
      <c r="AK117">
        <v>11</v>
      </c>
      <c r="AL117">
        <v>201</v>
      </c>
      <c r="AM117">
        <f t="shared" si="21"/>
        <v>190</v>
      </c>
      <c r="AN117">
        <v>0.26</v>
      </c>
      <c r="AO117">
        <f t="shared" si="16"/>
        <v>1.0674157303370786</v>
      </c>
      <c r="AP117">
        <v>115</v>
      </c>
      <c r="AQ117" t="str">
        <f t="shared" si="17"/>
        <v>NA</v>
      </c>
      <c r="AR117" t="str">
        <f t="shared" si="23"/>
        <v>NA</v>
      </c>
      <c r="AS117" t="str">
        <f t="shared" si="22"/>
        <v>NA</v>
      </c>
      <c r="AU117" t="s">
        <v>303</v>
      </c>
      <c r="AX117" s="13">
        <v>1</v>
      </c>
      <c r="AY117">
        <v>61</v>
      </c>
      <c r="AZ117" t="s">
        <v>148</v>
      </c>
      <c r="BA117" t="s">
        <v>5</v>
      </c>
    </row>
    <row r="118" spans="1:53" x14ac:dyDescent="0.35">
      <c r="A118" t="s">
        <v>148</v>
      </c>
      <c r="B118">
        <v>1</v>
      </c>
      <c r="C118" t="s">
        <v>0</v>
      </c>
      <c r="D118" t="s">
        <v>4</v>
      </c>
      <c r="E118" t="s">
        <v>3</v>
      </c>
      <c r="F118" s="1">
        <v>0.35</v>
      </c>
      <c r="G118" t="s">
        <v>149</v>
      </c>
      <c r="H118">
        <v>4</v>
      </c>
      <c r="I118">
        <v>18</v>
      </c>
      <c r="J118">
        <v>22</v>
      </c>
      <c r="K118">
        <v>33</v>
      </c>
      <c r="L118">
        <v>10</v>
      </c>
      <c r="M118">
        <f t="shared" si="19"/>
        <v>43</v>
      </c>
      <c r="N118">
        <v>54</v>
      </c>
      <c r="O118">
        <v>2.57</v>
      </c>
      <c r="P118">
        <v>0.26</v>
      </c>
      <c r="Q118">
        <f t="shared" si="13"/>
        <v>1.4370337578674812E-2</v>
      </c>
      <c r="R118" s="6">
        <v>89</v>
      </c>
      <c r="S118">
        <v>0.86</v>
      </c>
      <c r="T118">
        <f t="shared" si="14"/>
        <v>0.96</v>
      </c>
      <c r="U118">
        <v>1.06</v>
      </c>
      <c r="V118">
        <v>1.35</v>
      </c>
      <c r="W118">
        <f t="shared" si="20"/>
        <v>2.0250000000000004</v>
      </c>
      <c r="X118">
        <f t="shared" si="15"/>
        <v>4.0500000000000007</v>
      </c>
      <c r="Y118">
        <v>0.65</v>
      </c>
      <c r="Z118">
        <v>17</v>
      </c>
      <c r="AA118">
        <v>17.7</v>
      </c>
      <c r="AB118">
        <v>60</v>
      </c>
      <c r="AC118">
        <v>1284.6333369303065</v>
      </c>
      <c r="AD118" t="s">
        <v>471</v>
      </c>
      <c r="AE118">
        <v>1276</v>
      </c>
      <c r="AF118">
        <v>1275</v>
      </c>
      <c r="AG118">
        <v>370</v>
      </c>
      <c r="AH118" t="s">
        <v>21</v>
      </c>
      <c r="AI118">
        <v>3.219871E-3</v>
      </c>
      <c r="AJ118">
        <v>1</v>
      </c>
      <c r="AK118">
        <v>10</v>
      </c>
      <c r="AL118">
        <v>200</v>
      </c>
      <c r="AM118">
        <f t="shared" si="21"/>
        <v>190</v>
      </c>
      <c r="AN118">
        <v>0.26</v>
      </c>
      <c r="AO118">
        <f t="shared" si="16"/>
        <v>1.0674157303370786</v>
      </c>
      <c r="AP118">
        <v>116</v>
      </c>
      <c r="AQ118">
        <f t="shared" si="17"/>
        <v>41.808647729999997</v>
      </c>
      <c r="AR118">
        <f t="shared" si="23"/>
        <v>1.1913522700000001</v>
      </c>
      <c r="AS118">
        <f t="shared" si="22"/>
        <v>0.8808647730000001</v>
      </c>
      <c r="AU118" t="s">
        <v>303</v>
      </c>
      <c r="AX118" s="13">
        <v>1</v>
      </c>
      <c r="AY118">
        <v>61</v>
      </c>
      <c r="AZ118" t="s">
        <v>148</v>
      </c>
      <c r="BA118" t="s">
        <v>0</v>
      </c>
    </row>
    <row r="119" spans="1:53" x14ac:dyDescent="0.35">
      <c r="A119" t="s">
        <v>147</v>
      </c>
      <c r="B119">
        <v>1</v>
      </c>
      <c r="C119" t="s">
        <v>5</v>
      </c>
      <c r="D119" t="s">
        <v>4</v>
      </c>
      <c r="E119" t="s">
        <v>3</v>
      </c>
      <c r="F119" s="1">
        <v>0.37</v>
      </c>
      <c r="G119" t="s">
        <v>114</v>
      </c>
      <c r="H119">
        <v>4</v>
      </c>
      <c r="I119">
        <v>7</v>
      </c>
      <c r="J119">
        <v>11</v>
      </c>
      <c r="K119">
        <v>33</v>
      </c>
      <c r="L119">
        <v>13</v>
      </c>
      <c r="M119">
        <f t="shared" si="19"/>
        <v>46</v>
      </c>
      <c r="N119">
        <v>52</v>
      </c>
      <c r="O119">
        <v>2.38</v>
      </c>
      <c r="P119">
        <v>0.22</v>
      </c>
      <c r="Q119">
        <f t="shared" si="13"/>
        <v>1.2145808123218896E-2</v>
      </c>
      <c r="R119" s="6">
        <v>105</v>
      </c>
      <c r="S119">
        <v>0.76</v>
      </c>
      <c r="T119">
        <f t="shared" si="14"/>
        <v>0.93</v>
      </c>
      <c r="U119">
        <v>1.1000000000000001</v>
      </c>
      <c r="V119">
        <v>1.4</v>
      </c>
      <c r="W119">
        <f t="shared" si="20"/>
        <v>2.0999999999999996</v>
      </c>
      <c r="X119">
        <f t="shared" si="15"/>
        <v>4.1999999999999993</v>
      </c>
      <c r="Y119">
        <v>0.65</v>
      </c>
      <c r="Z119">
        <v>17</v>
      </c>
      <c r="AA119">
        <v>17.7</v>
      </c>
      <c r="AB119">
        <v>60</v>
      </c>
      <c r="AC119">
        <f>Z119/AH119</f>
        <v>1458.0769012057697</v>
      </c>
      <c r="AD119" t="s">
        <v>472</v>
      </c>
      <c r="AE119">
        <v>1269</v>
      </c>
      <c r="AF119">
        <v>1270</v>
      </c>
      <c r="AG119">
        <v>120</v>
      </c>
      <c r="AH119">
        <v>1.1659193E-2</v>
      </c>
      <c r="AI119" t="s">
        <v>21</v>
      </c>
      <c r="AJ119">
        <v>0</v>
      </c>
      <c r="AK119">
        <v>34</v>
      </c>
      <c r="AL119">
        <v>87</v>
      </c>
      <c r="AM119">
        <f t="shared" si="21"/>
        <v>53</v>
      </c>
      <c r="AN119">
        <v>0.22</v>
      </c>
      <c r="AO119">
        <f t="shared" si="16"/>
        <v>0.25238095238095237</v>
      </c>
      <c r="AP119">
        <v>117</v>
      </c>
      <c r="AQ119" t="str">
        <f t="shared" si="17"/>
        <v>NA</v>
      </c>
      <c r="AR119" t="str">
        <f t="shared" si="23"/>
        <v>NA</v>
      </c>
      <c r="AS119" t="str">
        <f t="shared" si="22"/>
        <v>NA</v>
      </c>
      <c r="AU119" t="s">
        <v>303</v>
      </c>
      <c r="AX119" s="12">
        <v>0</v>
      </c>
      <c r="AY119">
        <v>62</v>
      </c>
      <c r="AZ119" t="s">
        <v>147</v>
      </c>
      <c r="BA119" t="s">
        <v>5</v>
      </c>
    </row>
    <row r="120" spans="1:53" x14ac:dyDescent="0.35">
      <c r="A120" t="s">
        <v>147</v>
      </c>
      <c r="B120">
        <v>1</v>
      </c>
      <c r="C120" t="s">
        <v>0</v>
      </c>
      <c r="D120" t="s">
        <v>4</v>
      </c>
      <c r="E120" t="s">
        <v>3</v>
      </c>
      <c r="F120" s="1">
        <v>0.37</v>
      </c>
      <c r="G120" t="s">
        <v>114</v>
      </c>
      <c r="H120">
        <v>4</v>
      </c>
      <c r="I120">
        <v>7</v>
      </c>
      <c r="J120">
        <v>11</v>
      </c>
      <c r="K120">
        <v>33</v>
      </c>
      <c r="L120">
        <v>13</v>
      </c>
      <c r="M120">
        <f t="shared" si="19"/>
        <v>46</v>
      </c>
      <c r="N120">
        <v>52</v>
      </c>
      <c r="O120">
        <v>2.38</v>
      </c>
      <c r="P120">
        <v>0.22</v>
      </c>
      <c r="Q120">
        <f t="shared" si="13"/>
        <v>1.2145808123218896E-2</v>
      </c>
      <c r="R120" s="6">
        <v>105</v>
      </c>
      <c r="S120">
        <v>0.76</v>
      </c>
      <c r="T120">
        <f t="shared" si="14"/>
        <v>0.93</v>
      </c>
      <c r="U120">
        <v>1.1000000000000001</v>
      </c>
      <c r="V120">
        <v>1.4</v>
      </c>
      <c r="W120">
        <f t="shared" si="20"/>
        <v>2.0999999999999996</v>
      </c>
      <c r="X120">
        <f t="shared" si="15"/>
        <v>4.1999999999999993</v>
      </c>
      <c r="Y120">
        <v>0.65</v>
      </c>
      <c r="Z120">
        <v>17</v>
      </c>
      <c r="AA120">
        <v>17.7</v>
      </c>
      <c r="AB120">
        <v>60</v>
      </c>
      <c r="AC120">
        <v>1458.0769012057697</v>
      </c>
      <c r="AD120" t="s">
        <v>473</v>
      </c>
      <c r="AE120">
        <v>1269</v>
      </c>
      <c r="AF120">
        <v>1270</v>
      </c>
      <c r="AG120">
        <v>120</v>
      </c>
      <c r="AH120" t="s">
        <v>21</v>
      </c>
      <c r="AI120">
        <v>3.278689E-3</v>
      </c>
      <c r="AJ120">
        <v>0</v>
      </c>
      <c r="AK120">
        <v>13</v>
      </c>
      <c r="AL120">
        <v>66</v>
      </c>
      <c r="AM120">
        <f t="shared" si="21"/>
        <v>53</v>
      </c>
      <c r="AN120">
        <v>0.22</v>
      </c>
      <c r="AO120">
        <f t="shared" si="16"/>
        <v>0.25238095238095237</v>
      </c>
      <c r="AP120">
        <v>118</v>
      </c>
      <c r="AQ120">
        <f t="shared" si="17"/>
        <v>45.60655732</v>
      </c>
      <c r="AR120">
        <f t="shared" si="23"/>
        <v>0.39344267999999999</v>
      </c>
      <c r="AS120">
        <f t="shared" si="22"/>
        <v>0.96973517846153845</v>
      </c>
      <c r="AU120" t="s">
        <v>303</v>
      </c>
      <c r="AX120" s="12">
        <v>0</v>
      </c>
      <c r="AY120">
        <v>62</v>
      </c>
      <c r="AZ120" t="s">
        <v>147</v>
      </c>
      <c r="BA120" t="s">
        <v>0</v>
      </c>
    </row>
    <row r="121" spans="1:53" x14ac:dyDescent="0.35">
      <c r="A121" t="s">
        <v>146</v>
      </c>
      <c r="B121">
        <v>1</v>
      </c>
      <c r="C121" t="s">
        <v>5</v>
      </c>
      <c r="D121" t="s">
        <v>4</v>
      </c>
      <c r="E121" t="s">
        <v>3</v>
      </c>
      <c r="F121" s="1">
        <v>0.37</v>
      </c>
      <c r="G121" t="s">
        <v>114</v>
      </c>
      <c r="H121">
        <v>4</v>
      </c>
      <c r="I121">
        <v>7</v>
      </c>
      <c r="J121">
        <v>11</v>
      </c>
      <c r="K121">
        <v>33</v>
      </c>
      <c r="L121">
        <v>13</v>
      </c>
      <c r="M121">
        <f t="shared" si="19"/>
        <v>46</v>
      </c>
      <c r="N121">
        <v>52</v>
      </c>
      <c r="O121">
        <v>2.38</v>
      </c>
      <c r="P121">
        <v>0.22</v>
      </c>
      <c r="Q121">
        <f t="shared" si="13"/>
        <v>1.2145808123218896E-2</v>
      </c>
      <c r="R121" s="6">
        <v>105</v>
      </c>
      <c r="S121">
        <v>0.76</v>
      </c>
      <c r="T121">
        <f t="shared" si="14"/>
        <v>0.93</v>
      </c>
      <c r="U121">
        <v>1.1000000000000001</v>
      </c>
      <c r="V121">
        <v>1.4</v>
      </c>
      <c r="W121">
        <f t="shared" si="20"/>
        <v>2.0999999999999996</v>
      </c>
      <c r="X121">
        <f t="shared" si="15"/>
        <v>4.1999999999999993</v>
      </c>
      <c r="Y121">
        <v>0.65</v>
      </c>
      <c r="Z121">
        <v>17</v>
      </c>
      <c r="AA121">
        <v>17.7</v>
      </c>
      <c r="AB121">
        <v>60</v>
      </c>
      <c r="AC121">
        <f>Z121/AH121</f>
        <v>1458.0769012057697</v>
      </c>
      <c r="AD121" t="s">
        <v>474</v>
      </c>
      <c r="AE121">
        <v>1269</v>
      </c>
      <c r="AF121">
        <v>1270</v>
      </c>
      <c r="AG121">
        <v>150</v>
      </c>
      <c r="AH121">
        <v>1.1659193E-2</v>
      </c>
      <c r="AI121" t="s">
        <v>21</v>
      </c>
      <c r="AJ121">
        <v>0</v>
      </c>
      <c r="AK121">
        <v>36</v>
      </c>
      <c r="AL121">
        <v>54</v>
      </c>
      <c r="AM121">
        <f t="shared" si="21"/>
        <v>18</v>
      </c>
      <c r="AN121">
        <v>0.22</v>
      </c>
      <c r="AO121">
        <f t="shared" si="16"/>
        <v>8.5714285714285715E-2</v>
      </c>
      <c r="AP121">
        <v>119</v>
      </c>
      <c r="AQ121" t="str">
        <f t="shared" si="17"/>
        <v>NA</v>
      </c>
      <c r="AR121" t="str">
        <f t="shared" si="23"/>
        <v>NA</v>
      </c>
      <c r="AS121" t="str">
        <f t="shared" si="22"/>
        <v>NA</v>
      </c>
      <c r="AU121" t="s">
        <v>303</v>
      </c>
      <c r="AX121" s="12">
        <v>0</v>
      </c>
      <c r="AY121">
        <v>63</v>
      </c>
      <c r="AZ121" t="s">
        <v>146</v>
      </c>
      <c r="BA121" t="s">
        <v>5</v>
      </c>
    </row>
    <row r="122" spans="1:53" x14ac:dyDescent="0.35">
      <c r="A122" t="s">
        <v>146</v>
      </c>
      <c r="B122">
        <v>1</v>
      </c>
      <c r="C122" t="s">
        <v>0</v>
      </c>
      <c r="D122" t="s">
        <v>4</v>
      </c>
      <c r="E122" t="s">
        <v>3</v>
      </c>
      <c r="F122" s="1">
        <v>0.37</v>
      </c>
      <c r="G122" t="s">
        <v>114</v>
      </c>
      <c r="H122">
        <v>4</v>
      </c>
      <c r="I122">
        <v>7</v>
      </c>
      <c r="J122">
        <v>11</v>
      </c>
      <c r="K122">
        <v>33</v>
      </c>
      <c r="L122">
        <v>13</v>
      </c>
      <c r="M122">
        <f t="shared" si="19"/>
        <v>46</v>
      </c>
      <c r="N122">
        <v>52</v>
      </c>
      <c r="O122">
        <v>2.38</v>
      </c>
      <c r="P122">
        <v>0.22</v>
      </c>
      <c r="Q122">
        <f t="shared" si="13"/>
        <v>1.2145808123218896E-2</v>
      </c>
      <c r="R122" s="6">
        <v>105</v>
      </c>
      <c r="S122">
        <v>0.76</v>
      </c>
      <c r="T122">
        <f t="shared" si="14"/>
        <v>0.93</v>
      </c>
      <c r="U122">
        <v>1.1000000000000001</v>
      </c>
      <c r="V122">
        <v>1.4</v>
      </c>
      <c r="W122">
        <f t="shared" si="20"/>
        <v>2.0999999999999996</v>
      </c>
      <c r="X122">
        <f t="shared" si="15"/>
        <v>4.1999999999999993</v>
      </c>
      <c r="Y122">
        <v>0.65</v>
      </c>
      <c r="Z122">
        <v>17</v>
      </c>
      <c r="AA122">
        <v>17.7</v>
      </c>
      <c r="AB122">
        <v>60</v>
      </c>
      <c r="AC122">
        <v>1458.0769012057697</v>
      </c>
      <c r="AD122" t="s">
        <v>475</v>
      </c>
      <c r="AE122">
        <v>1269</v>
      </c>
      <c r="AF122">
        <v>1270</v>
      </c>
      <c r="AG122">
        <v>150</v>
      </c>
      <c r="AH122" t="s">
        <v>21</v>
      </c>
      <c r="AI122">
        <v>3.278689E-3</v>
      </c>
      <c r="AJ122">
        <v>0</v>
      </c>
      <c r="AK122">
        <v>16</v>
      </c>
      <c r="AL122">
        <v>34</v>
      </c>
      <c r="AM122">
        <f t="shared" si="21"/>
        <v>18</v>
      </c>
      <c r="AN122">
        <v>0.22</v>
      </c>
      <c r="AO122">
        <f t="shared" si="16"/>
        <v>8.5714285714285715E-2</v>
      </c>
      <c r="AP122">
        <v>120</v>
      </c>
      <c r="AQ122">
        <f t="shared" si="17"/>
        <v>45.508196650000002</v>
      </c>
      <c r="AR122">
        <f t="shared" si="23"/>
        <v>0.49180334999999997</v>
      </c>
      <c r="AS122">
        <f t="shared" si="22"/>
        <v>0.96216897307692306</v>
      </c>
      <c r="AU122" t="s">
        <v>303</v>
      </c>
      <c r="AX122" s="12">
        <v>0</v>
      </c>
      <c r="AY122">
        <v>63</v>
      </c>
      <c r="AZ122" t="s">
        <v>146</v>
      </c>
      <c r="BA122" t="s">
        <v>0</v>
      </c>
    </row>
    <row r="123" spans="1:53" x14ac:dyDescent="0.35">
      <c r="A123" t="s">
        <v>145</v>
      </c>
      <c r="B123">
        <v>1</v>
      </c>
      <c r="C123" t="s">
        <v>5</v>
      </c>
      <c r="D123" t="s">
        <v>4</v>
      </c>
      <c r="E123" t="s">
        <v>3</v>
      </c>
      <c r="F123" s="1">
        <v>0.37</v>
      </c>
      <c r="G123" t="s">
        <v>114</v>
      </c>
      <c r="H123">
        <v>4</v>
      </c>
      <c r="I123">
        <v>7</v>
      </c>
      <c r="J123">
        <v>11</v>
      </c>
      <c r="K123">
        <v>33</v>
      </c>
      <c r="L123">
        <v>13</v>
      </c>
      <c r="M123">
        <f t="shared" si="19"/>
        <v>46</v>
      </c>
      <c r="N123">
        <v>52</v>
      </c>
      <c r="O123">
        <v>2.38</v>
      </c>
      <c r="P123">
        <v>0.22</v>
      </c>
      <c r="Q123">
        <f t="shared" si="13"/>
        <v>1.2145808123218896E-2</v>
      </c>
      <c r="R123" s="6">
        <v>105</v>
      </c>
      <c r="S123">
        <v>0.76</v>
      </c>
      <c r="T123">
        <f t="shared" si="14"/>
        <v>0.93</v>
      </c>
      <c r="U123">
        <v>1.1000000000000001</v>
      </c>
      <c r="V123">
        <v>1.4</v>
      </c>
      <c r="W123">
        <f t="shared" si="20"/>
        <v>2.0999999999999996</v>
      </c>
      <c r="X123">
        <f t="shared" si="15"/>
        <v>4.1999999999999993</v>
      </c>
      <c r="Y123">
        <v>0.65</v>
      </c>
      <c r="Z123">
        <v>17</v>
      </c>
      <c r="AA123">
        <v>17.7</v>
      </c>
      <c r="AB123">
        <v>60</v>
      </c>
      <c r="AC123">
        <f>Z123/AH123</f>
        <v>1458.0769012057697</v>
      </c>
      <c r="AD123" t="s">
        <v>476</v>
      </c>
      <c r="AE123">
        <v>1269</v>
      </c>
      <c r="AF123">
        <v>1270</v>
      </c>
      <c r="AG123">
        <v>420</v>
      </c>
      <c r="AH123">
        <v>1.1659193E-2</v>
      </c>
      <c r="AI123" t="s">
        <v>21</v>
      </c>
      <c r="AJ123">
        <v>1</v>
      </c>
      <c r="AK123">
        <v>31</v>
      </c>
      <c r="AL123">
        <v>193</v>
      </c>
      <c r="AM123">
        <f t="shared" si="21"/>
        <v>162</v>
      </c>
      <c r="AN123">
        <v>0.22</v>
      </c>
      <c r="AO123">
        <f t="shared" si="16"/>
        <v>0.77142857142857146</v>
      </c>
      <c r="AP123">
        <v>121</v>
      </c>
      <c r="AQ123" t="str">
        <f t="shared" si="17"/>
        <v>NA</v>
      </c>
      <c r="AR123" t="str">
        <f t="shared" si="23"/>
        <v>NA</v>
      </c>
      <c r="AS123" t="str">
        <f t="shared" si="22"/>
        <v>NA</v>
      </c>
      <c r="AU123" t="s">
        <v>303</v>
      </c>
      <c r="AX123" s="13">
        <v>1</v>
      </c>
      <c r="AY123">
        <v>64</v>
      </c>
      <c r="AZ123" t="s">
        <v>145</v>
      </c>
      <c r="BA123" t="s">
        <v>5</v>
      </c>
    </row>
    <row r="124" spans="1:53" x14ac:dyDescent="0.35">
      <c r="A124" t="s">
        <v>145</v>
      </c>
      <c r="B124">
        <v>1</v>
      </c>
      <c r="C124" t="s">
        <v>0</v>
      </c>
      <c r="D124" t="s">
        <v>4</v>
      </c>
      <c r="E124" t="s">
        <v>3</v>
      </c>
      <c r="F124" s="1">
        <v>0.37</v>
      </c>
      <c r="G124" t="s">
        <v>114</v>
      </c>
      <c r="H124">
        <v>4</v>
      </c>
      <c r="I124">
        <v>7</v>
      </c>
      <c r="J124">
        <v>11</v>
      </c>
      <c r="K124">
        <v>33</v>
      </c>
      <c r="L124">
        <v>13</v>
      </c>
      <c r="M124">
        <f t="shared" si="19"/>
        <v>46</v>
      </c>
      <c r="N124">
        <v>52</v>
      </c>
      <c r="O124">
        <v>2.38</v>
      </c>
      <c r="P124">
        <v>0.22</v>
      </c>
      <c r="Q124">
        <f t="shared" si="13"/>
        <v>1.2145808123218896E-2</v>
      </c>
      <c r="R124" s="6">
        <v>105</v>
      </c>
      <c r="S124">
        <v>0.76</v>
      </c>
      <c r="T124">
        <f t="shared" si="14"/>
        <v>0.93</v>
      </c>
      <c r="U124">
        <v>1.1000000000000001</v>
      </c>
      <c r="V124">
        <v>1.4</v>
      </c>
      <c r="W124">
        <f t="shared" si="20"/>
        <v>2.0999999999999996</v>
      </c>
      <c r="X124">
        <f t="shared" si="15"/>
        <v>4.1999999999999993</v>
      </c>
      <c r="Y124">
        <v>0.65</v>
      </c>
      <c r="Z124">
        <v>17</v>
      </c>
      <c r="AA124">
        <v>17.7</v>
      </c>
      <c r="AB124">
        <v>60</v>
      </c>
      <c r="AC124">
        <v>1458.0769012057697</v>
      </c>
      <c r="AD124" t="s">
        <v>477</v>
      </c>
      <c r="AE124">
        <v>1269</v>
      </c>
      <c r="AF124">
        <v>1270</v>
      </c>
      <c r="AG124">
        <v>420</v>
      </c>
      <c r="AH124" t="s">
        <v>21</v>
      </c>
      <c r="AI124">
        <v>3.278689E-3</v>
      </c>
      <c r="AJ124">
        <v>1</v>
      </c>
      <c r="AK124">
        <v>9</v>
      </c>
      <c r="AL124">
        <v>171</v>
      </c>
      <c r="AM124">
        <f t="shared" si="21"/>
        <v>162</v>
      </c>
      <c r="AN124">
        <v>0.22</v>
      </c>
      <c r="AO124">
        <f t="shared" si="16"/>
        <v>0.77142857142857146</v>
      </c>
      <c r="AP124">
        <v>122</v>
      </c>
      <c r="AQ124">
        <f t="shared" si="17"/>
        <v>44.622950619999997</v>
      </c>
      <c r="AR124">
        <f t="shared" si="23"/>
        <v>1.3770493800000001</v>
      </c>
      <c r="AS124">
        <f t="shared" si="22"/>
        <v>0.89407312461538457</v>
      </c>
      <c r="AU124" t="s">
        <v>303</v>
      </c>
      <c r="AX124" s="13">
        <v>1</v>
      </c>
      <c r="AY124">
        <v>64</v>
      </c>
      <c r="AZ124" t="s">
        <v>145</v>
      </c>
      <c r="BA124" t="s">
        <v>0</v>
      </c>
    </row>
    <row r="125" spans="1:53" x14ac:dyDescent="0.35">
      <c r="A125" t="s">
        <v>144</v>
      </c>
      <c r="B125">
        <v>1</v>
      </c>
      <c r="C125" t="s">
        <v>5</v>
      </c>
      <c r="D125" t="s">
        <v>4</v>
      </c>
      <c r="E125" t="s">
        <v>3</v>
      </c>
      <c r="F125" s="1">
        <v>0.38</v>
      </c>
      <c r="G125" t="s">
        <v>141</v>
      </c>
      <c r="H125">
        <v>3</v>
      </c>
      <c r="I125">
        <v>9</v>
      </c>
      <c r="J125">
        <v>14</v>
      </c>
      <c r="K125">
        <v>33</v>
      </c>
      <c r="L125">
        <v>11</v>
      </c>
      <c r="M125">
        <f t="shared" si="19"/>
        <v>44</v>
      </c>
      <c r="N125">
        <v>45</v>
      </c>
      <c r="O125">
        <v>1.72</v>
      </c>
      <c r="P125">
        <v>0.17</v>
      </c>
      <c r="Q125">
        <f t="shared" si="13"/>
        <v>1.1287805357320957E-2</v>
      </c>
      <c r="R125" s="6">
        <v>94</v>
      </c>
      <c r="S125">
        <v>0.67</v>
      </c>
      <c r="T125">
        <f t="shared" si="14"/>
        <v>0.78500000000000003</v>
      </c>
      <c r="U125">
        <v>0.9</v>
      </c>
      <c r="V125">
        <v>1.4</v>
      </c>
      <c r="W125">
        <f t="shared" si="20"/>
        <v>2.0999999999999996</v>
      </c>
      <c r="X125">
        <f t="shared" si="15"/>
        <v>4.1999999999999993</v>
      </c>
      <c r="Y125">
        <v>0.65</v>
      </c>
      <c r="Z125">
        <v>17</v>
      </c>
      <c r="AA125">
        <v>17.7</v>
      </c>
      <c r="AB125">
        <v>60</v>
      </c>
      <c r="AC125">
        <f>Z125/AH125</f>
        <v>1442.9600440968588</v>
      </c>
      <c r="AD125" t="s">
        <v>478</v>
      </c>
      <c r="AE125">
        <v>1293</v>
      </c>
      <c r="AF125">
        <v>1295</v>
      </c>
      <c r="AG125">
        <v>380</v>
      </c>
      <c r="AH125">
        <v>1.1781338000000001E-2</v>
      </c>
      <c r="AI125" t="s">
        <v>21</v>
      </c>
      <c r="AJ125">
        <v>0</v>
      </c>
      <c r="AK125">
        <v>24</v>
      </c>
      <c r="AL125">
        <v>102</v>
      </c>
      <c r="AM125">
        <f t="shared" si="21"/>
        <v>78</v>
      </c>
      <c r="AN125">
        <v>0.17</v>
      </c>
      <c r="AO125">
        <f t="shared" si="16"/>
        <v>0.41489361702127658</v>
      </c>
      <c r="AP125">
        <v>123</v>
      </c>
      <c r="AQ125" t="str">
        <f t="shared" si="17"/>
        <v>NA</v>
      </c>
      <c r="AR125" t="str">
        <f t="shared" si="23"/>
        <v>NA</v>
      </c>
      <c r="AS125" t="str">
        <f t="shared" si="22"/>
        <v>NA</v>
      </c>
      <c r="AU125" t="s">
        <v>303</v>
      </c>
      <c r="AX125" s="12">
        <v>0</v>
      </c>
      <c r="AY125">
        <v>65</v>
      </c>
      <c r="AZ125" t="s">
        <v>144</v>
      </c>
      <c r="BA125" t="s">
        <v>5</v>
      </c>
    </row>
    <row r="126" spans="1:53" x14ac:dyDescent="0.35">
      <c r="A126" t="s">
        <v>144</v>
      </c>
      <c r="B126">
        <v>1</v>
      </c>
      <c r="C126" t="s">
        <v>0</v>
      </c>
      <c r="D126" t="s">
        <v>4</v>
      </c>
      <c r="E126" t="s">
        <v>3</v>
      </c>
      <c r="F126" s="1">
        <v>0.38</v>
      </c>
      <c r="G126" t="s">
        <v>141</v>
      </c>
      <c r="H126">
        <v>3</v>
      </c>
      <c r="I126">
        <v>9</v>
      </c>
      <c r="J126">
        <v>14</v>
      </c>
      <c r="K126">
        <v>33</v>
      </c>
      <c r="L126">
        <v>11</v>
      </c>
      <c r="M126">
        <f t="shared" si="19"/>
        <v>44</v>
      </c>
      <c r="N126">
        <v>45</v>
      </c>
      <c r="O126">
        <v>1.72</v>
      </c>
      <c r="P126">
        <v>0.17</v>
      </c>
      <c r="Q126">
        <f t="shared" si="13"/>
        <v>1.1287805357320957E-2</v>
      </c>
      <c r="R126" s="6">
        <v>94</v>
      </c>
      <c r="S126">
        <v>0.67</v>
      </c>
      <c r="T126">
        <f t="shared" si="14"/>
        <v>0.78500000000000003</v>
      </c>
      <c r="U126">
        <v>0.9</v>
      </c>
      <c r="V126">
        <v>1.4</v>
      </c>
      <c r="W126">
        <f t="shared" si="20"/>
        <v>2.0999999999999996</v>
      </c>
      <c r="X126">
        <f t="shared" si="15"/>
        <v>4.1999999999999993</v>
      </c>
      <c r="Y126">
        <v>0.65</v>
      </c>
      <c r="Z126">
        <v>17</v>
      </c>
      <c r="AA126">
        <v>17.7</v>
      </c>
      <c r="AB126">
        <v>60</v>
      </c>
      <c r="AC126">
        <v>1442.9600440968588</v>
      </c>
      <c r="AD126" t="s">
        <v>479</v>
      </c>
      <c r="AE126">
        <v>1293</v>
      </c>
      <c r="AF126">
        <v>1295</v>
      </c>
      <c r="AG126">
        <v>380</v>
      </c>
      <c r="AH126" t="s">
        <v>21</v>
      </c>
      <c r="AI126">
        <v>3.278689E-3</v>
      </c>
      <c r="AJ126">
        <v>0</v>
      </c>
      <c r="AK126">
        <v>27</v>
      </c>
      <c r="AL126">
        <v>105</v>
      </c>
      <c r="AM126">
        <f t="shared" si="21"/>
        <v>78</v>
      </c>
      <c r="AN126">
        <v>0.17</v>
      </c>
      <c r="AO126">
        <f t="shared" si="16"/>
        <v>0.41489361702127658</v>
      </c>
      <c r="AP126">
        <v>124</v>
      </c>
      <c r="AQ126">
        <f t="shared" si="17"/>
        <v>42.75409818</v>
      </c>
      <c r="AR126">
        <f t="shared" si="23"/>
        <v>1.24590182</v>
      </c>
      <c r="AS126">
        <f t="shared" si="22"/>
        <v>0.88673619818181815</v>
      </c>
      <c r="AU126" t="s">
        <v>303</v>
      </c>
      <c r="AX126" s="12">
        <v>0</v>
      </c>
      <c r="AY126">
        <v>65</v>
      </c>
      <c r="AZ126" t="s">
        <v>144</v>
      </c>
      <c r="BA126" t="s">
        <v>0</v>
      </c>
    </row>
    <row r="127" spans="1:53" x14ac:dyDescent="0.35">
      <c r="A127" t="s">
        <v>143</v>
      </c>
      <c r="B127">
        <v>1</v>
      </c>
      <c r="C127" t="s">
        <v>5</v>
      </c>
      <c r="D127" t="s">
        <v>4</v>
      </c>
      <c r="E127" t="s">
        <v>3</v>
      </c>
      <c r="F127" s="1">
        <v>0.38</v>
      </c>
      <c r="G127" t="s">
        <v>141</v>
      </c>
      <c r="H127">
        <v>3</v>
      </c>
      <c r="I127">
        <v>9</v>
      </c>
      <c r="J127">
        <v>14</v>
      </c>
      <c r="K127">
        <v>33</v>
      </c>
      <c r="L127">
        <v>11</v>
      </c>
      <c r="M127">
        <f t="shared" si="19"/>
        <v>44</v>
      </c>
      <c r="N127">
        <v>45</v>
      </c>
      <c r="O127">
        <v>1.72</v>
      </c>
      <c r="P127">
        <v>0.17</v>
      </c>
      <c r="Q127">
        <f t="shared" si="13"/>
        <v>1.1287805357320957E-2</v>
      </c>
      <c r="R127" s="6">
        <v>94</v>
      </c>
      <c r="S127">
        <v>0.67</v>
      </c>
      <c r="T127">
        <f t="shared" si="14"/>
        <v>0.78500000000000003</v>
      </c>
      <c r="U127">
        <v>0.9</v>
      </c>
      <c r="V127">
        <v>1.4</v>
      </c>
      <c r="W127">
        <f t="shared" si="20"/>
        <v>2.0999999999999996</v>
      </c>
      <c r="X127">
        <f t="shared" si="15"/>
        <v>4.1999999999999993</v>
      </c>
      <c r="Y127">
        <v>0.65</v>
      </c>
      <c r="Z127">
        <v>17</v>
      </c>
      <c r="AA127">
        <v>17.7</v>
      </c>
      <c r="AB127">
        <v>60</v>
      </c>
      <c r="AC127">
        <f>Z127/AH127</f>
        <v>1442.9600440968588</v>
      </c>
      <c r="AD127" t="s">
        <v>480</v>
      </c>
      <c r="AE127">
        <v>1293</v>
      </c>
      <c r="AF127">
        <v>1295</v>
      </c>
      <c r="AG127">
        <v>450</v>
      </c>
      <c r="AH127">
        <v>1.1781338000000001E-2</v>
      </c>
      <c r="AI127" t="s">
        <v>21</v>
      </c>
      <c r="AJ127">
        <v>1</v>
      </c>
      <c r="AK127">
        <v>33</v>
      </c>
      <c r="AL127">
        <v>237</v>
      </c>
      <c r="AM127">
        <f t="shared" si="21"/>
        <v>204</v>
      </c>
      <c r="AN127">
        <v>0.17</v>
      </c>
      <c r="AO127">
        <f t="shared" si="16"/>
        <v>1.0851063829787233</v>
      </c>
      <c r="AP127">
        <v>125</v>
      </c>
      <c r="AQ127" t="str">
        <f t="shared" si="17"/>
        <v>NA</v>
      </c>
      <c r="AR127" t="str">
        <f t="shared" si="23"/>
        <v>NA</v>
      </c>
      <c r="AS127" t="str">
        <f t="shared" si="22"/>
        <v>NA</v>
      </c>
      <c r="AU127" t="s">
        <v>303</v>
      </c>
      <c r="AX127" s="13">
        <v>1</v>
      </c>
      <c r="AY127">
        <v>66</v>
      </c>
      <c r="AZ127" t="s">
        <v>143</v>
      </c>
      <c r="BA127" t="s">
        <v>5</v>
      </c>
    </row>
    <row r="128" spans="1:53" x14ac:dyDescent="0.35">
      <c r="A128" t="s">
        <v>143</v>
      </c>
      <c r="B128">
        <v>1</v>
      </c>
      <c r="C128" t="s">
        <v>0</v>
      </c>
      <c r="D128" t="s">
        <v>4</v>
      </c>
      <c r="E128" t="s">
        <v>3</v>
      </c>
      <c r="F128" s="1">
        <v>0.38</v>
      </c>
      <c r="G128" t="s">
        <v>141</v>
      </c>
      <c r="H128">
        <v>3</v>
      </c>
      <c r="I128">
        <v>9</v>
      </c>
      <c r="J128">
        <v>14</v>
      </c>
      <c r="K128">
        <v>33</v>
      </c>
      <c r="L128">
        <v>11</v>
      </c>
      <c r="M128">
        <f t="shared" si="19"/>
        <v>44</v>
      </c>
      <c r="N128">
        <v>45</v>
      </c>
      <c r="O128">
        <v>1.72</v>
      </c>
      <c r="P128">
        <v>0.17</v>
      </c>
      <c r="Q128">
        <f t="shared" si="13"/>
        <v>1.1287805357320957E-2</v>
      </c>
      <c r="R128" s="6">
        <v>94</v>
      </c>
      <c r="S128">
        <v>0.67</v>
      </c>
      <c r="T128">
        <f t="shared" si="14"/>
        <v>0.78500000000000003</v>
      </c>
      <c r="U128">
        <v>0.9</v>
      </c>
      <c r="V128">
        <v>1.4</v>
      </c>
      <c r="W128">
        <f t="shared" si="20"/>
        <v>2.0999999999999996</v>
      </c>
      <c r="X128">
        <f t="shared" si="15"/>
        <v>4.1999999999999993</v>
      </c>
      <c r="Y128">
        <v>0.65</v>
      </c>
      <c r="Z128">
        <v>17</v>
      </c>
      <c r="AA128">
        <v>17.7</v>
      </c>
      <c r="AB128">
        <v>60</v>
      </c>
      <c r="AC128">
        <v>1442.9600440968588</v>
      </c>
      <c r="AD128" t="s">
        <v>481</v>
      </c>
      <c r="AE128">
        <v>1293</v>
      </c>
      <c r="AF128">
        <v>1295</v>
      </c>
      <c r="AG128">
        <v>450</v>
      </c>
      <c r="AH128" t="s">
        <v>21</v>
      </c>
      <c r="AI128">
        <v>3.278689E-3</v>
      </c>
      <c r="AJ128">
        <v>1</v>
      </c>
      <c r="AK128">
        <v>31</v>
      </c>
      <c r="AL128">
        <v>235</v>
      </c>
      <c r="AM128">
        <f t="shared" si="21"/>
        <v>204</v>
      </c>
      <c r="AN128">
        <v>0.17</v>
      </c>
      <c r="AO128">
        <f t="shared" si="16"/>
        <v>1.0851063829787233</v>
      </c>
      <c r="AP128">
        <v>126</v>
      </c>
      <c r="AQ128">
        <f t="shared" si="17"/>
        <v>42.524589949999999</v>
      </c>
      <c r="AR128">
        <f t="shared" si="23"/>
        <v>1.47541005</v>
      </c>
      <c r="AS128">
        <f t="shared" si="22"/>
        <v>0.86587181363636356</v>
      </c>
      <c r="AU128" t="s">
        <v>303</v>
      </c>
      <c r="AX128" s="13">
        <v>1</v>
      </c>
      <c r="AY128">
        <v>66</v>
      </c>
      <c r="AZ128" t="s">
        <v>143</v>
      </c>
      <c r="BA128" t="s">
        <v>0</v>
      </c>
    </row>
    <row r="129" spans="1:53" x14ac:dyDescent="0.35">
      <c r="A129" t="s">
        <v>140</v>
      </c>
      <c r="B129">
        <v>2</v>
      </c>
      <c r="C129" t="s">
        <v>5</v>
      </c>
      <c r="D129" t="s">
        <v>4</v>
      </c>
      <c r="E129" t="s">
        <v>3</v>
      </c>
      <c r="F129" s="1">
        <v>0.38</v>
      </c>
      <c r="G129" t="s">
        <v>141</v>
      </c>
      <c r="H129">
        <v>3</v>
      </c>
      <c r="I129">
        <v>9</v>
      </c>
      <c r="J129">
        <v>14</v>
      </c>
      <c r="K129">
        <v>35</v>
      </c>
      <c r="L129">
        <v>7</v>
      </c>
      <c r="M129">
        <f t="shared" si="19"/>
        <v>42</v>
      </c>
      <c r="N129">
        <v>47</v>
      </c>
      <c r="O129">
        <v>2.48</v>
      </c>
      <c r="P129">
        <v>0.21</v>
      </c>
      <c r="Q129">
        <f t="shared" si="13"/>
        <v>1.5587847951576413E-2</v>
      </c>
      <c r="R129" s="6">
        <v>102.6233749</v>
      </c>
      <c r="S129">
        <v>0.75</v>
      </c>
      <c r="T129">
        <f t="shared" si="14"/>
        <v>0.875</v>
      </c>
      <c r="U129">
        <v>1</v>
      </c>
      <c r="V129">
        <v>1.05</v>
      </c>
      <c r="W129">
        <f t="shared" si="20"/>
        <v>1.5750000000000002</v>
      </c>
      <c r="X129">
        <f t="shared" si="15"/>
        <v>3.1500000000000004</v>
      </c>
      <c r="Y129">
        <v>1.1000000000000001</v>
      </c>
      <c r="Z129">
        <v>19.899999999999999</v>
      </c>
      <c r="AA129">
        <v>19.600000000000001</v>
      </c>
      <c r="AB129">
        <v>70</v>
      </c>
      <c r="AC129">
        <f>Z129/AH129</f>
        <v>2793.9600480561126</v>
      </c>
      <c r="AF129">
        <v>2452</v>
      </c>
      <c r="AG129">
        <v>1510</v>
      </c>
      <c r="AH129">
        <v>7.1225070000000001E-3</v>
      </c>
      <c r="AI129" t="s">
        <v>21</v>
      </c>
      <c r="AJ129">
        <v>1</v>
      </c>
      <c r="AK129">
        <v>33</v>
      </c>
      <c r="AL129">
        <v>327</v>
      </c>
      <c r="AM129">
        <f t="shared" si="21"/>
        <v>294</v>
      </c>
      <c r="AN129">
        <v>0.21</v>
      </c>
      <c r="AO129">
        <f t="shared" si="16"/>
        <v>1.4324221956571026</v>
      </c>
      <c r="AP129">
        <v>127</v>
      </c>
      <c r="AQ129" t="str">
        <f t="shared" si="17"/>
        <v>NA</v>
      </c>
      <c r="AR129" t="str">
        <f t="shared" si="23"/>
        <v>NA</v>
      </c>
      <c r="AS129" t="str">
        <f t="shared" si="22"/>
        <v>NA</v>
      </c>
      <c r="AU129" t="s">
        <v>303</v>
      </c>
      <c r="AW129" t="s">
        <v>312</v>
      </c>
      <c r="AX129" s="13">
        <v>1</v>
      </c>
      <c r="AY129">
        <v>67</v>
      </c>
      <c r="AZ129" t="s">
        <v>140</v>
      </c>
      <c r="BA129" t="s">
        <v>5</v>
      </c>
    </row>
    <row r="130" spans="1:53" x14ac:dyDescent="0.35">
      <c r="A130" t="s">
        <v>140</v>
      </c>
      <c r="B130">
        <v>2</v>
      </c>
      <c r="C130" t="s">
        <v>0</v>
      </c>
      <c r="D130" t="s">
        <v>4</v>
      </c>
      <c r="E130" t="s">
        <v>3</v>
      </c>
      <c r="F130" s="1">
        <v>0.38</v>
      </c>
      <c r="G130" t="s">
        <v>141</v>
      </c>
      <c r="H130">
        <v>3</v>
      </c>
      <c r="I130">
        <v>9</v>
      </c>
      <c r="J130">
        <v>14</v>
      </c>
      <c r="K130">
        <v>35</v>
      </c>
      <c r="L130">
        <v>7</v>
      </c>
      <c r="M130">
        <f t="shared" si="19"/>
        <v>42</v>
      </c>
      <c r="N130">
        <v>47</v>
      </c>
      <c r="O130">
        <v>2.48</v>
      </c>
      <c r="P130">
        <v>0.21</v>
      </c>
      <c r="Q130">
        <f t="shared" si="13"/>
        <v>1.5587847951576413E-2</v>
      </c>
      <c r="R130" s="6">
        <v>102.9879699</v>
      </c>
      <c r="S130">
        <v>0.75</v>
      </c>
      <c r="T130">
        <f t="shared" si="14"/>
        <v>0.875</v>
      </c>
      <c r="U130">
        <v>1</v>
      </c>
      <c r="V130">
        <v>1.05</v>
      </c>
      <c r="W130">
        <f t="shared" si="20"/>
        <v>1.5750000000000002</v>
      </c>
      <c r="X130">
        <f t="shared" si="15"/>
        <v>3.1500000000000004</v>
      </c>
      <c r="Y130">
        <v>1.1000000000000001</v>
      </c>
      <c r="Z130">
        <v>19.899999999999999</v>
      </c>
      <c r="AA130">
        <v>19.600000000000001</v>
      </c>
      <c r="AB130">
        <v>70</v>
      </c>
      <c r="AC130">
        <v>2793.9600480561126</v>
      </c>
      <c r="AF130">
        <v>2452</v>
      </c>
      <c r="AG130">
        <v>1510</v>
      </c>
      <c r="AH130" t="s">
        <v>21</v>
      </c>
      <c r="AI130">
        <v>4.0387720000000004E-3</v>
      </c>
      <c r="AJ130">
        <v>1</v>
      </c>
      <c r="AK130">
        <v>33</v>
      </c>
      <c r="AL130">
        <v>327</v>
      </c>
      <c r="AM130">
        <f t="shared" si="21"/>
        <v>294</v>
      </c>
      <c r="AN130">
        <v>0.21</v>
      </c>
      <c r="AO130">
        <f t="shared" ref="AO130:AO193" si="24">(AL130-AK130)/(2*R130)</f>
        <v>1.4273511764794968</v>
      </c>
      <c r="AP130">
        <v>128</v>
      </c>
      <c r="AQ130">
        <f t="shared" ref="AQ130:AQ193" si="25">IF(AI130&lt;&gt;"NA",K130+L130-AG130*AI130,"NA")</f>
        <v>35.901454279999996</v>
      </c>
      <c r="AR130">
        <f t="shared" si="23"/>
        <v>6.0985457200000006</v>
      </c>
      <c r="AS130">
        <f t="shared" si="22"/>
        <v>0.12877918285714277</v>
      </c>
      <c r="AU130" t="s">
        <v>303</v>
      </c>
      <c r="AW130" t="s">
        <v>312</v>
      </c>
      <c r="AX130" s="13">
        <v>1</v>
      </c>
      <c r="AY130">
        <v>67</v>
      </c>
      <c r="AZ130" t="s">
        <v>140</v>
      </c>
      <c r="BA130" t="s">
        <v>0</v>
      </c>
    </row>
    <row r="131" spans="1:53" x14ac:dyDescent="0.35">
      <c r="A131" t="s">
        <v>142</v>
      </c>
      <c r="B131">
        <v>1</v>
      </c>
      <c r="C131" t="s">
        <v>5</v>
      </c>
      <c r="D131" t="s">
        <v>4</v>
      </c>
      <c r="E131" t="s">
        <v>3</v>
      </c>
      <c r="F131" s="1">
        <v>0.38</v>
      </c>
      <c r="G131" t="s">
        <v>118</v>
      </c>
      <c r="H131">
        <v>7</v>
      </c>
      <c r="I131">
        <v>18</v>
      </c>
      <c r="J131">
        <v>27</v>
      </c>
      <c r="K131">
        <v>29</v>
      </c>
      <c r="L131">
        <v>8</v>
      </c>
      <c r="M131">
        <f t="shared" si="19"/>
        <v>37</v>
      </c>
      <c r="N131">
        <v>42</v>
      </c>
      <c r="O131">
        <v>3.27</v>
      </c>
      <c r="P131">
        <v>0.14000000000000001</v>
      </c>
      <c r="Q131">
        <f t="shared" ref="Q131:Q194" si="26">P131/(PI()*(5*(S131/2)^2+5*(T131/2)^2+5*(U131/2)^2+5*(V131/2)^2))</f>
        <v>1.0483883298192061E-2</v>
      </c>
      <c r="R131" s="6">
        <v>102.9879699</v>
      </c>
      <c r="S131">
        <v>0.67</v>
      </c>
      <c r="T131">
        <f t="shared" ref="T131:T194" si="27">AVERAGE(S131,U131)</f>
        <v>0.83499999999999996</v>
      </c>
      <c r="U131">
        <v>1</v>
      </c>
      <c r="V131">
        <v>1.1200000000000001</v>
      </c>
      <c r="W131">
        <f t="shared" si="20"/>
        <v>1.6800000000000002</v>
      </c>
      <c r="X131">
        <f t="shared" ref="X131:X194" si="28">W131*2</f>
        <v>3.3600000000000003</v>
      </c>
      <c r="Y131">
        <v>0.65</v>
      </c>
      <c r="Z131">
        <v>17</v>
      </c>
      <c r="AA131">
        <v>17.7</v>
      </c>
      <c r="AB131">
        <v>60</v>
      </c>
      <c r="AC131">
        <f>Z131/AH131</f>
        <v>1435.5555874567908</v>
      </c>
      <c r="AD131" t="s">
        <v>482</v>
      </c>
      <c r="AE131">
        <v>1296</v>
      </c>
      <c r="AF131">
        <v>1293</v>
      </c>
      <c r="AG131">
        <v>350</v>
      </c>
      <c r="AH131">
        <v>1.1842105E-2</v>
      </c>
      <c r="AI131" t="s">
        <v>21</v>
      </c>
      <c r="AJ131">
        <v>1</v>
      </c>
      <c r="AK131">
        <v>77</v>
      </c>
      <c r="AL131">
        <v>328</v>
      </c>
      <c r="AM131">
        <f t="shared" ref="AM131:AM194" si="29">AL131-AK131</f>
        <v>251</v>
      </c>
      <c r="AN131">
        <v>0.14000000000000001</v>
      </c>
      <c r="AO131">
        <f t="shared" si="24"/>
        <v>1.2185889295794343</v>
      </c>
      <c r="AP131">
        <v>129</v>
      </c>
      <c r="AQ131" t="str">
        <f t="shared" si="25"/>
        <v>NA</v>
      </c>
      <c r="AR131" t="str">
        <f t="shared" si="23"/>
        <v>NA</v>
      </c>
      <c r="AS131" t="str">
        <f t="shared" si="22"/>
        <v>NA</v>
      </c>
      <c r="AU131" t="s">
        <v>303</v>
      </c>
      <c r="AW131" t="s">
        <v>313</v>
      </c>
      <c r="AX131" s="13">
        <v>1</v>
      </c>
      <c r="AY131">
        <v>68</v>
      </c>
      <c r="AZ131" t="s">
        <v>139</v>
      </c>
      <c r="BA131" t="s">
        <v>5</v>
      </c>
    </row>
    <row r="132" spans="1:53" x14ac:dyDescent="0.35">
      <c r="A132" t="s">
        <v>142</v>
      </c>
      <c r="B132">
        <v>1</v>
      </c>
      <c r="C132" t="s">
        <v>0</v>
      </c>
      <c r="D132" t="s">
        <v>4</v>
      </c>
      <c r="E132" t="s">
        <v>3</v>
      </c>
      <c r="F132" s="1">
        <v>0.38</v>
      </c>
      <c r="G132" t="s">
        <v>118</v>
      </c>
      <c r="H132">
        <v>7</v>
      </c>
      <c r="I132">
        <v>18</v>
      </c>
      <c r="J132">
        <v>27</v>
      </c>
      <c r="K132">
        <v>29</v>
      </c>
      <c r="L132">
        <v>8</v>
      </c>
      <c r="M132">
        <f t="shared" ref="M132:M195" si="30">K132+L132</f>
        <v>37</v>
      </c>
      <c r="N132">
        <v>42</v>
      </c>
      <c r="O132">
        <v>3.27</v>
      </c>
      <c r="P132">
        <v>0.14000000000000001</v>
      </c>
      <c r="Q132">
        <f t="shared" si="26"/>
        <v>1.0483883298192061E-2</v>
      </c>
      <c r="R132" s="6">
        <v>102.9879699</v>
      </c>
      <c r="S132">
        <v>0.67</v>
      </c>
      <c r="T132">
        <f t="shared" si="27"/>
        <v>0.83499999999999996</v>
      </c>
      <c r="U132">
        <v>1</v>
      </c>
      <c r="V132">
        <v>1.1200000000000001</v>
      </c>
      <c r="W132">
        <f t="shared" ref="W132:W195" si="31">V132*1.5</f>
        <v>1.6800000000000002</v>
      </c>
      <c r="X132">
        <f t="shared" si="28"/>
        <v>3.3600000000000003</v>
      </c>
      <c r="Y132">
        <v>0.65</v>
      </c>
      <c r="Z132">
        <v>17</v>
      </c>
      <c r="AA132">
        <v>17.7</v>
      </c>
      <c r="AB132">
        <v>60</v>
      </c>
      <c r="AC132">
        <v>1435.5555874567908</v>
      </c>
      <c r="AD132" t="s">
        <v>483</v>
      </c>
      <c r="AE132">
        <v>1296</v>
      </c>
      <c r="AF132">
        <v>1293</v>
      </c>
      <c r="AG132">
        <v>350</v>
      </c>
      <c r="AH132" t="s">
        <v>21</v>
      </c>
      <c r="AI132">
        <v>3.2142859999999998E-3</v>
      </c>
      <c r="AJ132">
        <v>1</v>
      </c>
      <c r="AK132">
        <v>77</v>
      </c>
      <c r="AL132">
        <v>328</v>
      </c>
      <c r="AM132">
        <f t="shared" si="29"/>
        <v>251</v>
      </c>
      <c r="AN132">
        <v>0.14000000000000001</v>
      </c>
      <c r="AO132">
        <f t="shared" si="24"/>
        <v>1.2185889295794343</v>
      </c>
      <c r="AP132">
        <v>130</v>
      </c>
      <c r="AQ132">
        <f t="shared" si="25"/>
        <v>35.874999899999999</v>
      </c>
      <c r="AR132">
        <f t="shared" si="23"/>
        <v>1.1250000999999998</v>
      </c>
      <c r="AS132">
        <f t="shared" si="22"/>
        <v>0.85937498750000008</v>
      </c>
      <c r="AU132" t="s">
        <v>303</v>
      </c>
      <c r="AW132" t="s">
        <v>313</v>
      </c>
      <c r="AX132" s="13">
        <v>1</v>
      </c>
      <c r="AY132">
        <v>68</v>
      </c>
      <c r="AZ132" t="s">
        <v>139</v>
      </c>
      <c r="BA132" t="s">
        <v>0</v>
      </c>
    </row>
    <row r="133" spans="1:53" x14ac:dyDescent="0.35">
      <c r="A133" t="s">
        <v>327</v>
      </c>
      <c r="B133">
        <v>2</v>
      </c>
      <c r="C133" t="s">
        <v>5</v>
      </c>
      <c r="D133" t="s">
        <v>4</v>
      </c>
      <c r="E133" t="s">
        <v>3</v>
      </c>
      <c r="F133" s="1">
        <v>0.37</v>
      </c>
      <c r="G133" t="s">
        <v>114</v>
      </c>
      <c r="H133">
        <v>4</v>
      </c>
      <c r="I133">
        <v>11</v>
      </c>
      <c r="J133">
        <v>20</v>
      </c>
      <c r="K133">
        <v>25</v>
      </c>
      <c r="L133">
        <v>10</v>
      </c>
      <c r="M133">
        <f t="shared" si="30"/>
        <v>35</v>
      </c>
      <c r="N133">
        <v>38</v>
      </c>
      <c r="O133">
        <v>1.79</v>
      </c>
      <c r="P133">
        <v>0.14000000000000001</v>
      </c>
      <c r="Q133">
        <f t="shared" si="26"/>
        <v>1.383150620856821E-2</v>
      </c>
      <c r="R133" s="6">
        <v>87</v>
      </c>
      <c r="S133">
        <v>0.65</v>
      </c>
      <c r="T133">
        <f t="shared" si="27"/>
        <v>0.7</v>
      </c>
      <c r="U133">
        <v>0.75</v>
      </c>
      <c r="V133">
        <v>1.05</v>
      </c>
      <c r="W133">
        <f t="shared" si="31"/>
        <v>1.5750000000000002</v>
      </c>
      <c r="X133">
        <f t="shared" si="28"/>
        <v>3.1500000000000004</v>
      </c>
      <c r="Y133">
        <v>1.1000000000000001</v>
      </c>
      <c r="Z133">
        <v>19.899999999999999</v>
      </c>
      <c r="AA133">
        <v>19.5</v>
      </c>
      <c r="AB133">
        <v>70</v>
      </c>
      <c r="AC133">
        <f>Z133/AH133</f>
        <v>2758.4463210504382</v>
      </c>
      <c r="AF133">
        <v>2405</v>
      </c>
      <c r="AG133">
        <v>92</v>
      </c>
      <c r="AH133">
        <v>7.2142059999999999E-3</v>
      </c>
      <c r="AI133" t="s">
        <v>21</v>
      </c>
      <c r="AJ133">
        <v>0</v>
      </c>
      <c r="AK133">
        <v>20</v>
      </c>
      <c r="AL133">
        <v>116</v>
      </c>
      <c r="AM133">
        <f t="shared" si="29"/>
        <v>96</v>
      </c>
      <c r="AN133">
        <v>0.14000000000000001</v>
      </c>
      <c r="AO133">
        <f t="shared" si="24"/>
        <v>0.55172413793103448</v>
      </c>
      <c r="AP133">
        <v>131</v>
      </c>
      <c r="AQ133" t="str">
        <f t="shared" si="25"/>
        <v>NA</v>
      </c>
      <c r="AR133" t="str">
        <f t="shared" si="23"/>
        <v>NA</v>
      </c>
      <c r="AS133" t="str">
        <f t="shared" si="22"/>
        <v>NA</v>
      </c>
      <c r="AU133" t="s">
        <v>109</v>
      </c>
      <c r="AV133" t="s">
        <v>21</v>
      </c>
      <c r="AX133" s="14">
        <v>0</v>
      </c>
      <c r="AY133">
        <v>69</v>
      </c>
      <c r="AZ133" t="s">
        <v>138</v>
      </c>
      <c r="BA133" t="s">
        <v>5</v>
      </c>
    </row>
    <row r="134" spans="1:53" x14ac:dyDescent="0.35">
      <c r="A134" t="s">
        <v>328</v>
      </c>
      <c r="B134">
        <v>2</v>
      </c>
      <c r="C134" t="s">
        <v>5</v>
      </c>
      <c r="D134" t="s">
        <v>4</v>
      </c>
      <c r="E134" t="s">
        <v>3</v>
      </c>
      <c r="F134" s="1">
        <v>0.37</v>
      </c>
      <c r="G134" t="s">
        <v>114</v>
      </c>
      <c r="H134">
        <v>4</v>
      </c>
      <c r="I134">
        <v>11</v>
      </c>
      <c r="J134">
        <v>20</v>
      </c>
      <c r="K134">
        <v>25</v>
      </c>
      <c r="L134">
        <v>10</v>
      </c>
      <c r="M134">
        <f t="shared" si="30"/>
        <v>35</v>
      </c>
      <c r="N134">
        <v>38</v>
      </c>
      <c r="O134">
        <v>1.79</v>
      </c>
      <c r="P134">
        <v>0.14000000000000001</v>
      </c>
      <c r="Q134">
        <f t="shared" si="26"/>
        <v>1.383150620856821E-2</v>
      </c>
      <c r="R134" s="6">
        <v>87</v>
      </c>
      <c r="S134">
        <v>0.65</v>
      </c>
      <c r="T134">
        <f t="shared" si="27"/>
        <v>0.7</v>
      </c>
      <c r="U134">
        <v>0.75</v>
      </c>
      <c r="V134">
        <v>1.05</v>
      </c>
      <c r="W134">
        <f t="shared" si="31"/>
        <v>1.5750000000000002</v>
      </c>
      <c r="X134">
        <f t="shared" si="28"/>
        <v>3.1500000000000004</v>
      </c>
      <c r="Y134">
        <v>1.1000000000000001</v>
      </c>
      <c r="Z134">
        <v>19.899999999999999</v>
      </c>
      <c r="AA134">
        <v>19.5</v>
      </c>
      <c r="AB134">
        <v>70</v>
      </c>
      <c r="AC134">
        <f>Z134/AH134</f>
        <v>2758.4463210504382</v>
      </c>
      <c r="AF134">
        <v>2405</v>
      </c>
      <c r="AG134">
        <v>225</v>
      </c>
      <c r="AH134">
        <v>7.2142059999999999E-3</v>
      </c>
      <c r="AI134" t="s">
        <v>21</v>
      </c>
      <c r="AJ134">
        <v>1</v>
      </c>
      <c r="AK134">
        <v>31</v>
      </c>
      <c r="AL134">
        <v>207</v>
      </c>
      <c r="AM134">
        <f t="shared" si="29"/>
        <v>176</v>
      </c>
      <c r="AN134">
        <v>0.14000000000000001</v>
      </c>
      <c r="AO134">
        <f t="shared" si="24"/>
        <v>1.0114942528735633</v>
      </c>
      <c r="AP134">
        <v>132</v>
      </c>
      <c r="AQ134" t="str">
        <f t="shared" si="25"/>
        <v>NA</v>
      </c>
      <c r="AR134" t="str">
        <f t="shared" si="23"/>
        <v>NA</v>
      </c>
      <c r="AS134" t="str">
        <f t="shared" si="22"/>
        <v>NA</v>
      </c>
      <c r="AU134" t="s">
        <v>109</v>
      </c>
      <c r="AV134" t="s">
        <v>21</v>
      </c>
      <c r="AX134" s="14">
        <v>1</v>
      </c>
      <c r="AY134">
        <v>70</v>
      </c>
      <c r="AZ134" t="s">
        <v>137</v>
      </c>
      <c r="BA134" t="s">
        <v>5</v>
      </c>
    </row>
    <row r="135" spans="1:53" x14ac:dyDescent="0.35">
      <c r="A135" t="s">
        <v>136</v>
      </c>
      <c r="B135">
        <v>1</v>
      </c>
      <c r="C135" t="s">
        <v>5</v>
      </c>
      <c r="D135" t="s">
        <v>4</v>
      </c>
      <c r="E135" t="s">
        <v>3</v>
      </c>
      <c r="F135" s="1">
        <v>0.4</v>
      </c>
      <c r="G135" t="s">
        <v>127</v>
      </c>
      <c r="H135">
        <v>3</v>
      </c>
      <c r="I135">
        <v>8</v>
      </c>
      <c r="J135">
        <v>13</v>
      </c>
      <c r="K135">
        <v>31</v>
      </c>
      <c r="L135">
        <v>10</v>
      </c>
      <c r="M135">
        <f t="shared" si="30"/>
        <v>41</v>
      </c>
      <c r="N135">
        <v>52</v>
      </c>
      <c r="O135">
        <v>2.2000000000000002</v>
      </c>
      <c r="P135">
        <v>0.19</v>
      </c>
      <c r="Q135">
        <f t="shared" si="26"/>
        <v>1.4827229327695439E-2</v>
      </c>
      <c r="R135" s="6">
        <v>100.5</v>
      </c>
      <c r="S135">
        <v>0.75</v>
      </c>
      <c r="T135">
        <f t="shared" si="27"/>
        <v>0.82499999999999996</v>
      </c>
      <c r="U135">
        <v>0.9</v>
      </c>
      <c r="V135">
        <v>1.1000000000000001</v>
      </c>
      <c r="W135">
        <f t="shared" si="31"/>
        <v>1.6500000000000001</v>
      </c>
      <c r="X135">
        <f t="shared" si="28"/>
        <v>3.3000000000000003</v>
      </c>
      <c r="Y135">
        <v>0.65</v>
      </c>
      <c r="Z135">
        <v>17.600000000000001</v>
      </c>
      <c r="AA135">
        <v>17.7</v>
      </c>
      <c r="AB135">
        <v>60</v>
      </c>
      <c r="AC135">
        <f>Z135/AH135</f>
        <v>1505.103498099978</v>
      </c>
      <c r="AD135" t="s">
        <v>484</v>
      </c>
      <c r="AE135">
        <v>1294</v>
      </c>
      <c r="AF135">
        <v>1293</v>
      </c>
      <c r="AG135">
        <v>140</v>
      </c>
      <c r="AH135">
        <v>1.1693548E-2</v>
      </c>
      <c r="AI135" t="s">
        <v>21</v>
      </c>
      <c r="AJ135">
        <v>0</v>
      </c>
      <c r="AK135">
        <v>4</v>
      </c>
      <c r="AL135">
        <v>25</v>
      </c>
      <c r="AM135">
        <f t="shared" si="29"/>
        <v>21</v>
      </c>
      <c r="AN135">
        <v>0.19</v>
      </c>
      <c r="AO135">
        <f t="shared" si="24"/>
        <v>0.1044776119402985</v>
      </c>
      <c r="AP135">
        <v>133</v>
      </c>
      <c r="AQ135" t="str">
        <f t="shared" si="25"/>
        <v>NA</v>
      </c>
      <c r="AR135" t="str">
        <f t="shared" si="23"/>
        <v>NA</v>
      </c>
      <c r="AS135" t="str">
        <f t="shared" si="22"/>
        <v>NA</v>
      </c>
      <c r="AU135" t="s">
        <v>303</v>
      </c>
      <c r="AX135" s="12">
        <v>0</v>
      </c>
      <c r="AY135">
        <v>71</v>
      </c>
      <c r="AZ135" t="s">
        <v>136</v>
      </c>
      <c r="BA135" t="s">
        <v>5</v>
      </c>
    </row>
    <row r="136" spans="1:53" x14ac:dyDescent="0.35">
      <c r="A136" t="s">
        <v>136</v>
      </c>
      <c r="B136">
        <v>1</v>
      </c>
      <c r="C136" t="s">
        <v>0</v>
      </c>
      <c r="D136" t="s">
        <v>4</v>
      </c>
      <c r="E136" t="s">
        <v>3</v>
      </c>
      <c r="F136" s="1">
        <v>0.4</v>
      </c>
      <c r="G136" t="s">
        <v>127</v>
      </c>
      <c r="H136">
        <v>3</v>
      </c>
      <c r="I136">
        <v>8</v>
      </c>
      <c r="J136">
        <v>13</v>
      </c>
      <c r="K136">
        <v>31</v>
      </c>
      <c r="L136">
        <v>10</v>
      </c>
      <c r="M136">
        <f t="shared" si="30"/>
        <v>41</v>
      </c>
      <c r="N136">
        <v>52</v>
      </c>
      <c r="O136">
        <v>2.2000000000000002</v>
      </c>
      <c r="P136">
        <v>0.19</v>
      </c>
      <c r="Q136">
        <f t="shared" si="26"/>
        <v>1.4827229327695439E-2</v>
      </c>
      <c r="R136" s="6">
        <v>100.5</v>
      </c>
      <c r="S136">
        <v>0.75</v>
      </c>
      <c r="T136">
        <f t="shared" si="27"/>
        <v>0.82499999999999996</v>
      </c>
      <c r="U136">
        <v>0.9</v>
      </c>
      <c r="V136">
        <v>1.1000000000000001</v>
      </c>
      <c r="W136">
        <f t="shared" si="31"/>
        <v>1.6500000000000001</v>
      </c>
      <c r="X136">
        <f t="shared" si="28"/>
        <v>3.3000000000000003</v>
      </c>
      <c r="Y136">
        <v>0.65</v>
      </c>
      <c r="Z136">
        <v>17</v>
      </c>
      <c r="AA136">
        <v>17.7</v>
      </c>
      <c r="AB136">
        <v>60</v>
      </c>
      <c r="AC136">
        <v>1505.103498099978</v>
      </c>
      <c r="AD136" t="s">
        <v>485</v>
      </c>
      <c r="AE136">
        <v>1294</v>
      </c>
      <c r="AF136">
        <v>1293</v>
      </c>
      <c r="AG136">
        <v>140</v>
      </c>
      <c r="AH136" t="s">
        <v>21</v>
      </c>
      <c r="AI136">
        <v>3.7761000000000001E-3</v>
      </c>
      <c r="AJ136">
        <v>0</v>
      </c>
      <c r="AK136">
        <v>5</v>
      </c>
      <c r="AL136">
        <f>AK136+AL135-AK135</f>
        <v>26</v>
      </c>
      <c r="AM136">
        <f t="shared" si="29"/>
        <v>21</v>
      </c>
      <c r="AN136">
        <v>0.19</v>
      </c>
      <c r="AO136">
        <f t="shared" si="24"/>
        <v>0.1044776119402985</v>
      </c>
      <c r="AP136">
        <v>134</v>
      </c>
      <c r="AQ136">
        <f t="shared" si="25"/>
        <v>40.471345999999997</v>
      </c>
      <c r="AR136">
        <f t="shared" si="23"/>
        <v>0.52865400000000007</v>
      </c>
      <c r="AS136">
        <f t="shared" ref="AS136:AS199" si="32">IF(AR136&lt;&gt;"NA",(L136-AR136)/L136,"NA")</f>
        <v>0.94713460000000005</v>
      </c>
      <c r="AU136" t="s">
        <v>303</v>
      </c>
      <c r="AX136" s="12">
        <v>0</v>
      </c>
      <c r="AY136">
        <v>71</v>
      </c>
      <c r="AZ136" t="s">
        <v>136</v>
      </c>
      <c r="BA136" t="s">
        <v>0</v>
      </c>
    </row>
    <row r="137" spans="1:53" x14ac:dyDescent="0.35">
      <c r="A137" t="s">
        <v>135</v>
      </c>
      <c r="B137">
        <v>1</v>
      </c>
      <c r="C137" t="s">
        <v>5</v>
      </c>
      <c r="D137" t="s">
        <v>4</v>
      </c>
      <c r="E137" t="s">
        <v>3</v>
      </c>
      <c r="F137" s="1">
        <v>0.4</v>
      </c>
      <c r="G137" t="s">
        <v>127</v>
      </c>
      <c r="H137">
        <v>3</v>
      </c>
      <c r="I137">
        <v>8</v>
      </c>
      <c r="J137">
        <v>13</v>
      </c>
      <c r="K137">
        <v>31</v>
      </c>
      <c r="L137">
        <v>10</v>
      </c>
      <c r="M137">
        <f t="shared" si="30"/>
        <v>41</v>
      </c>
      <c r="N137">
        <v>52</v>
      </c>
      <c r="O137">
        <v>2.2000000000000002</v>
      </c>
      <c r="P137">
        <v>0.19</v>
      </c>
      <c r="Q137">
        <f t="shared" si="26"/>
        <v>1.4827229327695439E-2</v>
      </c>
      <c r="R137" s="6">
        <v>100.5</v>
      </c>
      <c r="S137">
        <v>0.75</v>
      </c>
      <c r="T137">
        <f t="shared" si="27"/>
        <v>0.82499999999999996</v>
      </c>
      <c r="U137">
        <v>0.9</v>
      </c>
      <c r="V137">
        <v>1.1000000000000001</v>
      </c>
      <c r="W137">
        <f t="shared" si="31"/>
        <v>1.6500000000000001</v>
      </c>
      <c r="X137">
        <f t="shared" si="28"/>
        <v>3.3000000000000003</v>
      </c>
      <c r="Y137">
        <v>0.65</v>
      </c>
      <c r="Z137">
        <v>17</v>
      </c>
      <c r="AA137">
        <v>17.7</v>
      </c>
      <c r="AB137">
        <v>60</v>
      </c>
      <c r="AC137">
        <f>Z137/AH137</f>
        <v>1453.7931515738424</v>
      </c>
      <c r="AD137" t="s">
        <v>486</v>
      </c>
      <c r="AE137">
        <v>1294</v>
      </c>
      <c r="AF137">
        <v>1293</v>
      </c>
      <c r="AG137">
        <v>280</v>
      </c>
      <c r="AH137">
        <v>1.1693548E-2</v>
      </c>
      <c r="AI137" t="s">
        <v>21</v>
      </c>
      <c r="AJ137">
        <v>0</v>
      </c>
      <c r="AK137">
        <v>133</v>
      </c>
      <c r="AL137">
        <v>214</v>
      </c>
      <c r="AM137">
        <f t="shared" si="29"/>
        <v>81</v>
      </c>
      <c r="AN137">
        <v>0.19</v>
      </c>
      <c r="AO137">
        <f t="shared" si="24"/>
        <v>0.40298507462686567</v>
      </c>
      <c r="AP137">
        <v>135</v>
      </c>
      <c r="AQ137" t="str">
        <f t="shared" si="25"/>
        <v>NA</v>
      </c>
      <c r="AR137" t="str">
        <f t="shared" si="23"/>
        <v>NA</v>
      </c>
      <c r="AS137" t="str">
        <f t="shared" si="32"/>
        <v>NA</v>
      </c>
      <c r="AU137" t="s">
        <v>303</v>
      </c>
      <c r="AX137" s="12">
        <v>0</v>
      </c>
      <c r="AY137">
        <v>72</v>
      </c>
      <c r="AZ137" t="s">
        <v>135</v>
      </c>
      <c r="BA137" t="s">
        <v>5</v>
      </c>
    </row>
    <row r="138" spans="1:53" x14ac:dyDescent="0.35">
      <c r="A138" t="s">
        <v>135</v>
      </c>
      <c r="B138">
        <v>1</v>
      </c>
      <c r="C138" t="s">
        <v>0</v>
      </c>
      <c r="D138" t="s">
        <v>4</v>
      </c>
      <c r="E138" t="s">
        <v>3</v>
      </c>
      <c r="F138" s="1">
        <v>0.4</v>
      </c>
      <c r="G138" t="s">
        <v>127</v>
      </c>
      <c r="H138">
        <v>3</v>
      </c>
      <c r="I138">
        <v>8</v>
      </c>
      <c r="J138">
        <v>13</v>
      </c>
      <c r="K138">
        <v>31</v>
      </c>
      <c r="L138">
        <v>10</v>
      </c>
      <c r="M138">
        <f t="shared" si="30"/>
        <v>41</v>
      </c>
      <c r="N138">
        <v>52</v>
      </c>
      <c r="O138">
        <v>2.2000000000000002</v>
      </c>
      <c r="P138">
        <v>0.19</v>
      </c>
      <c r="Q138">
        <f t="shared" si="26"/>
        <v>1.4827229327695439E-2</v>
      </c>
      <c r="R138" s="6">
        <v>100.5</v>
      </c>
      <c r="S138">
        <v>0.75</v>
      </c>
      <c r="T138">
        <f t="shared" si="27"/>
        <v>0.82499999999999996</v>
      </c>
      <c r="U138">
        <v>0.9</v>
      </c>
      <c r="V138">
        <v>1.1000000000000001</v>
      </c>
      <c r="W138">
        <f t="shared" si="31"/>
        <v>1.6500000000000001</v>
      </c>
      <c r="X138">
        <f t="shared" si="28"/>
        <v>3.3000000000000003</v>
      </c>
      <c r="Y138">
        <v>0.65</v>
      </c>
      <c r="Z138">
        <v>17</v>
      </c>
      <c r="AA138">
        <v>17.7</v>
      </c>
      <c r="AB138">
        <v>60</v>
      </c>
      <c r="AC138">
        <v>1453.7931515738424</v>
      </c>
      <c r="AD138" t="s">
        <v>487</v>
      </c>
      <c r="AE138">
        <v>1294</v>
      </c>
      <c r="AF138">
        <v>1293</v>
      </c>
      <c r="AG138">
        <v>280</v>
      </c>
      <c r="AH138" t="s">
        <v>21</v>
      </c>
      <c r="AI138">
        <v>3.7761000000000001E-3</v>
      </c>
      <c r="AJ138">
        <v>0</v>
      </c>
      <c r="AK138">
        <v>18</v>
      </c>
      <c r="AL138">
        <v>99</v>
      </c>
      <c r="AM138">
        <f t="shared" si="29"/>
        <v>81</v>
      </c>
      <c r="AN138">
        <v>0.19</v>
      </c>
      <c r="AO138">
        <f t="shared" si="24"/>
        <v>0.40298507462686567</v>
      </c>
      <c r="AP138">
        <v>136</v>
      </c>
      <c r="AQ138">
        <f t="shared" si="25"/>
        <v>39.942692000000001</v>
      </c>
      <c r="AR138">
        <f t="shared" si="23"/>
        <v>1.0573080000000001</v>
      </c>
      <c r="AS138">
        <f t="shared" si="32"/>
        <v>0.89426919999999988</v>
      </c>
      <c r="AU138" t="s">
        <v>303</v>
      </c>
      <c r="AX138" s="12">
        <v>0</v>
      </c>
      <c r="AY138">
        <v>72</v>
      </c>
      <c r="AZ138" t="s">
        <v>135</v>
      </c>
      <c r="BA138" t="s">
        <v>0</v>
      </c>
    </row>
    <row r="139" spans="1:53" x14ac:dyDescent="0.35">
      <c r="A139" t="s">
        <v>134</v>
      </c>
      <c r="B139">
        <v>1</v>
      </c>
      <c r="C139" t="s">
        <v>5</v>
      </c>
      <c r="D139" t="s">
        <v>4</v>
      </c>
      <c r="E139" t="s">
        <v>3</v>
      </c>
      <c r="F139" s="1">
        <v>0.4</v>
      </c>
      <c r="G139" t="s">
        <v>127</v>
      </c>
      <c r="H139">
        <v>3</v>
      </c>
      <c r="I139">
        <v>8</v>
      </c>
      <c r="J139">
        <v>13</v>
      </c>
      <c r="K139">
        <v>31</v>
      </c>
      <c r="L139">
        <v>10</v>
      </c>
      <c r="M139">
        <f t="shared" si="30"/>
        <v>41</v>
      </c>
      <c r="N139">
        <v>52</v>
      </c>
      <c r="O139">
        <v>2.2000000000000002</v>
      </c>
      <c r="P139">
        <v>0.19</v>
      </c>
      <c r="Q139">
        <f t="shared" si="26"/>
        <v>1.4827229327695439E-2</v>
      </c>
      <c r="R139" s="6">
        <v>100.5</v>
      </c>
      <c r="S139">
        <v>0.75</v>
      </c>
      <c r="T139">
        <f t="shared" si="27"/>
        <v>0.82499999999999996</v>
      </c>
      <c r="U139">
        <v>0.9</v>
      </c>
      <c r="V139">
        <v>1.1000000000000001</v>
      </c>
      <c r="W139">
        <f t="shared" si="31"/>
        <v>1.6500000000000001</v>
      </c>
      <c r="X139">
        <f t="shared" si="28"/>
        <v>3.3000000000000003</v>
      </c>
      <c r="Y139">
        <v>0.65</v>
      </c>
      <c r="Z139">
        <v>17</v>
      </c>
      <c r="AA139">
        <v>17.7</v>
      </c>
      <c r="AB139">
        <v>60</v>
      </c>
      <c r="AC139">
        <f>Z139/AH139</f>
        <v>1453.7931515738424</v>
      </c>
      <c r="AD139" t="s">
        <v>488</v>
      </c>
      <c r="AE139">
        <v>1294</v>
      </c>
      <c r="AF139">
        <v>1293</v>
      </c>
      <c r="AG139">
        <v>1150</v>
      </c>
      <c r="AH139">
        <v>1.1693548E-2</v>
      </c>
      <c r="AI139" t="s">
        <v>21</v>
      </c>
      <c r="AJ139">
        <v>1</v>
      </c>
      <c r="AK139">
        <v>38</v>
      </c>
      <c r="AL139">
        <v>336</v>
      </c>
      <c r="AM139">
        <f t="shared" si="29"/>
        <v>298</v>
      </c>
      <c r="AN139">
        <v>0.19</v>
      </c>
      <c r="AO139">
        <f t="shared" si="24"/>
        <v>1.4825870646766168</v>
      </c>
      <c r="AP139">
        <v>137</v>
      </c>
      <c r="AQ139" t="str">
        <f t="shared" si="25"/>
        <v>NA</v>
      </c>
      <c r="AR139" t="str">
        <f t="shared" si="23"/>
        <v>NA</v>
      </c>
      <c r="AS139" t="str">
        <f t="shared" si="32"/>
        <v>NA</v>
      </c>
      <c r="AU139" t="s">
        <v>303</v>
      </c>
      <c r="AX139" s="13">
        <v>1</v>
      </c>
      <c r="AY139">
        <v>73</v>
      </c>
      <c r="AZ139" t="s">
        <v>134</v>
      </c>
      <c r="BA139" t="s">
        <v>5</v>
      </c>
    </row>
    <row r="140" spans="1:53" x14ac:dyDescent="0.35">
      <c r="A140" t="s">
        <v>134</v>
      </c>
      <c r="B140">
        <v>1</v>
      </c>
      <c r="C140" t="s">
        <v>0</v>
      </c>
      <c r="D140" t="s">
        <v>4</v>
      </c>
      <c r="E140" t="s">
        <v>3</v>
      </c>
      <c r="F140" s="1">
        <v>0.4</v>
      </c>
      <c r="G140" t="s">
        <v>127</v>
      </c>
      <c r="H140">
        <v>3</v>
      </c>
      <c r="I140">
        <v>8</v>
      </c>
      <c r="J140">
        <v>13</v>
      </c>
      <c r="K140">
        <v>31</v>
      </c>
      <c r="L140">
        <v>10</v>
      </c>
      <c r="M140">
        <f t="shared" si="30"/>
        <v>41</v>
      </c>
      <c r="N140">
        <v>52</v>
      </c>
      <c r="O140">
        <v>2.2000000000000002</v>
      </c>
      <c r="P140">
        <v>0.19</v>
      </c>
      <c r="Q140">
        <f t="shared" si="26"/>
        <v>1.4827229327695439E-2</v>
      </c>
      <c r="R140" s="6">
        <v>100.5</v>
      </c>
      <c r="S140">
        <v>0.75</v>
      </c>
      <c r="T140">
        <f t="shared" si="27"/>
        <v>0.82499999999999996</v>
      </c>
      <c r="U140">
        <v>0.9</v>
      </c>
      <c r="V140">
        <v>1.1000000000000001</v>
      </c>
      <c r="W140">
        <f t="shared" si="31"/>
        <v>1.6500000000000001</v>
      </c>
      <c r="X140">
        <f t="shared" si="28"/>
        <v>3.3000000000000003</v>
      </c>
      <c r="Y140">
        <v>0.65</v>
      </c>
      <c r="Z140">
        <v>17</v>
      </c>
      <c r="AA140">
        <v>17.7</v>
      </c>
      <c r="AB140">
        <v>60</v>
      </c>
      <c r="AC140">
        <v>1453.7931515738424</v>
      </c>
      <c r="AD140" t="s">
        <v>489</v>
      </c>
      <c r="AE140">
        <v>1294</v>
      </c>
      <c r="AF140">
        <v>1293</v>
      </c>
      <c r="AG140">
        <v>1150</v>
      </c>
      <c r="AH140" t="s">
        <v>21</v>
      </c>
      <c r="AI140">
        <v>3.7761000000000001E-3</v>
      </c>
      <c r="AJ140">
        <v>1</v>
      </c>
      <c r="AK140">
        <v>18</v>
      </c>
      <c r="AL140">
        <v>316</v>
      </c>
      <c r="AM140">
        <f t="shared" si="29"/>
        <v>298</v>
      </c>
      <c r="AN140">
        <v>0.19</v>
      </c>
      <c r="AO140">
        <f t="shared" si="24"/>
        <v>1.4825870646766168</v>
      </c>
      <c r="AP140">
        <v>138</v>
      </c>
      <c r="AQ140">
        <f t="shared" si="25"/>
        <v>36.657485000000001</v>
      </c>
      <c r="AR140">
        <f t="shared" ref="AR140:AR203" si="33">IF(AI140&lt;&gt;"NA",AG140*AI140,"NA")</f>
        <v>4.3425150000000006</v>
      </c>
      <c r="AS140">
        <f t="shared" si="32"/>
        <v>0.56574849999999999</v>
      </c>
      <c r="AU140" t="s">
        <v>303</v>
      </c>
      <c r="AX140" s="13">
        <v>1</v>
      </c>
      <c r="AY140">
        <v>73</v>
      </c>
      <c r="AZ140" t="s">
        <v>134</v>
      </c>
      <c r="BA140" t="s">
        <v>0</v>
      </c>
    </row>
    <row r="141" spans="1:53" x14ac:dyDescent="0.35">
      <c r="A141" t="s">
        <v>133</v>
      </c>
      <c r="B141">
        <v>1</v>
      </c>
      <c r="C141" t="s">
        <v>5</v>
      </c>
      <c r="D141" t="s">
        <v>4</v>
      </c>
      <c r="E141" t="s">
        <v>3</v>
      </c>
      <c r="F141" s="1">
        <v>0.4</v>
      </c>
      <c r="G141" t="s">
        <v>127</v>
      </c>
      <c r="H141">
        <v>3</v>
      </c>
      <c r="I141">
        <v>8</v>
      </c>
      <c r="J141">
        <v>13</v>
      </c>
      <c r="K141">
        <v>31</v>
      </c>
      <c r="L141">
        <v>10</v>
      </c>
      <c r="M141">
        <f t="shared" si="30"/>
        <v>41</v>
      </c>
      <c r="N141">
        <v>52</v>
      </c>
      <c r="O141">
        <v>2.2000000000000002</v>
      </c>
      <c r="P141">
        <v>0.19</v>
      </c>
      <c r="Q141">
        <f t="shared" si="26"/>
        <v>1.4827229327695439E-2</v>
      </c>
      <c r="R141" s="6">
        <v>100.5</v>
      </c>
      <c r="S141">
        <v>0.75</v>
      </c>
      <c r="T141">
        <f t="shared" si="27"/>
        <v>0.82499999999999996</v>
      </c>
      <c r="U141">
        <v>0.9</v>
      </c>
      <c r="V141">
        <v>1.1000000000000001</v>
      </c>
      <c r="W141">
        <f t="shared" si="31"/>
        <v>1.6500000000000001</v>
      </c>
      <c r="X141">
        <f t="shared" si="28"/>
        <v>3.3000000000000003</v>
      </c>
      <c r="Y141">
        <v>0.65</v>
      </c>
      <c r="Z141">
        <v>17</v>
      </c>
      <c r="AA141">
        <v>17.7</v>
      </c>
      <c r="AB141">
        <v>60</v>
      </c>
      <c r="AC141">
        <f>Z141/AH141</f>
        <v>1453.7931515738424</v>
      </c>
      <c r="AD141" t="s">
        <v>490</v>
      </c>
      <c r="AE141">
        <v>1294</v>
      </c>
      <c r="AF141">
        <v>1293</v>
      </c>
      <c r="AG141">
        <v>580</v>
      </c>
      <c r="AH141">
        <v>1.1693548E-2</v>
      </c>
      <c r="AI141" t="s">
        <v>21</v>
      </c>
      <c r="AJ141">
        <v>1</v>
      </c>
      <c r="AK141">
        <v>24</v>
      </c>
      <c r="AL141">
        <v>183</v>
      </c>
      <c r="AM141">
        <f t="shared" si="29"/>
        <v>159</v>
      </c>
      <c r="AN141">
        <v>0.19</v>
      </c>
      <c r="AO141">
        <f t="shared" si="24"/>
        <v>0.79104477611940294</v>
      </c>
      <c r="AP141">
        <v>139</v>
      </c>
      <c r="AQ141" t="str">
        <f t="shared" si="25"/>
        <v>NA</v>
      </c>
      <c r="AR141" t="str">
        <f t="shared" si="33"/>
        <v>NA</v>
      </c>
      <c r="AS141" t="str">
        <f t="shared" si="32"/>
        <v>NA</v>
      </c>
      <c r="AU141" t="s">
        <v>303</v>
      </c>
      <c r="AX141" s="13">
        <v>1</v>
      </c>
      <c r="AY141">
        <v>74</v>
      </c>
      <c r="AZ141" t="s">
        <v>133</v>
      </c>
      <c r="BA141" t="s">
        <v>5</v>
      </c>
    </row>
    <row r="142" spans="1:53" x14ac:dyDescent="0.35">
      <c r="A142" t="s">
        <v>133</v>
      </c>
      <c r="B142">
        <v>1</v>
      </c>
      <c r="C142" t="s">
        <v>0</v>
      </c>
      <c r="D142" t="s">
        <v>4</v>
      </c>
      <c r="E142" t="s">
        <v>3</v>
      </c>
      <c r="F142" s="1">
        <v>0.4</v>
      </c>
      <c r="G142" t="s">
        <v>127</v>
      </c>
      <c r="H142">
        <v>3</v>
      </c>
      <c r="I142">
        <v>8</v>
      </c>
      <c r="J142">
        <v>13</v>
      </c>
      <c r="K142">
        <v>31</v>
      </c>
      <c r="L142">
        <v>10</v>
      </c>
      <c r="M142">
        <f t="shared" si="30"/>
        <v>41</v>
      </c>
      <c r="N142">
        <v>52</v>
      </c>
      <c r="O142">
        <v>2.2000000000000002</v>
      </c>
      <c r="P142">
        <v>0.19</v>
      </c>
      <c r="Q142">
        <f t="shared" si="26"/>
        <v>1.4827229327695439E-2</v>
      </c>
      <c r="R142" s="6">
        <v>100.5</v>
      </c>
      <c r="S142">
        <v>0.75</v>
      </c>
      <c r="T142">
        <f t="shared" si="27"/>
        <v>0.82499999999999996</v>
      </c>
      <c r="U142">
        <v>0.9</v>
      </c>
      <c r="V142">
        <v>1.1000000000000001</v>
      </c>
      <c r="W142">
        <f t="shared" si="31"/>
        <v>1.6500000000000001</v>
      </c>
      <c r="X142">
        <f t="shared" si="28"/>
        <v>3.3000000000000003</v>
      </c>
      <c r="Y142">
        <v>0.65</v>
      </c>
      <c r="Z142">
        <v>17</v>
      </c>
      <c r="AA142">
        <v>17.7</v>
      </c>
      <c r="AB142">
        <v>60</v>
      </c>
      <c r="AC142">
        <v>1453.7931515738424</v>
      </c>
      <c r="AD142" t="s">
        <v>491</v>
      </c>
      <c r="AE142">
        <v>1294</v>
      </c>
      <c r="AF142">
        <v>1293</v>
      </c>
      <c r="AG142">
        <v>580</v>
      </c>
      <c r="AH142" t="s">
        <v>21</v>
      </c>
      <c r="AI142">
        <v>3.7761000000000001E-3</v>
      </c>
      <c r="AJ142">
        <v>1</v>
      </c>
      <c r="AK142">
        <v>8</v>
      </c>
      <c r="AL142">
        <v>167</v>
      </c>
      <c r="AM142">
        <f t="shared" si="29"/>
        <v>159</v>
      </c>
      <c r="AN142">
        <v>0.19</v>
      </c>
      <c r="AO142">
        <f t="shared" si="24"/>
        <v>0.79104477611940294</v>
      </c>
      <c r="AP142">
        <v>140</v>
      </c>
      <c r="AQ142">
        <f t="shared" si="25"/>
        <v>38.809862000000003</v>
      </c>
      <c r="AR142">
        <f t="shared" si="33"/>
        <v>2.1901380000000001</v>
      </c>
      <c r="AS142">
        <f t="shared" si="32"/>
        <v>0.78098619999999996</v>
      </c>
      <c r="AU142" t="s">
        <v>303</v>
      </c>
      <c r="AX142" s="13">
        <v>1</v>
      </c>
      <c r="AY142">
        <v>74</v>
      </c>
      <c r="AZ142" t="s">
        <v>133</v>
      </c>
      <c r="BA142" t="s">
        <v>0</v>
      </c>
    </row>
    <row r="143" spans="1:53" x14ac:dyDescent="0.35">
      <c r="A143" t="s">
        <v>132</v>
      </c>
      <c r="B143">
        <v>1</v>
      </c>
      <c r="C143" t="s">
        <v>5</v>
      </c>
      <c r="D143" t="s">
        <v>4</v>
      </c>
      <c r="E143" t="s">
        <v>3</v>
      </c>
      <c r="F143" s="1">
        <v>0.4</v>
      </c>
      <c r="G143" t="s">
        <v>127</v>
      </c>
      <c r="H143">
        <v>3</v>
      </c>
      <c r="I143">
        <v>8</v>
      </c>
      <c r="J143">
        <v>15</v>
      </c>
      <c r="K143">
        <v>32</v>
      </c>
      <c r="L143">
        <v>7</v>
      </c>
      <c r="M143">
        <f t="shared" si="30"/>
        <v>39</v>
      </c>
      <c r="N143">
        <v>39</v>
      </c>
      <c r="O143">
        <v>2.21</v>
      </c>
      <c r="P143">
        <v>0.22</v>
      </c>
      <c r="Q143">
        <f t="shared" si="26"/>
        <v>1.4504217467533243E-2</v>
      </c>
      <c r="R143" s="6">
        <v>102.4127727</v>
      </c>
      <c r="S143">
        <v>0.8</v>
      </c>
      <c r="T143">
        <f t="shared" si="27"/>
        <v>0.85000000000000009</v>
      </c>
      <c r="U143">
        <v>0.9</v>
      </c>
      <c r="V143">
        <v>1.3</v>
      </c>
      <c r="W143">
        <f t="shared" si="31"/>
        <v>1.9500000000000002</v>
      </c>
      <c r="X143">
        <f t="shared" si="28"/>
        <v>3.9000000000000004</v>
      </c>
      <c r="Y143">
        <v>0.65</v>
      </c>
      <c r="Z143">
        <v>17</v>
      </c>
      <c r="AA143">
        <v>17.7</v>
      </c>
      <c r="AB143">
        <v>60</v>
      </c>
      <c r="AC143">
        <f>Z143/AH143</f>
        <v>1452.2856669826954</v>
      </c>
      <c r="AD143" t="s">
        <v>492</v>
      </c>
      <c r="AE143">
        <v>1291</v>
      </c>
      <c r="AF143">
        <v>1293</v>
      </c>
      <c r="AG143">
        <v>405</v>
      </c>
      <c r="AH143">
        <v>1.1705686E-2</v>
      </c>
      <c r="AI143" t="s">
        <v>21</v>
      </c>
      <c r="AJ143">
        <v>1</v>
      </c>
      <c r="AK143">
        <v>19</v>
      </c>
      <c r="AL143">
        <v>217</v>
      </c>
      <c r="AM143">
        <f t="shared" si="29"/>
        <v>198</v>
      </c>
      <c r="AN143">
        <v>0.22</v>
      </c>
      <c r="AO143">
        <f t="shared" si="24"/>
        <v>0.966676298180139</v>
      </c>
      <c r="AP143">
        <v>141</v>
      </c>
      <c r="AQ143" t="str">
        <f t="shared" si="25"/>
        <v>NA</v>
      </c>
      <c r="AR143" t="str">
        <f t="shared" si="33"/>
        <v>NA</v>
      </c>
      <c r="AS143" t="str">
        <f t="shared" si="32"/>
        <v>NA</v>
      </c>
      <c r="AU143" t="s">
        <v>303</v>
      </c>
      <c r="AX143" s="13">
        <v>1</v>
      </c>
      <c r="AY143">
        <v>75</v>
      </c>
      <c r="AZ143" t="s">
        <v>132</v>
      </c>
      <c r="BA143" t="s">
        <v>5</v>
      </c>
    </row>
    <row r="144" spans="1:53" x14ac:dyDescent="0.35">
      <c r="A144" t="s">
        <v>132</v>
      </c>
      <c r="B144">
        <v>1</v>
      </c>
      <c r="C144" t="s">
        <v>0</v>
      </c>
      <c r="D144" t="s">
        <v>4</v>
      </c>
      <c r="E144" t="s">
        <v>3</v>
      </c>
      <c r="F144" s="1">
        <v>0.4</v>
      </c>
      <c r="G144" t="s">
        <v>127</v>
      </c>
      <c r="H144">
        <v>3</v>
      </c>
      <c r="I144">
        <v>8</v>
      </c>
      <c r="J144">
        <v>15</v>
      </c>
      <c r="K144">
        <v>32</v>
      </c>
      <c r="L144">
        <v>7</v>
      </c>
      <c r="M144">
        <f t="shared" si="30"/>
        <v>39</v>
      </c>
      <c r="N144">
        <v>39</v>
      </c>
      <c r="O144">
        <v>2.21</v>
      </c>
      <c r="P144">
        <v>0.22</v>
      </c>
      <c r="Q144">
        <f t="shared" si="26"/>
        <v>1.4504217467533243E-2</v>
      </c>
      <c r="R144" s="6">
        <v>102.7296218</v>
      </c>
      <c r="S144">
        <v>0.8</v>
      </c>
      <c r="T144">
        <f t="shared" si="27"/>
        <v>0.85000000000000009</v>
      </c>
      <c r="U144">
        <v>0.9</v>
      </c>
      <c r="V144">
        <v>1.3</v>
      </c>
      <c r="W144">
        <f t="shared" si="31"/>
        <v>1.9500000000000002</v>
      </c>
      <c r="X144">
        <f t="shared" si="28"/>
        <v>3.9000000000000004</v>
      </c>
      <c r="Y144">
        <v>0.65</v>
      </c>
      <c r="Z144">
        <v>17</v>
      </c>
      <c r="AA144">
        <v>17.7</v>
      </c>
      <c r="AB144">
        <v>60</v>
      </c>
      <c r="AC144">
        <v>1452.2856669826954</v>
      </c>
      <c r="AD144" t="s">
        <v>493</v>
      </c>
      <c r="AE144">
        <v>1291</v>
      </c>
      <c r="AF144">
        <v>1293</v>
      </c>
      <c r="AG144">
        <v>405</v>
      </c>
      <c r="AH144" t="s">
        <v>21</v>
      </c>
      <c r="AI144">
        <v>3.23741E-3</v>
      </c>
      <c r="AJ144">
        <v>1</v>
      </c>
      <c r="AK144">
        <v>10</v>
      </c>
      <c r="AL144">
        <v>208</v>
      </c>
      <c r="AM144">
        <f t="shared" si="29"/>
        <v>198</v>
      </c>
      <c r="AN144">
        <v>0.22</v>
      </c>
      <c r="AO144">
        <f t="shared" si="24"/>
        <v>0.96369477727406561</v>
      </c>
      <c r="AP144">
        <v>142</v>
      </c>
      <c r="AQ144">
        <f t="shared" si="25"/>
        <v>37.688848950000001</v>
      </c>
      <c r="AR144">
        <f t="shared" si="33"/>
        <v>1.3111510500000001</v>
      </c>
      <c r="AS144">
        <f t="shared" si="32"/>
        <v>0.81269270714285713</v>
      </c>
      <c r="AU144" t="s">
        <v>303</v>
      </c>
      <c r="AX144" s="13">
        <v>1</v>
      </c>
      <c r="AY144">
        <v>75</v>
      </c>
      <c r="AZ144" t="s">
        <v>132</v>
      </c>
      <c r="BA144" t="s">
        <v>0</v>
      </c>
    </row>
    <row r="145" spans="1:54" x14ac:dyDescent="0.35">
      <c r="A145" t="s">
        <v>130</v>
      </c>
      <c r="B145">
        <v>2</v>
      </c>
      <c r="C145" t="s">
        <v>5</v>
      </c>
      <c r="D145" t="s">
        <v>4</v>
      </c>
      <c r="E145" t="s">
        <v>3</v>
      </c>
      <c r="F145" s="1">
        <v>0.39</v>
      </c>
      <c r="G145" t="s">
        <v>131</v>
      </c>
      <c r="H145">
        <v>6</v>
      </c>
      <c r="I145">
        <v>11</v>
      </c>
      <c r="J145">
        <v>18</v>
      </c>
      <c r="K145">
        <v>35</v>
      </c>
      <c r="L145">
        <v>6</v>
      </c>
      <c r="M145">
        <f t="shared" si="30"/>
        <v>41</v>
      </c>
      <c r="N145">
        <v>46</v>
      </c>
      <c r="O145">
        <v>2</v>
      </c>
      <c r="P145">
        <v>0.18</v>
      </c>
      <c r="Q145">
        <f t="shared" si="26"/>
        <v>1.4923204821900002E-2</v>
      </c>
      <c r="R145" s="6">
        <v>90</v>
      </c>
      <c r="S145">
        <v>0.67</v>
      </c>
      <c r="T145">
        <f t="shared" si="27"/>
        <v>0.76</v>
      </c>
      <c r="U145">
        <v>0.85</v>
      </c>
      <c r="V145">
        <v>1.1499999999999999</v>
      </c>
      <c r="W145">
        <f t="shared" si="31"/>
        <v>1.7249999999999999</v>
      </c>
      <c r="X145">
        <f t="shared" si="28"/>
        <v>3.4499999999999997</v>
      </c>
      <c r="Y145">
        <v>1.1000000000000001</v>
      </c>
      <c r="Z145">
        <v>19.899999999999999</v>
      </c>
      <c r="AA145">
        <v>19.600000000000001</v>
      </c>
      <c r="AB145">
        <v>70</v>
      </c>
      <c r="AC145">
        <f>Z145/AH145</f>
        <v>2788.6532920612644</v>
      </c>
      <c r="AD145" t="s">
        <v>494</v>
      </c>
      <c r="AE145">
        <v>2955</v>
      </c>
      <c r="AF145">
        <v>2410</v>
      </c>
      <c r="AG145">
        <v>1300</v>
      </c>
      <c r="AH145">
        <v>7.136061E-3</v>
      </c>
      <c r="AI145" t="s">
        <v>21</v>
      </c>
      <c r="AJ145">
        <v>1</v>
      </c>
      <c r="AK145">
        <v>5</v>
      </c>
      <c r="AL145">
        <v>184</v>
      </c>
      <c r="AM145">
        <f t="shared" si="29"/>
        <v>179</v>
      </c>
      <c r="AN145">
        <v>0.18</v>
      </c>
      <c r="AO145">
        <f t="shared" si="24"/>
        <v>0.99444444444444446</v>
      </c>
      <c r="AP145">
        <v>143</v>
      </c>
      <c r="AQ145" t="str">
        <f t="shared" si="25"/>
        <v>NA</v>
      </c>
      <c r="AR145" t="str">
        <f t="shared" si="33"/>
        <v>NA</v>
      </c>
      <c r="AS145" t="str">
        <f t="shared" si="32"/>
        <v>NA</v>
      </c>
      <c r="AU145" t="s">
        <v>303</v>
      </c>
      <c r="AX145" s="13">
        <v>1</v>
      </c>
      <c r="AY145">
        <v>76</v>
      </c>
      <c r="AZ145" t="s">
        <v>130</v>
      </c>
      <c r="BA145" t="s">
        <v>5</v>
      </c>
    </row>
    <row r="146" spans="1:54" x14ac:dyDescent="0.35">
      <c r="A146" t="s">
        <v>130</v>
      </c>
      <c r="B146">
        <v>2</v>
      </c>
      <c r="C146" t="s">
        <v>0</v>
      </c>
      <c r="D146" t="s">
        <v>4</v>
      </c>
      <c r="E146" t="s">
        <v>3</v>
      </c>
      <c r="F146" s="1">
        <v>0.39</v>
      </c>
      <c r="G146" t="s">
        <v>131</v>
      </c>
      <c r="H146">
        <v>6</v>
      </c>
      <c r="I146">
        <v>11</v>
      </c>
      <c r="J146">
        <v>18</v>
      </c>
      <c r="K146">
        <v>35</v>
      </c>
      <c r="L146">
        <v>6</v>
      </c>
      <c r="M146">
        <f t="shared" si="30"/>
        <v>41</v>
      </c>
      <c r="N146">
        <v>46</v>
      </c>
      <c r="O146">
        <v>2</v>
      </c>
      <c r="P146">
        <v>0.18</v>
      </c>
      <c r="Q146">
        <f t="shared" si="26"/>
        <v>1.4923204821900002E-2</v>
      </c>
      <c r="R146" s="6">
        <v>90</v>
      </c>
      <c r="S146">
        <v>0.67</v>
      </c>
      <c r="T146">
        <f t="shared" si="27"/>
        <v>0.76</v>
      </c>
      <c r="U146">
        <v>0.85</v>
      </c>
      <c r="V146">
        <v>1.1499999999999999</v>
      </c>
      <c r="W146">
        <f t="shared" si="31"/>
        <v>1.7249999999999999</v>
      </c>
      <c r="X146">
        <f t="shared" si="28"/>
        <v>3.4499999999999997</v>
      </c>
      <c r="Y146">
        <v>1.1000000000000001</v>
      </c>
      <c r="Z146">
        <v>19.899999999999999</v>
      </c>
      <c r="AA146">
        <v>19.600000000000001</v>
      </c>
      <c r="AB146">
        <v>70</v>
      </c>
      <c r="AC146">
        <v>2788.6532920612644</v>
      </c>
      <c r="AD146" t="s">
        <v>495</v>
      </c>
      <c r="AE146">
        <v>2955</v>
      </c>
      <c r="AF146">
        <v>2410</v>
      </c>
      <c r="AG146">
        <v>1300</v>
      </c>
      <c r="AH146" t="s">
        <v>21</v>
      </c>
      <c r="AI146">
        <v>2.0080319999999999E-3</v>
      </c>
      <c r="AJ146">
        <v>1</v>
      </c>
      <c r="AK146">
        <v>13</v>
      </c>
      <c r="AL146">
        <v>192</v>
      </c>
      <c r="AM146">
        <f t="shared" si="29"/>
        <v>179</v>
      </c>
      <c r="AN146">
        <v>0.18</v>
      </c>
      <c r="AO146">
        <f t="shared" si="24"/>
        <v>0.99444444444444446</v>
      </c>
      <c r="AP146">
        <v>144</v>
      </c>
      <c r="AQ146">
        <f t="shared" si="25"/>
        <v>38.389558399999999</v>
      </c>
      <c r="AR146">
        <f t="shared" si="33"/>
        <v>2.6104415999999997</v>
      </c>
      <c r="AS146">
        <f t="shared" si="32"/>
        <v>0.56492640000000005</v>
      </c>
      <c r="AU146" t="s">
        <v>303</v>
      </c>
      <c r="AX146" s="13">
        <v>1</v>
      </c>
      <c r="AY146">
        <v>76</v>
      </c>
      <c r="AZ146" t="s">
        <v>130</v>
      </c>
      <c r="BA146" t="s">
        <v>0</v>
      </c>
    </row>
    <row r="147" spans="1:54" x14ac:dyDescent="0.35">
      <c r="A147" t="s">
        <v>129</v>
      </c>
      <c r="B147">
        <v>1</v>
      </c>
      <c r="C147" t="s">
        <v>5</v>
      </c>
      <c r="D147" t="s">
        <v>4</v>
      </c>
      <c r="E147" t="s">
        <v>3</v>
      </c>
      <c r="F147" s="1">
        <v>0.4</v>
      </c>
      <c r="G147" t="s">
        <v>127</v>
      </c>
      <c r="H147">
        <v>3</v>
      </c>
      <c r="I147">
        <v>8</v>
      </c>
      <c r="J147">
        <v>16</v>
      </c>
      <c r="K147">
        <v>34</v>
      </c>
      <c r="L147">
        <v>7</v>
      </c>
      <c r="M147">
        <f t="shared" si="30"/>
        <v>41</v>
      </c>
      <c r="N147">
        <v>47</v>
      </c>
      <c r="O147">
        <v>2.37</v>
      </c>
      <c r="P147">
        <v>0.18</v>
      </c>
      <c r="Q147">
        <f t="shared" si="26"/>
        <v>1.4433890528782793E-2</v>
      </c>
      <c r="R147" s="6">
        <v>111</v>
      </c>
      <c r="S147">
        <v>0.7</v>
      </c>
      <c r="T147">
        <f t="shared" si="27"/>
        <v>0.82499999999999996</v>
      </c>
      <c r="U147">
        <v>0.95</v>
      </c>
      <c r="V147">
        <v>1.05</v>
      </c>
      <c r="W147">
        <f t="shared" si="31"/>
        <v>1.5750000000000002</v>
      </c>
      <c r="X147">
        <f t="shared" si="28"/>
        <v>3.1500000000000004</v>
      </c>
      <c r="Y147">
        <v>0.65</v>
      </c>
      <c r="Z147">
        <v>17</v>
      </c>
      <c r="AA147">
        <v>17.7</v>
      </c>
      <c r="AB147">
        <v>60</v>
      </c>
      <c r="AC147">
        <f>Z147/AH147</f>
        <v>1430.4285816459183</v>
      </c>
      <c r="AD147" t="s">
        <v>496</v>
      </c>
      <c r="AE147">
        <v>1292</v>
      </c>
      <c r="AF147">
        <v>1295</v>
      </c>
      <c r="AG147">
        <v>860</v>
      </c>
      <c r="AH147">
        <v>1.1884550000000001E-2</v>
      </c>
      <c r="AI147" t="s">
        <v>21</v>
      </c>
      <c r="AJ147">
        <v>1</v>
      </c>
      <c r="AK147">
        <v>15</v>
      </c>
      <c r="AL147">
        <f>AK147+AM147</f>
        <v>283</v>
      </c>
      <c r="AM147">
        <f>8980-8712</f>
        <v>268</v>
      </c>
      <c r="AN147">
        <v>0.18</v>
      </c>
      <c r="AO147">
        <f t="shared" si="24"/>
        <v>1.2072072072072073</v>
      </c>
      <c r="AP147">
        <v>145</v>
      </c>
      <c r="AQ147" t="str">
        <f t="shared" si="25"/>
        <v>NA</v>
      </c>
      <c r="AR147" t="str">
        <f t="shared" si="33"/>
        <v>NA</v>
      </c>
      <c r="AS147" t="str">
        <f t="shared" si="32"/>
        <v>NA</v>
      </c>
      <c r="AU147" t="s">
        <v>303</v>
      </c>
      <c r="AX147" s="9" t="s">
        <v>451</v>
      </c>
      <c r="AY147">
        <v>77</v>
      </c>
      <c r="AZ147" t="s">
        <v>129</v>
      </c>
      <c r="BA147" t="s">
        <v>5</v>
      </c>
    </row>
    <row r="148" spans="1:54" x14ac:dyDescent="0.35">
      <c r="A148" t="s">
        <v>129</v>
      </c>
      <c r="B148">
        <v>1</v>
      </c>
      <c r="C148" t="s">
        <v>0</v>
      </c>
      <c r="D148" t="s">
        <v>4</v>
      </c>
      <c r="E148" t="s">
        <v>3</v>
      </c>
      <c r="F148" s="1">
        <v>0.4</v>
      </c>
      <c r="G148" t="s">
        <v>127</v>
      </c>
      <c r="H148">
        <v>3</v>
      </c>
      <c r="I148">
        <v>8</v>
      </c>
      <c r="J148">
        <v>16</v>
      </c>
      <c r="K148">
        <v>34</v>
      </c>
      <c r="L148">
        <v>7</v>
      </c>
      <c r="M148">
        <f t="shared" si="30"/>
        <v>41</v>
      </c>
      <c r="N148">
        <v>47</v>
      </c>
      <c r="O148">
        <v>2.37</v>
      </c>
      <c r="P148">
        <v>0.18</v>
      </c>
      <c r="Q148">
        <f t="shared" si="26"/>
        <v>1.4433890528782793E-2</v>
      </c>
      <c r="R148" s="6">
        <v>111</v>
      </c>
      <c r="S148">
        <v>0.7</v>
      </c>
      <c r="T148">
        <f t="shared" si="27"/>
        <v>0.82499999999999996</v>
      </c>
      <c r="U148">
        <v>0.95</v>
      </c>
      <c r="V148">
        <v>1.05</v>
      </c>
      <c r="W148">
        <f t="shared" si="31"/>
        <v>1.5750000000000002</v>
      </c>
      <c r="X148">
        <f t="shared" si="28"/>
        <v>3.1500000000000004</v>
      </c>
      <c r="Y148">
        <v>0.65</v>
      </c>
      <c r="Z148">
        <v>17</v>
      </c>
      <c r="AA148">
        <v>17.7</v>
      </c>
      <c r="AB148">
        <v>60</v>
      </c>
      <c r="AC148">
        <v>1430.4285816459183</v>
      </c>
      <c r="AD148" t="s">
        <v>497</v>
      </c>
      <c r="AE148">
        <v>1292</v>
      </c>
      <c r="AF148">
        <v>1295</v>
      </c>
      <c r="AG148">
        <v>860</v>
      </c>
      <c r="AH148" t="s">
        <v>21</v>
      </c>
      <c r="AI148">
        <f>6/1795</f>
        <v>3.3426183844011141E-3</v>
      </c>
      <c r="AJ148">
        <v>1</v>
      </c>
      <c r="AK148">
        <v>14</v>
      </c>
      <c r="AL148">
        <f>AK148+AM147</f>
        <v>282</v>
      </c>
      <c r="AM148">
        <f t="shared" si="29"/>
        <v>268</v>
      </c>
      <c r="AN148">
        <v>0.18</v>
      </c>
      <c r="AO148">
        <f t="shared" si="24"/>
        <v>1.2072072072072073</v>
      </c>
      <c r="AP148">
        <v>146</v>
      </c>
      <c r="AQ148">
        <f t="shared" si="25"/>
        <v>38.125348189415043</v>
      </c>
      <c r="AR148">
        <f t="shared" si="33"/>
        <v>2.8746518105849583</v>
      </c>
      <c r="AS148">
        <f t="shared" si="32"/>
        <v>0.58933545563072021</v>
      </c>
      <c r="AU148" t="s">
        <v>303</v>
      </c>
      <c r="AX148" s="9" t="s">
        <v>451</v>
      </c>
      <c r="AY148">
        <v>77</v>
      </c>
      <c r="AZ148" t="s">
        <v>129</v>
      </c>
      <c r="BA148" t="s">
        <v>0</v>
      </c>
    </row>
    <row r="149" spans="1:54" x14ac:dyDescent="0.35">
      <c r="A149" t="s">
        <v>128</v>
      </c>
      <c r="B149">
        <v>1</v>
      </c>
      <c r="C149" t="s">
        <v>5</v>
      </c>
      <c r="D149" t="s">
        <v>4</v>
      </c>
      <c r="E149" t="s">
        <v>3</v>
      </c>
      <c r="F149" s="1">
        <v>0.4</v>
      </c>
      <c r="G149" t="s">
        <v>127</v>
      </c>
      <c r="H149">
        <v>3</v>
      </c>
      <c r="I149">
        <v>8</v>
      </c>
      <c r="J149">
        <v>16</v>
      </c>
      <c r="K149">
        <v>34</v>
      </c>
      <c r="L149">
        <v>7</v>
      </c>
      <c r="M149">
        <f t="shared" si="30"/>
        <v>41</v>
      </c>
      <c r="N149">
        <v>47</v>
      </c>
      <c r="O149">
        <v>2.37</v>
      </c>
      <c r="P149">
        <v>0.18</v>
      </c>
      <c r="Q149">
        <f t="shared" si="26"/>
        <v>1.4433890528782793E-2</v>
      </c>
      <c r="R149" s="6">
        <v>111</v>
      </c>
      <c r="S149">
        <v>0.7</v>
      </c>
      <c r="T149">
        <f t="shared" si="27"/>
        <v>0.82499999999999996</v>
      </c>
      <c r="U149">
        <v>0.95</v>
      </c>
      <c r="V149">
        <v>1.05</v>
      </c>
      <c r="W149">
        <f t="shared" si="31"/>
        <v>1.5750000000000002</v>
      </c>
      <c r="X149">
        <f t="shared" si="28"/>
        <v>3.1500000000000004</v>
      </c>
      <c r="Y149">
        <v>0.65</v>
      </c>
      <c r="Z149">
        <v>17</v>
      </c>
      <c r="AA149">
        <v>17.7</v>
      </c>
      <c r="AB149">
        <v>60</v>
      </c>
      <c r="AC149">
        <f>Z149/AH149</f>
        <v>1430.4285816459183</v>
      </c>
      <c r="AF149">
        <v>1295</v>
      </c>
      <c r="AG149">
        <v>1350</v>
      </c>
      <c r="AH149">
        <v>1.1884550000000001E-2</v>
      </c>
      <c r="AI149" t="s">
        <v>21</v>
      </c>
      <c r="AJ149">
        <v>0</v>
      </c>
      <c r="AK149">
        <v>35</v>
      </c>
      <c r="AL149">
        <f>AK149+AM149</f>
        <v>114</v>
      </c>
      <c r="AM149">
        <v>79</v>
      </c>
      <c r="AN149">
        <v>0.18</v>
      </c>
      <c r="AO149">
        <f t="shared" si="24"/>
        <v>0.35585585585585583</v>
      </c>
      <c r="AP149">
        <v>147</v>
      </c>
      <c r="AQ149" t="str">
        <f t="shared" si="25"/>
        <v>NA</v>
      </c>
      <c r="AR149" t="str">
        <f t="shared" si="33"/>
        <v>NA</v>
      </c>
      <c r="AS149" t="str">
        <f t="shared" si="32"/>
        <v>NA</v>
      </c>
      <c r="AU149" t="s">
        <v>303</v>
      </c>
      <c r="AV149" t="s">
        <v>432</v>
      </c>
      <c r="AX149" s="9" t="s">
        <v>451</v>
      </c>
      <c r="AY149">
        <v>78</v>
      </c>
      <c r="AZ149" t="s">
        <v>128</v>
      </c>
      <c r="BA149" t="s">
        <v>5</v>
      </c>
      <c r="BB149">
        <f>9249-9170</f>
        <v>79</v>
      </c>
    </row>
    <row r="150" spans="1:54" x14ac:dyDescent="0.35">
      <c r="A150" t="s">
        <v>128</v>
      </c>
      <c r="B150">
        <v>1</v>
      </c>
      <c r="C150" t="s">
        <v>0</v>
      </c>
      <c r="D150" t="s">
        <v>4</v>
      </c>
      <c r="E150" t="s">
        <v>3</v>
      </c>
      <c r="F150" s="1">
        <v>0.4</v>
      </c>
      <c r="G150" t="s">
        <v>127</v>
      </c>
      <c r="H150">
        <v>3</v>
      </c>
      <c r="I150">
        <v>8</v>
      </c>
      <c r="J150">
        <v>16</v>
      </c>
      <c r="K150">
        <v>34</v>
      </c>
      <c r="L150">
        <v>7</v>
      </c>
      <c r="M150">
        <f t="shared" si="30"/>
        <v>41</v>
      </c>
      <c r="N150">
        <v>47</v>
      </c>
      <c r="O150">
        <v>2.37</v>
      </c>
      <c r="P150">
        <v>0.18</v>
      </c>
      <c r="Q150">
        <f t="shared" si="26"/>
        <v>1.4433890528782793E-2</v>
      </c>
      <c r="R150" s="6">
        <v>111</v>
      </c>
      <c r="S150">
        <v>0.7</v>
      </c>
      <c r="T150">
        <f t="shared" si="27"/>
        <v>0.82499999999999996</v>
      </c>
      <c r="U150">
        <v>0.95</v>
      </c>
      <c r="V150">
        <v>1.05</v>
      </c>
      <c r="W150">
        <f t="shared" si="31"/>
        <v>1.5750000000000002</v>
      </c>
      <c r="X150">
        <f t="shared" si="28"/>
        <v>3.1500000000000004</v>
      </c>
      <c r="Y150">
        <v>0.65</v>
      </c>
      <c r="Z150">
        <v>17</v>
      </c>
      <c r="AA150">
        <v>17.7</v>
      </c>
      <c r="AB150">
        <v>60</v>
      </c>
      <c r="AC150">
        <v>1430.4285816459183</v>
      </c>
      <c r="AF150">
        <v>1295</v>
      </c>
      <c r="AG150">
        <v>1350</v>
      </c>
      <c r="AH150" t="s">
        <v>21</v>
      </c>
      <c r="AI150">
        <f>6/1795</f>
        <v>3.3426183844011141E-3</v>
      </c>
      <c r="AJ150">
        <v>0</v>
      </c>
      <c r="AK150">
        <v>11</v>
      </c>
      <c r="AL150">
        <f>AK150+AM149</f>
        <v>90</v>
      </c>
      <c r="AM150">
        <f t="shared" si="29"/>
        <v>79</v>
      </c>
      <c r="AN150">
        <v>0.18</v>
      </c>
      <c r="AO150">
        <f t="shared" si="24"/>
        <v>0.35585585585585583</v>
      </c>
      <c r="AP150">
        <v>148</v>
      </c>
      <c r="AQ150">
        <f t="shared" si="25"/>
        <v>36.487465181058496</v>
      </c>
      <c r="AR150">
        <f t="shared" si="33"/>
        <v>4.5125348189415044</v>
      </c>
      <c r="AS150">
        <f t="shared" si="32"/>
        <v>0.35535216872264225</v>
      </c>
      <c r="AU150" t="s">
        <v>303</v>
      </c>
      <c r="AV150" t="s">
        <v>432</v>
      </c>
      <c r="AX150" s="9" t="s">
        <v>451</v>
      </c>
      <c r="AY150">
        <v>78</v>
      </c>
      <c r="AZ150" t="s">
        <v>128</v>
      </c>
      <c r="BA150" t="s">
        <v>0</v>
      </c>
    </row>
    <row r="151" spans="1:54" x14ac:dyDescent="0.35">
      <c r="A151" t="s">
        <v>126</v>
      </c>
      <c r="B151">
        <v>1</v>
      </c>
      <c r="C151" t="s">
        <v>5</v>
      </c>
      <c r="D151" t="s">
        <v>4</v>
      </c>
      <c r="E151" t="s">
        <v>3</v>
      </c>
      <c r="F151" s="1">
        <v>0.4</v>
      </c>
      <c r="G151" t="s">
        <v>127</v>
      </c>
      <c r="H151">
        <v>3</v>
      </c>
      <c r="I151">
        <v>8</v>
      </c>
      <c r="J151">
        <v>16</v>
      </c>
      <c r="K151">
        <v>34</v>
      </c>
      <c r="L151">
        <v>7</v>
      </c>
      <c r="M151">
        <f t="shared" si="30"/>
        <v>41</v>
      </c>
      <c r="N151">
        <v>47</v>
      </c>
      <c r="O151">
        <v>2.37</v>
      </c>
      <c r="P151">
        <v>0.18</v>
      </c>
      <c r="Q151">
        <f t="shared" si="26"/>
        <v>1.4433890528782793E-2</v>
      </c>
      <c r="R151" s="6">
        <v>111</v>
      </c>
      <c r="S151">
        <v>0.7</v>
      </c>
      <c r="T151">
        <f t="shared" si="27"/>
        <v>0.82499999999999996</v>
      </c>
      <c r="U151">
        <v>0.95</v>
      </c>
      <c r="V151">
        <v>1.05</v>
      </c>
      <c r="W151">
        <f t="shared" si="31"/>
        <v>1.5750000000000002</v>
      </c>
      <c r="X151">
        <f t="shared" si="28"/>
        <v>3.1500000000000004</v>
      </c>
      <c r="Y151">
        <v>0.65</v>
      </c>
      <c r="Z151">
        <v>17</v>
      </c>
      <c r="AA151">
        <v>17.7</v>
      </c>
      <c r="AB151">
        <v>60</v>
      </c>
      <c r="AC151">
        <f>Z151/AH151</f>
        <v>1430.4285816459183</v>
      </c>
      <c r="AD151" t="s">
        <v>498</v>
      </c>
      <c r="AE151">
        <v>1292</v>
      </c>
      <c r="AF151">
        <v>1295</v>
      </c>
      <c r="AG151">
        <v>1360</v>
      </c>
      <c r="AH151">
        <v>1.1884550000000001E-2</v>
      </c>
      <c r="AI151" t="s">
        <v>21</v>
      </c>
      <c r="AJ151">
        <v>1</v>
      </c>
      <c r="AK151">
        <v>20</v>
      </c>
      <c r="AL151">
        <v>123</v>
      </c>
      <c r="AM151">
        <f t="shared" si="29"/>
        <v>103</v>
      </c>
      <c r="AN151">
        <v>0.18</v>
      </c>
      <c r="AO151">
        <f t="shared" si="24"/>
        <v>0.46396396396396394</v>
      </c>
      <c r="AP151">
        <v>149</v>
      </c>
      <c r="AQ151" t="str">
        <f t="shared" si="25"/>
        <v>NA</v>
      </c>
      <c r="AR151" t="str">
        <f t="shared" si="33"/>
        <v>NA</v>
      </c>
      <c r="AS151" t="str">
        <f t="shared" si="32"/>
        <v>NA</v>
      </c>
      <c r="AU151" t="s">
        <v>303</v>
      </c>
      <c r="AX151" s="13">
        <v>1</v>
      </c>
      <c r="AY151">
        <v>79</v>
      </c>
      <c r="AZ151" t="s">
        <v>126</v>
      </c>
      <c r="BA151" t="s">
        <v>5</v>
      </c>
    </row>
    <row r="152" spans="1:54" x14ac:dyDescent="0.35">
      <c r="A152" t="s">
        <v>126</v>
      </c>
      <c r="B152">
        <v>1</v>
      </c>
      <c r="C152" t="s">
        <v>0</v>
      </c>
      <c r="D152" t="s">
        <v>4</v>
      </c>
      <c r="E152" t="s">
        <v>3</v>
      </c>
      <c r="F152" s="1">
        <v>0.4</v>
      </c>
      <c r="G152" t="s">
        <v>127</v>
      </c>
      <c r="H152">
        <v>3</v>
      </c>
      <c r="I152">
        <v>8</v>
      </c>
      <c r="J152">
        <v>16</v>
      </c>
      <c r="K152">
        <v>34</v>
      </c>
      <c r="L152">
        <v>7</v>
      </c>
      <c r="M152">
        <f t="shared" si="30"/>
        <v>41</v>
      </c>
      <c r="N152">
        <v>47</v>
      </c>
      <c r="O152">
        <v>2.37</v>
      </c>
      <c r="P152">
        <v>0.18</v>
      </c>
      <c r="Q152">
        <f t="shared" si="26"/>
        <v>1.4433890528782793E-2</v>
      </c>
      <c r="R152" s="6">
        <v>111</v>
      </c>
      <c r="S152">
        <v>0.7</v>
      </c>
      <c r="T152">
        <f t="shared" si="27"/>
        <v>0.82499999999999996</v>
      </c>
      <c r="U152">
        <v>0.95</v>
      </c>
      <c r="V152">
        <v>1.05</v>
      </c>
      <c r="W152">
        <f t="shared" si="31"/>
        <v>1.5750000000000002</v>
      </c>
      <c r="X152">
        <f t="shared" si="28"/>
        <v>3.1500000000000004</v>
      </c>
      <c r="Y152">
        <v>0.65</v>
      </c>
      <c r="Z152">
        <v>17</v>
      </c>
      <c r="AA152">
        <v>17.7</v>
      </c>
      <c r="AB152">
        <v>60</v>
      </c>
      <c r="AC152">
        <v>1430.4285816459183</v>
      </c>
      <c r="AD152" t="s">
        <v>499</v>
      </c>
      <c r="AE152">
        <v>1292</v>
      </c>
      <c r="AF152">
        <v>1295</v>
      </c>
      <c r="AG152">
        <v>1360</v>
      </c>
      <c r="AH152" t="s">
        <v>21</v>
      </c>
      <c r="AI152">
        <f>6/1795</f>
        <v>3.3426183844011141E-3</v>
      </c>
      <c r="AJ152">
        <v>1</v>
      </c>
      <c r="AK152">
        <v>11</v>
      </c>
      <c r="AL152">
        <v>114</v>
      </c>
      <c r="AM152">
        <f t="shared" si="29"/>
        <v>103</v>
      </c>
      <c r="AN152">
        <v>0.18</v>
      </c>
      <c r="AO152">
        <f t="shared" si="24"/>
        <v>0.46396396396396394</v>
      </c>
      <c r="AP152">
        <v>150</v>
      </c>
      <c r="AQ152">
        <f t="shared" si="25"/>
        <v>36.454038997214482</v>
      </c>
      <c r="AR152">
        <f t="shared" si="33"/>
        <v>4.5459610027855151</v>
      </c>
      <c r="AS152">
        <f t="shared" si="32"/>
        <v>0.35057699960206928</v>
      </c>
      <c r="AU152" t="s">
        <v>303</v>
      </c>
      <c r="AX152" s="13">
        <v>1</v>
      </c>
      <c r="AY152">
        <v>79</v>
      </c>
      <c r="AZ152" t="s">
        <v>126</v>
      </c>
      <c r="BA152" t="s">
        <v>0</v>
      </c>
    </row>
    <row r="153" spans="1:54" x14ac:dyDescent="0.35">
      <c r="A153" t="s">
        <v>124</v>
      </c>
      <c r="B153">
        <v>1</v>
      </c>
      <c r="C153" t="s">
        <v>5</v>
      </c>
      <c r="D153" t="s">
        <v>4</v>
      </c>
      <c r="E153" t="s">
        <v>3</v>
      </c>
      <c r="F153" s="1">
        <v>0.42</v>
      </c>
      <c r="G153" t="s">
        <v>125</v>
      </c>
      <c r="H153">
        <v>3</v>
      </c>
      <c r="I153">
        <v>5</v>
      </c>
      <c r="J153">
        <v>11</v>
      </c>
      <c r="K153">
        <v>32</v>
      </c>
      <c r="L153">
        <v>7</v>
      </c>
      <c r="M153">
        <f t="shared" si="30"/>
        <v>39</v>
      </c>
      <c r="N153">
        <v>45</v>
      </c>
      <c r="O153">
        <v>3.35</v>
      </c>
      <c r="P153">
        <v>0.17</v>
      </c>
      <c r="Q153">
        <f t="shared" si="26"/>
        <v>1.2877743508272201E-2</v>
      </c>
      <c r="R153" s="6">
        <v>110.5</v>
      </c>
      <c r="S153">
        <v>0.78</v>
      </c>
      <c r="T153">
        <f t="shared" si="27"/>
        <v>0.86499999999999999</v>
      </c>
      <c r="U153">
        <v>0.95</v>
      </c>
      <c r="V153">
        <v>1.05</v>
      </c>
      <c r="W153">
        <f t="shared" si="31"/>
        <v>1.5750000000000002</v>
      </c>
      <c r="X153">
        <f t="shared" si="28"/>
        <v>3.1500000000000004</v>
      </c>
      <c r="Y153">
        <v>0.65</v>
      </c>
      <c r="Z153">
        <v>17</v>
      </c>
      <c r="AA153">
        <v>17.7</v>
      </c>
      <c r="AB153">
        <v>60</v>
      </c>
      <c r="AC153">
        <f>Z153/AH153</f>
        <v>1432.2500243482502</v>
      </c>
      <c r="AD153" t="s">
        <v>500</v>
      </c>
      <c r="AE153">
        <v>1290</v>
      </c>
      <c r="AF153">
        <v>1297</v>
      </c>
      <c r="AG153">
        <v>390</v>
      </c>
      <c r="AH153">
        <v>1.1869436000000001E-2</v>
      </c>
      <c r="AI153" t="s">
        <v>21</v>
      </c>
      <c r="AJ153">
        <v>1</v>
      </c>
      <c r="AK153">
        <v>17</v>
      </c>
      <c r="AL153">
        <v>257</v>
      </c>
      <c r="AM153">
        <f t="shared" si="29"/>
        <v>240</v>
      </c>
      <c r="AN153">
        <v>0.17</v>
      </c>
      <c r="AO153">
        <f t="shared" si="24"/>
        <v>1.0859728506787329</v>
      </c>
      <c r="AP153">
        <v>151</v>
      </c>
      <c r="AQ153" t="str">
        <f t="shared" si="25"/>
        <v>NA</v>
      </c>
      <c r="AR153" t="str">
        <f t="shared" si="33"/>
        <v>NA</v>
      </c>
      <c r="AS153" t="str">
        <f t="shared" si="32"/>
        <v>NA</v>
      </c>
      <c r="AU153" t="s">
        <v>303</v>
      </c>
      <c r="AX153" s="13">
        <v>1</v>
      </c>
      <c r="AY153">
        <v>80</v>
      </c>
      <c r="AZ153" t="s">
        <v>124</v>
      </c>
      <c r="BA153" t="s">
        <v>5</v>
      </c>
    </row>
    <row r="154" spans="1:54" x14ac:dyDescent="0.35">
      <c r="A154" t="s">
        <v>124</v>
      </c>
      <c r="B154">
        <v>1</v>
      </c>
      <c r="C154" t="s">
        <v>0</v>
      </c>
      <c r="D154" t="s">
        <v>4</v>
      </c>
      <c r="E154" t="s">
        <v>3</v>
      </c>
      <c r="F154" s="1">
        <v>0.42</v>
      </c>
      <c r="G154" t="s">
        <v>125</v>
      </c>
      <c r="H154">
        <v>3</v>
      </c>
      <c r="I154">
        <v>5</v>
      </c>
      <c r="J154">
        <v>11</v>
      </c>
      <c r="K154">
        <v>32</v>
      </c>
      <c r="L154">
        <v>7</v>
      </c>
      <c r="M154">
        <f t="shared" si="30"/>
        <v>39</v>
      </c>
      <c r="N154">
        <v>45</v>
      </c>
      <c r="O154">
        <v>3.35</v>
      </c>
      <c r="P154">
        <v>0.17</v>
      </c>
      <c r="Q154">
        <f t="shared" si="26"/>
        <v>1.2877743508272201E-2</v>
      </c>
      <c r="R154" s="6">
        <v>110.5</v>
      </c>
      <c r="S154">
        <v>0.78</v>
      </c>
      <c r="T154">
        <f t="shared" si="27"/>
        <v>0.86499999999999999</v>
      </c>
      <c r="U154">
        <v>0.95</v>
      </c>
      <c r="V154">
        <v>1.05</v>
      </c>
      <c r="W154">
        <f t="shared" si="31"/>
        <v>1.5750000000000002</v>
      </c>
      <c r="X154">
        <f t="shared" si="28"/>
        <v>3.1500000000000004</v>
      </c>
      <c r="Y154">
        <v>0.65</v>
      </c>
      <c r="Z154">
        <v>17</v>
      </c>
      <c r="AA154">
        <v>17.7</v>
      </c>
      <c r="AB154">
        <v>60</v>
      </c>
      <c r="AC154">
        <v>1432.2500243482502</v>
      </c>
      <c r="AD154" t="s">
        <v>501</v>
      </c>
      <c r="AE154">
        <v>1290</v>
      </c>
      <c r="AF154">
        <v>1297</v>
      </c>
      <c r="AG154">
        <v>390</v>
      </c>
      <c r="AH154" t="s">
        <v>21</v>
      </c>
      <c r="AI154">
        <f>8.5/2493</f>
        <v>3.4095467308463698E-3</v>
      </c>
      <c r="AJ154">
        <v>1</v>
      </c>
      <c r="AK154">
        <v>8</v>
      </c>
      <c r="AL154">
        <v>248</v>
      </c>
      <c r="AM154">
        <f t="shared" si="29"/>
        <v>240</v>
      </c>
      <c r="AN154">
        <v>0.17</v>
      </c>
      <c r="AO154">
        <f t="shared" si="24"/>
        <v>1.0859728506787329</v>
      </c>
      <c r="AP154">
        <v>152</v>
      </c>
      <c r="AQ154">
        <f t="shared" si="25"/>
        <v>37.670276774969913</v>
      </c>
      <c r="AR154">
        <f t="shared" si="33"/>
        <v>1.3297232250300843</v>
      </c>
      <c r="AS154">
        <f t="shared" si="32"/>
        <v>0.81003953928141648</v>
      </c>
      <c r="AU154" t="s">
        <v>303</v>
      </c>
      <c r="AX154" s="13">
        <v>1</v>
      </c>
      <c r="AY154">
        <v>80</v>
      </c>
      <c r="AZ154" t="s">
        <v>124</v>
      </c>
      <c r="BA154" t="s">
        <v>0</v>
      </c>
    </row>
    <row r="155" spans="1:54" x14ac:dyDescent="0.35">
      <c r="A155" t="s">
        <v>123</v>
      </c>
      <c r="B155">
        <v>2</v>
      </c>
      <c r="C155" t="s">
        <v>5</v>
      </c>
      <c r="D155" t="s">
        <v>4</v>
      </c>
      <c r="E155" t="s">
        <v>3</v>
      </c>
      <c r="F155" s="1">
        <v>0.34</v>
      </c>
      <c r="G155" t="s">
        <v>121</v>
      </c>
      <c r="H155">
        <v>7</v>
      </c>
      <c r="I155">
        <v>14</v>
      </c>
      <c r="J155">
        <v>20</v>
      </c>
      <c r="K155">
        <v>25</v>
      </c>
      <c r="L155">
        <v>8</v>
      </c>
      <c r="M155">
        <f t="shared" si="30"/>
        <v>33</v>
      </c>
      <c r="N155">
        <v>37</v>
      </c>
      <c r="P155">
        <v>0.18</v>
      </c>
      <c r="Q155">
        <f t="shared" si="26"/>
        <v>1.077418696623789E-2</v>
      </c>
      <c r="R155" s="6">
        <v>109</v>
      </c>
      <c r="S155">
        <v>0.83</v>
      </c>
      <c r="T155">
        <f t="shared" si="27"/>
        <v>0.97</v>
      </c>
      <c r="U155">
        <v>1.1100000000000001</v>
      </c>
      <c r="V155">
        <v>1.18</v>
      </c>
      <c r="W155">
        <f t="shared" si="31"/>
        <v>1.77</v>
      </c>
      <c r="X155">
        <f t="shared" si="28"/>
        <v>3.54</v>
      </c>
      <c r="Y155">
        <v>1.1000000000000001</v>
      </c>
      <c r="Z155">
        <v>19.899999999999999</v>
      </c>
      <c r="AA155">
        <v>19.600000000000001</v>
      </c>
      <c r="AB155">
        <v>70</v>
      </c>
      <c r="AC155">
        <f>Z155/AH155</f>
        <v>2629.4533392934277</v>
      </c>
      <c r="AF155">
        <v>1297</v>
      </c>
      <c r="AG155">
        <v>1600</v>
      </c>
      <c r="AH155">
        <v>7.5681129999999996E-3</v>
      </c>
      <c r="AI155" t="s">
        <v>21</v>
      </c>
      <c r="AJ155">
        <v>1</v>
      </c>
      <c r="AK155">
        <v>26</v>
      </c>
      <c r="AL155">
        <v>105</v>
      </c>
      <c r="AM155">
        <f t="shared" si="29"/>
        <v>79</v>
      </c>
      <c r="AN155">
        <v>0.18</v>
      </c>
      <c r="AO155">
        <f t="shared" si="24"/>
        <v>0.36238532110091742</v>
      </c>
      <c r="AP155">
        <v>153</v>
      </c>
      <c r="AQ155" t="str">
        <f t="shared" si="25"/>
        <v>NA</v>
      </c>
      <c r="AR155" t="str">
        <f t="shared" si="33"/>
        <v>NA</v>
      </c>
      <c r="AS155" t="str">
        <f t="shared" si="32"/>
        <v>NA</v>
      </c>
      <c r="AU155" t="s">
        <v>122</v>
      </c>
      <c r="AV155" t="s">
        <v>21</v>
      </c>
      <c r="AX155" s="14">
        <v>1</v>
      </c>
      <c r="AY155">
        <v>81</v>
      </c>
      <c r="AZ155" t="s">
        <v>123</v>
      </c>
      <c r="BA155" t="s">
        <v>5</v>
      </c>
    </row>
    <row r="156" spans="1:54" x14ac:dyDescent="0.35">
      <c r="A156" t="s">
        <v>123</v>
      </c>
      <c r="B156">
        <v>2</v>
      </c>
      <c r="C156" t="s">
        <v>0</v>
      </c>
      <c r="D156" t="s">
        <v>4</v>
      </c>
      <c r="E156" t="s">
        <v>3</v>
      </c>
      <c r="F156" s="1">
        <v>0.34</v>
      </c>
      <c r="G156" t="s">
        <v>121</v>
      </c>
      <c r="H156">
        <v>7</v>
      </c>
      <c r="I156">
        <v>14</v>
      </c>
      <c r="J156">
        <v>20</v>
      </c>
      <c r="K156">
        <v>25</v>
      </c>
      <c r="L156">
        <v>8</v>
      </c>
      <c r="M156">
        <f t="shared" si="30"/>
        <v>33</v>
      </c>
      <c r="N156">
        <v>37</v>
      </c>
      <c r="P156">
        <v>0.18</v>
      </c>
      <c r="Q156">
        <f t="shared" si="26"/>
        <v>1.077418696623789E-2</v>
      </c>
      <c r="R156" s="6">
        <v>109</v>
      </c>
      <c r="S156">
        <v>0.83</v>
      </c>
      <c r="T156">
        <f t="shared" si="27"/>
        <v>0.97</v>
      </c>
      <c r="U156">
        <v>1.1100000000000001</v>
      </c>
      <c r="V156">
        <v>1.18</v>
      </c>
      <c r="W156">
        <f t="shared" si="31"/>
        <v>1.77</v>
      </c>
      <c r="X156">
        <f t="shared" si="28"/>
        <v>3.54</v>
      </c>
      <c r="Y156">
        <v>1.1000000000000001</v>
      </c>
      <c r="Z156">
        <v>19.899999999999999</v>
      </c>
      <c r="AA156">
        <v>19.600000000000001</v>
      </c>
      <c r="AB156">
        <v>70</v>
      </c>
      <c r="AC156">
        <v>2629.4533392934277</v>
      </c>
      <c r="AF156">
        <v>1297</v>
      </c>
      <c r="AG156">
        <v>1600</v>
      </c>
      <c r="AH156" t="s">
        <v>21</v>
      </c>
      <c r="AI156">
        <f>3.5/1717</f>
        <v>2.0384391380314504E-3</v>
      </c>
      <c r="AJ156">
        <v>1</v>
      </c>
      <c r="AK156">
        <v>19</v>
      </c>
      <c r="AL156">
        <v>98</v>
      </c>
      <c r="AM156">
        <f t="shared" si="29"/>
        <v>79</v>
      </c>
      <c r="AN156">
        <v>0.18</v>
      </c>
      <c r="AO156">
        <f t="shared" si="24"/>
        <v>0.36238532110091742</v>
      </c>
      <c r="AP156">
        <v>154</v>
      </c>
      <c r="AQ156">
        <f t="shared" si="25"/>
        <v>29.738497379149678</v>
      </c>
      <c r="AR156">
        <f t="shared" si="33"/>
        <v>3.2615026208503206</v>
      </c>
      <c r="AS156">
        <f t="shared" si="32"/>
        <v>0.59231217239370992</v>
      </c>
      <c r="AU156" t="s">
        <v>122</v>
      </c>
      <c r="AV156" t="s">
        <v>21</v>
      </c>
      <c r="AX156" s="14">
        <v>1</v>
      </c>
      <c r="AY156">
        <v>81</v>
      </c>
      <c r="AZ156" t="s">
        <v>123</v>
      </c>
      <c r="BA156" t="s">
        <v>0</v>
      </c>
    </row>
    <row r="157" spans="1:54" x14ac:dyDescent="0.35">
      <c r="A157" t="s">
        <v>120</v>
      </c>
      <c r="B157">
        <v>2</v>
      </c>
      <c r="C157" t="s">
        <v>5</v>
      </c>
      <c r="D157" t="s">
        <v>4</v>
      </c>
      <c r="E157" t="s">
        <v>3</v>
      </c>
      <c r="F157" s="1">
        <v>0.34</v>
      </c>
      <c r="G157" t="s">
        <v>121</v>
      </c>
      <c r="H157">
        <v>7</v>
      </c>
      <c r="I157">
        <v>14</v>
      </c>
      <c r="J157">
        <v>20</v>
      </c>
      <c r="K157">
        <v>30</v>
      </c>
      <c r="L157">
        <v>10</v>
      </c>
      <c r="M157">
        <f t="shared" si="30"/>
        <v>40</v>
      </c>
      <c r="N157">
        <v>47</v>
      </c>
      <c r="P157">
        <v>0.2</v>
      </c>
      <c r="Q157">
        <f t="shared" si="26"/>
        <v>1.3619720219662653E-2</v>
      </c>
      <c r="R157" s="6">
        <v>103</v>
      </c>
      <c r="S157">
        <v>0.83</v>
      </c>
      <c r="T157">
        <f t="shared" si="27"/>
        <v>0.89999999999999991</v>
      </c>
      <c r="U157">
        <v>0.97</v>
      </c>
      <c r="V157">
        <v>1.1399999999999999</v>
      </c>
      <c r="W157">
        <f t="shared" si="31"/>
        <v>1.71</v>
      </c>
      <c r="X157">
        <f t="shared" si="28"/>
        <v>3.42</v>
      </c>
      <c r="Y157">
        <v>1.1000000000000001</v>
      </c>
      <c r="Z157">
        <v>19.899999999999999</v>
      </c>
      <c r="AA157">
        <v>19.600000000000001</v>
      </c>
      <c r="AB157">
        <v>70</v>
      </c>
      <c r="AC157">
        <f>Z157/AH157</f>
        <v>2708.4410811987914</v>
      </c>
      <c r="AD157" t="s">
        <v>502</v>
      </c>
      <c r="AE157">
        <v>3002</v>
      </c>
      <c r="AF157">
        <v>2462</v>
      </c>
      <c r="AG157">
        <v>2800</v>
      </c>
      <c r="AH157">
        <v>7.3473999999999996E-3</v>
      </c>
      <c r="AI157" t="s">
        <v>21</v>
      </c>
      <c r="AJ157">
        <v>1</v>
      </c>
      <c r="AK157">
        <v>22</v>
      </c>
      <c r="AL157">
        <v>209</v>
      </c>
      <c r="AM157">
        <f t="shared" si="29"/>
        <v>187</v>
      </c>
      <c r="AN157">
        <v>0.2</v>
      </c>
      <c r="AO157">
        <f t="shared" si="24"/>
        <v>0.90776699029126218</v>
      </c>
      <c r="AP157">
        <v>155</v>
      </c>
      <c r="AQ157" t="str">
        <f t="shared" si="25"/>
        <v>NA</v>
      </c>
      <c r="AR157" t="str">
        <f t="shared" si="33"/>
        <v>NA</v>
      </c>
      <c r="AS157" t="str">
        <f t="shared" si="32"/>
        <v>NA</v>
      </c>
      <c r="AU157" t="s">
        <v>303</v>
      </c>
      <c r="AX157" s="13">
        <v>1</v>
      </c>
      <c r="AY157">
        <v>82</v>
      </c>
      <c r="AZ157" t="s">
        <v>120</v>
      </c>
      <c r="BA157" t="s">
        <v>5</v>
      </c>
    </row>
    <row r="158" spans="1:54" x14ac:dyDescent="0.35">
      <c r="A158" t="s">
        <v>120</v>
      </c>
      <c r="B158">
        <v>2</v>
      </c>
      <c r="C158" t="s">
        <v>0</v>
      </c>
      <c r="D158" t="s">
        <v>4</v>
      </c>
      <c r="E158" t="s">
        <v>3</v>
      </c>
      <c r="F158" s="1">
        <v>0.34</v>
      </c>
      <c r="G158" t="s">
        <v>121</v>
      </c>
      <c r="H158">
        <v>7</v>
      </c>
      <c r="I158">
        <v>14</v>
      </c>
      <c r="J158">
        <v>20</v>
      </c>
      <c r="K158">
        <v>30</v>
      </c>
      <c r="L158">
        <v>10</v>
      </c>
      <c r="M158">
        <f t="shared" si="30"/>
        <v>40</v>
      </c>
      <c r="N158">
        <v>47</v>
      </c>
      <c r="P158">
        <v>0.2</v>
      </c>
      <c r="Q158">
        <f t="shared" si="26"/>
        <v>1.3619720219662653E-2</v>
      </c>
      <c r="R158" s="6">
        <v>103</v>
      </c>
      <c r="S158">
        <v>0.83</v>
      </c>
      <c r="T158">
        <f t="shared" si="27"/>
        <v>0.89999999999999991</v>
      </c>
      <c r="U158">
        <v>0.97</v>
      </c>
      <c r="V158">
        <v>1.1399999999999999</v>
      </c>
      <c r="W158">
        <f t="shared" si="31"/>
        <v>1.71</v>
      </c>
      <c r="X158">
        <f t="shared" si="28"/>
        <v>3.42</v>
      </c>
      <c r="Y158">
        <v>1.1000000000000001</v>
      </c>
      <c r="Z158">
        <v>19.899999999999999</v>
      </c>
      <c r="AA158">
        <v>19.600000000000001</v>
      </c>
      <c r="AB158">
        <v>70</v>
      </c>
      <c r="AC158">
        <v>2708.4410811987914</v>
      </c>
      <c r="AD158" t="s">
        <v>503</v>
      </c>
      <c r="AE158">
        <v>3002</v>
      </c>
      <c r="AF158">
        <v>2462</v>
      </c>
      <c r="AG158">
        <v>2800</v>
      </c>
      <c r="AH158" t="s">
        <v>21</v>
      </c>
      <c r="AI158">
        <f>4/1976</f>
        <v>2.0242914979757085E-3</v>
      </c>
      <c r="AJ158">
        <v>1</v>
      </c>
      <c r="AK158">
        <v>15</v>
      </c>
      <c r="AL158">
        <v>202</v>
      </c>
      <c r="AM158">
        <f t="shared" si="29"/>
        <v>187</v>
      </c>
      <c r="AN158">
        <v>0.2</v>
      </c>
      <c r="AO158">
        <f t="shared" si="24"/>
        <v>0.90776699029126218</v>
      </c>
      <c r="AP158">
        <v>156</v>
      </c>
      <c r="AQ158">
        <f t="shared" si="25"/>
        <v>34.331983805668017</v>
      </c>
      <c r="AR158">
        <f t="shared" si="33"/>
        <v>5.668016194331984</v>
      </c>
      <c r="AS158">
        <f t="shared" si="32"/>
        <v>0.4331983805668016</v>
      </c>
      <c r="AU158" t="s">
        <v>303</v>
      </c>
      <c r="AX158" s="13">
        <v>1</v>
      </c>
      <c r="AY158">
        <v>82</v>
      </c>
      <c r="AZ158" t="s">
        <v>120</v>
      </c>
      <c r="BA158" t="s">
        <v>0</v>
      </c>
    </row>
    <row r="159" spans="1:54" x14ac:dyDescent="0.35">
      <c r="A159" t="s">
        <v>119</v>
      </c>
      <c r="B159">
        <v>2</v>
      </c>
      <c r="C159" t="s">
        <v>5</v>
      </c>
      <c r="D159" t="s">
        <v>4</v>
      </c>
      <c r="E159" t="s">
        <v>3</v>
      </c>
      <c r="F159" s="1">
        <v>0.36</v>
      </c>
      <c r="G159" t="s">
        <v>118</v>
      </c>
      <c r="H159">
        <v>7</v>
      </c>
      <c r="I159">
        <v>14</v>
      </c>
      <c r="J159">
        <v>17</v>
      </c>
      <c r="K159">
        <v>28</v>
      </c>
      <c r="L159">
        <v>10</v>
      </c>
      <c r="M159">
        <f t="shared" si="30"/>
        <v>38</v>
      </c>
      <c r="N159">
        <v>46</v>
      </c>
      <c r="P159">
        <v>0.18</v>
      </c>
      <c r="Q159">
        <f t="shared" si="26"/>
        <v>1.077418696623789E-2</v>
      </c>
      <c r="R159" s="6">
        <v>97.5</v>
      </c>
      <c r="S159">
        <v>0.83</v>
      </c>
      <c r="T159">
        <f t="shared" si="27"/>
        <v>0.97</v>
      </c>
      <c r="U159">
        <v>1.1100000000000001</v>
      </c>
      <c r="V159">
        <v>1.18</v>
      </c>
      <c r="W159">
        <f t="shared" si="31"/>
        <v>1.77</v>
      </c>
      <c r="X159">
        <f t="shared" si="28"/>
        <v>3.54</v>
      </c>
      <c r="Y159">
        <v>1.1000000000000001</v>
      </c>
      <c r="Z159">
        <v>19.899999999999999</v>
      </c>
      <c r="AA159">
        <v>19.600000000000001</v>
      </c>
      <c r="AB159">
        <v>70</v>
      </c>
      <c r="AC159">
        <f>Z159/AH159</f>
        <v>2759.4668432725443</v>
      </c>
      <c r="AD159" t="s">
        <v>504</v>
      </c>
      <c r="AE159">
        <v>3069</v>
      </c>
      <c r="AF159">
        <v>2535</v>
      </c>
      <c r="AG159">
        <v>415</v>
      </c>
      <c r="AH159">
        <v>7.211538E-3</v>
      </c>
      <c r="AI159" t="s">
        <v>21</v>
      </c>
      <c r="AJ159">
        <v>0</v>
      </c>
      <c r="AK159">
        <v>19</v>
      </c>
      <c r="AL159">
        <v>122</v>
      </c>
      <c r="AM159">
        <f t="shared" si="29"/>
        <v>103</v>
      </c>
      <c r="AN159">
        <v>0.18</v>
      </c>
      <c r="AO159">
        <f t="shared" si="24"/>
        <v>0.52820512820512822</v>
      </c>
      <c r="AP159">
        <v>157</v>
      </c>
      <c r="AQ159" t="str">
        <f t="shared" si="25"/>
        <v>NA</v>
      </c>
      <c r="AR159" t="str">
        <f t="shared" si="33"/>
        <v>NA</v>
      </c>
      <c r="AS159" t="str">
        <f t="shared" si="32"/>
        <v>NA</v>
      </c>
      <c r="AU159" t="s">
        <v>303</v>
      </c>
      <c r="AX159" s="12">
        <v>0</v>
      </c>
      <c r="AY159">
        <v>83</v>
      </c>
      <c r="AZ159" t="s">
        <v>119</v>
      </c>
      <c r="BA159" t="s">
        <v>5</v>
      </c>
    </row>
    <row r="160" spans="1:54" x14ac:dyDescent="0.35">
      <c r="A160" t="s">
        <v>119</v>
      </c>
      <c r="B160">
        <v>2</v>
      </c>
      <c r="C160" t="s">
        <v>0</v>
      </c>
      <c r="D160" t="s">
        <v>4</v>
      </c>
      <c r="E160" t="s">
        <v>3</v>
      </c>
      <c r="F160" s="1">
        <v>0.36</v>
      </c>
      <c r="G160" t="s">
        <v>118</v>
      </c>
      <c r="H160">
        <v>7</v>
      </c>
      <c r="I160">
        <v>14</v>
      </c>
      <c r="J160">
        <v>17</v>
      </c>
      <c r="K160">
        <v>28</v>
      </c>
      <c r="L160">
        <v>10</v>
      </c>
      <c r="M160">
        <f t="shared" si="30"/>
        <v>38</v>
      </c>
      <c r="N160">
        <v>46</v>
      </c>
      <c r="P160">
        <v>0.18</v>
      </c>
      <c r="Q160">
        <f t="shared" si="26"/>
        <v>1.077418696623789E-2</v>
      </c>
      <c r="R160" s="6">
        <v>97.5</v>
      </c>
      <c r="S160">
        <v>0.83</v>
      </c>
      <c r="T160">
        <f t="shared" si="27"/>
        <v>0.97</v>
      </c>
      <c r="U160">
        <v>1.1100000000000001</v>
      </c>
      <c r="V160">
        <v>1.18</v>
      </c>
      <c r="W160">
        <f t="shared" si="31"/>
        <v>1.77</v>
      </c>
      <c r="X160">
        <f t="shared" si="28"/>
        <v>3.54</v>
      </c>
      <c r="Y160">
        <v>1.1000000000000001</v>
      </c>
      <c r="Z160">
        <v>19.899999999999999</v>
      </c>
      <c r="AA160">
        <v>19.600000000000001</v>
      </c>
      <c r="AB160">
        <v>70</v>
      </c>
      <c r="AC160">
        <v>2759.4668432725443</v>
      </c>
      <c r="AD160" t="s">
        <v>505</v>
      </c>
      <c r="AE160">
        <v>3069</v>
      </c>
      <c r="AF160">
        <v>2535</v>
      </c>
      <c r="AG160">
        <v>415</v>
      </c>
      <c r="AH160" t="s">
        <v>21</v>
      </c>
      <c r="AI160">
        <f>(2.5+4)/(1195+993)</f>
        <v>2.9707495429616088E-3</v>
      </c>
      <c r="AJ160">
        <v>0</v>
      </c>
      <c r="AK160">
        <v>13</v>
      </c>
      <c r="AL160">
        <v>116</v>
      </c>
      <c r="AM160">
        <f t="shared" si="29"/>
        <v>103</v>
      </c>
      <c r="AN160">
        <v>0.18</v>
      </c>
      <c r="AO160">
        <f t="shared" si="24"/>
        <v>0.52820512820512822</v>
      </c>
      <c r="AP160">
        <v>158</v>
      </c>
      <c r="AQ160">
        <f t="shared" si="25"/>
        <v>36.767138939670929</v>
      </c>
      <c r="AR160">
        <f t="shared" si="33"/>
        <v>1.2328610603290677</v>
      </c>
      <c r="AS160">
        <f t="shared" si="32"/>
        <v>0.87671389396709321</v>
      </c>
      <c r="AU160" t="s">
        <v>303</v>
      </c>
      <c r="AX160" s="12">
        <v>0</v>
      </c>
      <c r="AY160">
        <v>83</v>
      </c>
      <c r="AZ160" t="s">
        <v>119</v>
      </c>
      <c r="BA160" t="s">
        <v>0</v>
      </c>
    </row>
    <row r="161" spans="1:53" x14ac:dyDescent="0.35">
      <c r="A161" t="s">
        <v>117</v>
      </c>
      <c r="B161">
        <v>2</v>
      </c>
      <c r="C161" t="s">
        <v>5</v>
      </c>
      <c r="D161" t="s">
        <v>4</v>
      </c>
      <c r="E161" t="s">
        <v>3</v>
      </c>
      <c r="F161" s="1">
        <v>0.36</v>
      </c>
      <c r="G161" t="s">
        <v>118</v>
      </c>
      <c r="H161">
        <v>7</v>
      </c>
      <c r="I161">
        <v>14</v>
      </c>
      <c r="J161">
        <v>17</v>
      </c>
      <c r="K161">
        <v>28</v>
      </c>
      <c r="L161">
        <v>10</v>
      </c>
      <c r="M161">
        <f t="shared" si="30"/>
        <v>38</v>
      </c>
      <c r="N161">
        <v>46</v>
      </c>
      <c r="P161">
        <v>0.18</v>
      </c>
      <c r="Q161">
        <f t="shared" si="26"/>
        <v>1.077418696623789E-2</v>
      </c>
      <c r="R161" s="6">
        <v>97.5</v>
      </c>
      <c r="S161">
        <v>0.83</v>
      </c>
      <c r="T161">
        <f t="shared" si="27"/>
        <v>0.97</v>
      </c>
      <c r="U161">
        <v>1.1100000000000001</v>
      </c>
      <c r="V161">
        <v>1.18</v>
      </c>
      <c r="W161">
        <f t="shared" si="31"/>
        <v>1.77</v>
      </c>
      <c r="X161">
        <f t="shared" si="28"/>
        <v>3.54</v>
      </c>
      <c r="Y161">
        <v>1.1000000000000001</v>
      </c>
      <c r="Z161">
        <v>19.899999999999999</v>
      </c>
      <c r="AA161">
        <v>19.600000000000001</v>
      </c>
      <c r="AB161">
        <v>70</v>
      </c>
      <c r="AC161">
        <f>Z161/AH161</f>
        <v>2759.4668432725443</v>
      </c>
      <c r="AD161" t="s">
        <v>506</v>
      </c>
      <c r="AE161">
        <v>3069</v>
      </c>
      <c r="AF161">
        <v>2535</v>
      </c>
      <c r="AG161">
        <v>10</v>
      </c>
      <c r="AH161">
        <v>7.211538E-3</v>
      </c>
      <c r="AI161" t="s">
        <v>21</v>
      </c>
      <c r="AJ161">
        <v>0</v>
      </c>
      <c r="AK161">
        <v>16</v>
      </c>
      <c r="AL161">
        <v>27</v>
      </c>
      <c r="AM161">
        <f t="shared" si="29"/>
        <v>11</v>
      </c>
      <c r="AN161">
        <v>0.18</v>
      </c>
      <c r="AO161">
        <f t="shared" si="24"/>
        <v>5.6410256410256411E-2</v>
      </c>
      <c r="AP161">
        <v>159</v>
      </c>
      <c r="AQ161" t="str">
        <f t="shared" si="25"/>
        <v>NA</v>
      </c>
      <c r="AR161" t="str">
        <f t="shared" si="33"/>
        <v>NA</v>
      </c>
      <c r="AS161" t="str">
        <f t="shared" si="32"/>
        <v>NA</v>
      </c>
      <c r="AU161" t="s">
        <v>303</v>
      </c>
      <c r="AX161" s="12">
        <v>0</v>
      </c>
      <c r="AY161">
        <v>84</v>
      </c>
      <c r="AZ161" t="s">
        <v>117</v>
      </c>
      <c r="BA161" t="s">
        <v>5</v>
      </c>
    </row>
    <row r="162" spans="1:53" x14ac:dyDescent="0.35">
      <c r="A162" t="s">
        <v>117</v>
      </c>
      <c r="B162">
        <v>2</v>
      </c>
      <c r="C162" t="s">
        <v>0</v>
      </c>
      <c r="D162" t="s">
        <v>4</v>
      </c>
      <c r="E162" t="s">
        <v>3</v>
      </c>
      <c r="F162" s="1">
        <v>0.36</v>
      </c>
      <c r="G162" t="s">
        <v>118</v>
      </c>
      <c r="H162">
        <v>7</v>
      </c>
      <c r="I162">
        <v>14</v>
      </c>
      <c r="J162">
        <v>17</v>
      </c>
      <c r="K162">
        <v>28</v>
      </c>
      <c r="L162">
        <v>10</v>
      </c>
      <c r="M162">
        <f t="shared" si="30"/>
        <v>38</v>
      </c>
      <c r="N162">
        <v>46</v>
      </c>
      <c r="P162">
        <v>0.18</v>
      </c>
      <c r="Q162">
        <f t="shared" si="26"/>
        <v>1.077418696623789E-2</v>
      </c>
      <c r="R162" s="6">
        <v>97.5</v>
      </c>
      <c r="S162">
        <v>0.83</v>
      </c>
      <c r="T162">
        <f t="shared" si="27"/>
        <v>0.97</v>
      </c>
      <c r="U162">
        <v>1.1100000000000001</v>
      </c>
      <c r="V162">
        <v>1.18</v>
      </c>
      <c r="W162">
        <f t="shared" si="31"/>
        <v>1.77</v>
      </c>
      <c r="X162">
        <f t="shared" si="28"/>
        <v>3.54</v>
      </c>
      <c r="Y162">
        <v>1.1000000000000001</v>
      </c>
      <c r="Z162">
        <v>19.899999999999999</v>
      </c>
      <c r="AA162">
        <v>19.600000000000001</v>
      </c>
      <c r="AB162">
        <v>70</v>
      </c>
      <c r="AC162">
        <v>2759.4668432725443</v>
      </c>
      <c r="AD162" t="s">
        <v>507</v>
      </c>
      <c r="AE162">
        <v>3069</v>
      </c>
      <c r="AF162">
        <v>2535</v>
      </c>
      <c r="AG162">
        <v>10</v>
      </c>
      <c r="AH162" t="s">
        <v>21</v>
      </c>
      <c r="AI162">
        <f>(2.5+4)/(1195+993)</f>
        <v>2.9707495429616088E-3</v>
      </c>
      <c r="AJ162">
        <v>0</v>
      </c>
      <c r="AK162">
        <v>10</v>
      </c>
      <c r="AL162">
        <v>21</v>
      </c>
      <c r="AM162">
        <f t="shared" si="29"/>
        <v>11</v>
      </c>
      <c r="AN162">
        <v>0.18</v>
      </c>
      <c r="AO162">
        <f t="shared" si="24"/>
        <v>5.6410256410256411E-2</v>
      </c>
      <c r="AP162">
        <v>160</v>
      </c>
      <c r="AQ162">
        <f t="shared" si="25"/>
        <v>37.970292504570381</v>
      </c>
      <c r="AR162">
        <f t="shared" si="33"/>
        <v>2.9707495429616086E-2</v>
      </c>
      <c r="AS162">
        <f t="shared" si="32"/>
        <v>0.99702925045703839</v>
      </c>
      <c r="AU162" t="s">
        <v>303</v>
      </c>
      <c r="AX162" s="12">
        <v>0</v>
      </c>
      <c r="AY162">
        <v>84</v>
      </c>
      <c r="AZ162" t="s">
        <v>117</v>
      </c>
      <c r="BA162" t="s">
        <v>0</v>
      </c>
    </row>
    <row r="163" spans="1:53" x14ac:dyDescent="0.35">
      <c r="A163" t="s">
        <v>116</v>
      </c>
      <c r="B163">
        <v>2</v>
      </c>
      <c r="C163" t="s">
        <v>5</v>
      </c>
      <c r="D163" t="s">
        <v>4</v>
      </c>
      <c r="E163" t="s">
        <v>3</v>
      </c>
      <c r="F163" s="1">
        <v>0.37</v>
      </c>
      <c r="G163" t="s">
        <v>114</v>
      </c>
      <c r="H163">
        <v>4</v>
      </c>
      <c r="I163">
        <v>8</v>
      </c>
      <c r="J163">
        <v>11</v>
      </c>
      <c r="K163">
        <v>30</v>
      </c>
      <c r="L163">
        <v>9</v>
      </c>
      <c r="M163">
        <f t="shared" si="30"/>
        <v>39</v>
      </c>
      <c r="N163">
        <v>54</v>
      </c>
      <c r="P163">
        <v>0.22</v>
      </c>
      <c r="Q163">
        <f t="shared" si="26"/>
        <v>1.4981692241628918E-2</v>
      </c>
      <c r="R163" s="6">
        <v>105</v>
      </c>
      <c r="S163">
        <v>0.83</v>
      </c>
      <c r="T163">
        <f t="shared" si="27"/>
        <v>0.89999999999999991</v>
      </c>
      <c r="U163">
        <v>0.97</v>
      </c>
      <c r="V163">
        <v>1.1399999999999999</v>
      </c>
      <c r="W163">
        <f t="shared" si="31"/>
        <v>1.71</v>
      </c>
      <c r="X163">
        <f t="shared" si="28"/>
        <v>3.42</v>
      </c>
      <c r="Y163">
        <v>1.1000000000000001</v>
      </c>
      <c r="Z163">
        <v>19.899999999999999</v>
      </c>
      <c r="AA163">
        <v>19.600000000000001</v>
      </c>
      <c r="AB163">
        <v>70</v>
      </c>
      <c r="AC163">
        <f>Z163/AH163</f>
        <v>2786.000055720001</v>
      </c>
      <c r="AD163" t="s">
        <v>508</v>
      </c>
      <c r="AE163">
        <v>3051</v>
      </c>
      <c r="AF163">
        <v>3081</v>
      </c>
      <c r="AG163">
        <v>100</v>
      </c>
      <c r="AH163">
        <v>7.1428569999999999E-3</v>
      </c>
      <c r="AI163" t="s">
        <v>21</v>
      </c>
      <c r="AJ163">
        <v>0</v>
      </c>
      <c r="AK163">
        <v>48</v>
      </c>
      <c r="AL163">
        <v>67</v>
      </c>
      <c r="AM163">
        <f t="shared" si="29"/>
        <v>19</v>
      </c>
      <c r="AN163">
        <v>0.22</v>
      </c>
      <c r="AO163">
        <f t="shared" si="24"/>
        <v>9.0476190476190474E-2</v>
      </c>
      <c r="AP163">
        <v>161</v>
      </c>
      <c r="AQ163" t="str">
        <f t="shared" si="25"/>
        <v>NA</v>
      </c>
      <c r="AR163" t="str">
        <f t="shared" si="33"/>
        <v>NA</v>
      </c>
      <c r="AS163" t="str">
        <f t="shared" si="32"/>
        <v>NA</v>
      </c>
      <c r="AU163" t="s">
        <v>303</v>
      </c>
      <c r="AX163" s="12">
        <v>0</v>
      </c>
      <c r="AY163">
        <v>85</v>
      </c>
      <c r="AZ163" t="s">
        <v>116</v>
      </c>
      <c r="BA163" t="s">
        <v>5</v>
      </c>
    </row>
    <row r="164" spans="1:53" x14ac:dyDescent="0.35">
      <c r="A164" t="s">
        <v>116</v>
      </c>
      <c r="B164">
        <v>2</v>
      </c>
      <c r="C164" t="s">
        <v>0</v>
      </c>
      <c r="D164" t="s">
        <v>4</v>
      </c>
      <c r="E164" t="s">
        <v>3</v>
      </c>
      <c r="F164" s="1">
        <v>0.37</v>
      </c>
      <c r="G164" t="s">
        <v>114</v>
      </c>
      <c r="H164">
        <v>4</v>
      </c>
      <c r="I164">
        <v>8</v>
      </c>
      <c r="J164">
        <v>11</v>
      </c>
      <c r="K164">
        <v>30</v>
      </c>
      <c r="L164">
        <v>9</v>
      </c>
      <c r="M164">
        <f t="shared" si="30"/>
        <v>39</v>
      </c>
      <c r="N164">
        <v>54</v>
      </c>
      <c r="P164">
        <v>0.22</v>
      </c>
      <c r="Q164">
        <f t="shared" si="26"/>
        <v>1.4981692241628918E-2</v>
      </c>
      <c r="R164" s="6">
        <v>105</v>
      </c>
      <c r="S164">
        <v>0.83</v>
      </c>
      <c r="T164">
        <f t="shared" si="27"/>
        <v>0.89999999999999991</v>
      </c>
      <c r="U164">
        <v>0.97</v>
      </c>
      <c r="V164">
        <v>1.1399999999999999</v>
      </c>
      <c r="W164">
        <f t="shared" si="31"/>
        <v>1.71</v>
      </c>
      <c r="X164">
        <f t="shared" si="28"/>
        <v>3.42</v>
      </c>
      <c r="Y164">
        <v>1.1000000000000001</v>
      </c>
      <c r="Z164">
        <v>19.899999999999999</v>
      </c>
      <c r="AA164">
        <v>19.600000000000001</v>
      </c>
      <c r="AB164">
        <v>70</v>
      </c>
      <c r="AC164">
        <v>2786.000055720001</v>
      </c>
      <c r="AD164" t="s">
        <v>509</v>
      </c>
      <c r="AE164">
        <v>3051</v>
      </c>
      <c r="AF164">
        <v>3081</v>
      </c>
      <c r="AG164">
        <v>100</v>
      </c>
      <c r="AH164" t="s">
        <v>21</v>
      </c>
      <c r="AI164">
        <f>3/1447</f>
        <v>2.0732550103662751E-3</v>
      </c>
      <c r="AJ164">
        <v>0</v>
      </c>
      <c r="AK164">
        <v>47</v>
      </c>
      <c r="AL164">
        <v>66</v>
      </c>
      <c r="AM164">
        <f t="shared" si="29"/>
        <v>19</v>
      </c>
      <c r="AN164">
        <v>0.22</v>
      </c>
      <c r="AO164">
        <f t="shared" si="24"/>
        <v>9.0476190476190474E-2</v>
      </c>
      <c r="AP164">
        <v>162</v>
      </c>
      <c r="AQ164">
        <f t="shared" si="25"/>
        <v>38.792674498963372</v>
      </c>
      <c r="AR164">
        <f t="shared" si="33"/>
        <v>0.2073255010366275</v>
      </c>
      <c r="AS164">
        <f t="shared" si="32"/>
        <v>0.97696383321815239</v>
      </c>
      <c r="AU164" t="s">
        <v>303</v>
      </c>
      <c r="AX164" s="12">
        <v>0</v>
      </c>
      <c r="AY164">
        <v>85</v>
      </c>
      <c r="AZ164" t="s">
        <v>116</v>
      </c>
      <c r="BA164" t="s">
        <v>0</v>
      </c>
    </row>
    <row r="165" spans="1:53" x14ac:dyDescent="0.35">
      <c r="A165" t="s">
        <v>115</v>
      </c>
      <c r="B165">
        <v>2</v>
      </c>
      <c r="C165" t="s">
        <v>5</v>
      </c>
      <c r="D165" t="s">
        <v>4</v>
      </c>
      <c r="E165" t="s">
        <v>3</v>
      </c>
      <c r="F165" s="1">
        <v>0.37</v>
      </c>
      <c r="G165" t="s">
        <v>114</v>
      </c>
      <c r="H165">
        <v>4</v>
      </c>
      <c r="I165">
        <v>8</v>
      </c>
      <c r="J165">
        <v>11</v>
      </c>
      <c r="K165">
        <v>30</v>
      </c>
      <c r="L165">
        <v>9</v>
      </c>
      <c r="M165">
        <f t="shared" si="30"/>
        <v>39</v>
      </c>
      <c r="N165">
        <v>54</v>
      </c>
      <c r="P165">
        <v>0.22</v>
      </c>
      <c r="Q165">
        <f t="shared" si="26"/>
        <v>1.4981692241628918E-2</v>
      </c>
      <c r="R165" s="6">
        <v>105</v>
      </c>
      <c r="S165">
        <v>0.83</v>
      </c>
      <c r="T165">
        <f t="shared" si="27"/>
        <v>0.89999999999999991</v>
      </c>
      <c r="U165">
        <v>0.97</v>
      </c>
      <c r="V165">
        <v>1.1399999999999999</v>
      </c>
      <c r="W165">
        <f t="shared" si="31"/>
        <v>1.71</v>
      </c>
      <c r="X165">
        <f t="shared" si="28"/>
        <v>3.42</v>
      </c>
      <c r="Y165">
        <v>1.1000000000000001</v>
      </c>
      <c r="Z165">
        <v>19.899999999999999</v>
      </c>
      <c r="AA165">
        <v>19.600000000000001</v>
      </c>
      <c r="AB165">
        <v>70</v>
      </c>
      <c r="AC165">
        <f>Z165/AH165</f>
        <v>2786.000055720001</v>
      </c>
      <c r="AD165" t="s">
        <v>510</v>
      </c>
      <c r="AE165">
        <v>3051</v>
      </c>
      <c r="AF165">
        <v>3081</v>
      </c>
      <c r="AG165">
        <v>350</v>
      </c>
      <c r="AH165">
        <v>7.1428569999999999E-3</v>
      </c>
      <c r="AI165" t="s">
        <v>21</v>
      </c>
      <c r="AJ165">
        <v>0</v>
      </c>
      <c r="AK165">
        <v>17</v>
      </c>
      <c r="AL165">
        <v>203</v>
      </c>
      <c r="AM165">
        <f t="shared" si="29"/>
        <v>186</v>
      </c>
      <c r="AN165">
        <v>0.22</v>
      </c>
      <c r="AO165">
        <f t="shared" si="24"/>
        <v>0.88571428571428568</v>
      </c>
      <c r="AP165">
        <v>163</v>
      </c>
      <c r="AQ165" t="str">
        <f t="shared" si="25"/>
        <v>NA</v>
      </c>
      <c r="AR165" t="str">
        <f t="shared" si="33"/>
        <v>NA</v>
      </c>
      <c r="AS165" t="str">
        <f t="shared" si="32"/>
        <v>NA</v>
      </c>
      <c r="AU165" t="s">
        <v>303</v>
      </c>
      <c r="AX165" s="12">
        <v>0</v>
      </c>
      <c r="AY165">
        <v>86</v>
      </c>
      <c r="AZ165" t="s">
        <v>115</v>
      </c>
      <c r="BA165" t="s">
        <v>5</v>
      </c>
    </row>
    <row r="166" spans="1:53" x14ac:dyDescent="0.35">
      <c r="A166" t="s">
        <v>115</v>
      </c>
      <c r="B166">
        <v>2</v>
      </c>
      <c r="C166" t="s">
        <v>0</v>
      </c>
      <c r="D166" t="s">
        <v>4</v>
      </c>
      <c r="E166" t="s">
        <v>3</v>
      </c>
      <c r="F166" s="1">
        <v>0.37</v>
      </c>
      <c r="G166" t="s">
        <v>114</v>
      </c>
      <c r="H166">
        <v>4</v>
      </c>
      <c r="I166">
        <v>8</v>
      </c>
      <c r="J166">
        <v>11</v>
      </c>
      <c r="K166">
        <v>30</v>
      </c>
      <c r="L166">
        <v>9</v>
      </c>
      <c r="M166">
        <f t="shared" si="30"/>
        <v>39</v>
      </c>
      <c r="N166">
        <v>54</v>
      </c>
      <c r="P166">
        <v>0.22</v>
      </c>
      <c r="Q166">
        <f t="shared" si="26"/>
        <v>1.4981692241628918E-2</v>
      </c>
      <c r="R166" s="6">
        <v>105</v>
      </c>
      <c r="S166">
        <v>0.83</v>
      </c>
      <c r="T166">
        <f t="shared" si="27"/>
        <v>0.89999999999999991</v>
      </c>
      <c r="U166">
        <v>0.97</v>
      </c>
      <c r="V166">
        <v>1.1399999999999999</v>
      </c>
      <c r="W166">
        <f t="shared" si="31"/>
        <v>1.71</v>
      </c>
      <c r="X166">
        <f t="shared" si="28"/>
        <v>3.42</v>
      </c>
      <c r="Y166">
        <v>1.1000000000000001</v>
      </c>
      <c r="Z166">
        <v>19.899999999999999</v>
      </c>
      <c r="AA166">
        <v>19.600000000000001</v>
      </c>
      <c r="AB166">
        <v>70</v>
      </c>
      <c r="AC166">
        <v>2786.000055720001</v>
      </c>
      <c r="AD166" t="s">
        <v>511</v>
      </c>
      <c r="AE166">
        <v>3051</v>
      </c>
      <c r="AF166">
        <v>3081</v>
      </c>
      <c r="AG166">
        <v>350</v>
      </c>
      <c r="AH166" t="s">
        <v>21</v>
      </c>
      <c r="AI166">
        <f>3/1447</f>
        <v>2.0732550103662751E-3</v>
      </c>
      <c r="AJ166">
        <v>0</v>
      </c>
      <c r="AK166">
        <v>4</v>
      </c>
      <c r="AL166">
        <v>190</v>
      </c>
      <c r="AM166">
        <f t="shared" si="29"/>
        <v>186</v>
      </c>
      <c r="AN166">
        <v>0.22</v>
      </c>
      <c r="AO166">
        <f t="shared" si="24"/>
        <v>0.88571428571428568</v>
      </c>
      <c r="AP166">
        <v>164</v>
      </c>
      <c r="AQ166">
        <f t="shared" si="25"/>
        <v>38.274360746371805</v>
      </c>
      <c r="AR166">
        <f t="shared" si="33"/>
        <v>0.72563925362819626</v>
      </c>
      <c r="AS166">
        <f t="shared" si="32"/>
        <v>0.91937341626353364</v>
      </c>
      <c r="AU166" t="s">
        <v>303</v>
      </c>
      <c r="AX166" s="12">
        <v>0</v>
      </c>
      <c r="AY166">
        <v>86</v>
      </c>
      <c r="AZ166" t="s">
        <v>115</v>
      </c>
      <c r="BA166" t="s">
        <v>0</v>
      </c>
    </row>
    <row r="167" spans="1:53" x14ac:dyDescent="0.35">
      <c r="A167" t="s">
        <v>113</v>
      </c>
      <c r="B167">
        <v>2</v>
      </c>
      <c r="C167" t="s">
        <v>5</v>
      </c>
      <c r="D167" t="s">
        <v>4</v>
      </c>
      <c r="E167" t="s">
        <v>3</v>
      </c>
      <c r="F167" s="1">
        <v>0.37</v>
      </c>
      <c r="G167" t="s">
        <v>114</v>
      </c>
      <c r="H167">
        <v>4</v>
      </c>
      <c r="I167">
        <v>8</v>
      </c>
      <c r="J167">
        <v>11</v>
      </c>
      <c r="K167">
        <v>30</v>
      </c>
      <c r="L167">
        <v>9</v>
      </c>
      <c r="M167">
        <f t="shared" si="30"/>
        <v>39</v>
      </c>
      <c r="N167">
        <v>54</v>
      </c>
      <c r="P167">
        <v>0.22</v>
      </c>
      <c r="Q167">
        <f t="shared" si="26"/>
        <v>1.4981692241628918E-2</v>
      </c>
      <c r="R167" s="6">
        <v>105</v>
      </c>
      <c r="S167">
        <v>0.83</v>
      </c>
      <c r="T167">
        <f t="shared" si="27"/>
        <v>0.89999999999999991</v>
      </c>
      <c r="U167">
        <v>0.97</v>
      </c>
      <c r="V167">
        <v>1.1399999999999999</v>
      </c>
      <c r="W167">
        <f t="shared" si="31"/>
        <v>1.71</v>
      </c>
      <c r="X167">
        <f t="shared" si="28"/>
        <v>3.42</v>
      </c>
      <c r="Y167">
        <v>1.1000000000000001</v>
      </c>
      <c r="Z167">
        <v>19.899999999999999</v>
      </c>
      <c r="AA167">
        <v>19.600000000000001</v>
      </c>
      <c r="AB167">
        <v>70</v>
      </c>
      <c r="AC167">
        <f>Z167/AH167</f>
        <v>2786.000055720001</v>
      </c>
      <c r="AD167" t="s">
        <v>512</v>
      </c>
      <c r="AE167">
        <v>3051</v>
      </c>
      <c r="AF167">
        <v>3081</v>
      </c>
      <c r="AG167">
        <v>2300</v>
      </c>
      <c r="AH167">
        <v>7.1428569999999999E-3</v>
      </c>
      <c r="AI167" t="s">
        <v>21</v>
      </c>
      <c r="AJ167">
        <v>1</v>
      </c>
      <c r="AK167">
        <v>20</v>
      </c>
      <c r="AL167">
        <v>171</v>
      </c>
      <c r="AM167">
        <f t="shared" si="29"/>
        <v>151</v>
      </c>
      <c r="AN167">
        <v>0.22</v>
      </c>
      <c r="AO167">
        <f t="shared" si="24"/>
        <v>0.71904761904761905</v>
      </c>
      <c r="AP167">
        <v>165</v>
      </c>
      <c r="AQ167" t="str">
        <f t="shared" si="25"/>
        <v>NA</v>
      </c>
      <c r="AR167" t="str">
        <f t="shared" si="33"/>
        <v>NA</v>
      </c>
      <c r="AS167" t="str">
        <f t="shared" si="32"/>
        <v>NA</v>
      </c>
      <c r="AU167" t="s">
        <v>303</v>
      </c>
      <c r="AX167" s="13">
        <v>1</v>
      </c>
      <c r="AY167">
        <v>87</v>
      </c>
      <c r="AZ167" t="s">
        <v>113</v>
      </c>
      <c r="BA167" t="s">
        <v>5</v>
      </c>
    </row>
    <row r="168" spans="1:53" x14ac:dyDescent="0.35">
      <c r="A168" t="s">
        <v>113</v>
      </c>
      <c r="B168">
        <v>2</v>
      </c>
      <c r="C168" t="s">
        <v>0</v>
      </c>
      <c r="D168" t="s">
        <v>4</v>
      </c>
      <c r="E168" t="s">
        <v>3</v>
      </c>
      <c r="F168" s="1">
        <v>0.37</v>
      </c>
      <c r="G168" t="s">
        <v>114</v>
      </c>
      <c r="H168">
        <v>4</v>
      </c>
      <c r="I168">
        <v>8</v>
      </c>
      <c r="J168">
        <v>11</v>
      </c>
      <c r="K168">
        <v>30</v>
      </c>
      <c r="L168">
        <v>9</v>
      </c>
      <c r="M168">
        <f t="shared" si="30"/>
        <v>39</v>
      </c>
      <c r="N168">
        <v>54</v>
      </c>
      <c r="P168">
        <v>0.22</v>
      </c>
      <c r="Q168">
        <f t="shared" si="26"/>
        <v>1.4981692241628918E-2</v>
      </c>
      <c r="R168" s="6">
        <v>105</v>
      </c>
      <c r="S168">
        <v>0.83</v>
      </c>
      <c r="T168">
        <f t="shared" si="27"/>
        <v>0.89999999999999991</v>
      </c>
      <c r="U168">
        <v>0.97</v>
      </c>
      <c r="V168">
        <v>1.1399999999999999</v>
      </c>
      <c r="W168">
        <f t="shared" si="31"/>
        <v>1.71</v>
      </c>
      <c r="X168">
        <f t="shared" si="28"/>
        <v>3.42</v>
      </c>
      <c r="Y168">
        <v>1.1000000000000001</v>
      </c>
      <c r="Z168">
        <v>19.899999999999999</v>
      </c>
      <c r="AA168">
        <v>19.600000000000001</v>
      </c>
      <c r="AB168">
        <v>70</v>
      </c>
      <c r="AC168">
        <v>2786.000055720001</v>
      </c>
      <c r="AD168" t="s">
        <v>513</v>
      </c>
      <c r="AE168">
        <v>3051</v>
      </c>
      <c r="AF168">
        <v>3081</v>
      </c>
      <c r="AG168">
        <v>2300</v>
      </c>
      <c r="AH168" t="s">
        <v>21</v>
      </c>
      <c r="AI168">
        <v>2.0576129999999998E-3</v>
      </c>
      <c r="AJ168">
        <v>1</v>
      </c>
      <c r="AK168">
        <v>6</v>
      </c>
      <c r="AL168">
        <v>157</v>
      </c>
      <c r="AM168">
        <f t="shared" si="29"/>
        <v>151</v>
      </c>
      <c r="AN168">
        <v>0.22</v>
      </c>
      <c r="AO168">
        <f t="shared" si="24"/>
        <v>0.71904761904761905</v>
      </c>
      <c r="AP168">
        <v>166</v>
      </c>
      <c r="AQ168">
        <f t="shared" si="25"/>
        <v>34.267490100000003</v>
      </c>
      <c r="AR168">
        <f t="shared" si="33"/>
        <v>4.7325098999999993</v>
      </c>
      <c r="AS168">
        <f t="shared" si="32"/>
        <v>0.47416556666666676</v>
      </c>
      <c r="AU168" t="s">
        <v>303</v>
      </c>
      <c r="AX168" s="13">
        <v>1</v>
      </c>
      <c r="AY168">
        <v>87</v>
      </c>
      <c r="AZ168" t="s">
        <v>113</v>
      </c>
      <c r="BA168" t="s">
        <v>0</v>
      </c>
    </row>
    <row r="169" spans="1:53" x14ac:dyDescent="0.35">
      <c r="A169" t="s">
        <v>112</v>
      </c>
      <c r="B169">
        <v>1</v>
      </c>
      <c r="C169" t="s">
        <v>5</v>
      </c>
      <c r="D169" t="s">
        <v>4</v>
      </c>
      <c r="E169" t="s">
        <v>3</v>
      </c>
      <c r="F169" s="1">
        <v>0.48</v>
      </c>
      <c r="G169" t="s">
        <v>90</v>
      </c>
      <c r="H169">
        <v>11</v>
      </c>
      <c r="I169">
        <v>3</v>
      </c>
      <c r="J169">
        <v>6</v>
      </c>
      <c r="K169">
        <v>39</v>
      </c>
      <c r="L169">
        <v>12</v>
      </c>
      <c r="M169">
        <f t="shared" si="30"/>
        <v>51</v>
      </c>
      <c r="N169">
        <v>52.5</v>
      </c>
      <c r="O169">
        <v>1.9</v>
      </c>
      <c r="P169">
        <v>0.16</v>
      </c>
      <c r="Q169">
        <f t="shared" si="26"/>
        <v>1.0139969620538236E-2</v>
      </c>
      <c r="R169" s="6">
        <v>92.5</v>
      </c>
      <c r="S169">
        <v>0.75</v>
      </c>
      <c r="T169">
        <f t="shared" si="27"/>
        <v>0.875</v>
      </c>
      <c r="U169">
        <v>1</v>
      </c>
      <c r="V169">
        <v>1.3</v>
      </c>
      <c r="W169">
        <f t="shared" si="31"/>
        <v>1.9500000000000002</v>
      </c>
      <c r="X169">
        <f t="shared" si="28"/>
        <v>3.9000000000000004</v>
      </c>
      <c r="Y169">
        <v>0.65</v>
      </c>
      <c r="Z169">
        <v>17</v>
      </c>
      <c r="AA169">
        <v>17.7</v>
      </c>
      <c r="AB169">
        <v>60</v>
      </c>
      <c r="AC169">
        <f>Z169/AH169</f>
        <v>1449.2500344196883</v>
      </c>
      <c r="AD169" t="s">
        <v>514</v>
      </c>
      <c r="AE169">
        <v>1292</v>
      </c>
      <c r="AF169">
        <v>1292</v>
      </c>
      <c r="AG169">
        <v>1008</v>
      </c>
      <c r="AH169">
        <v>1.1730205E-2</v>
      </c>
      <c r="AI169" t="s">
        <v>21</v>
      </c>
      <c r="AJ169">
        <v>1</v>
      </c>
      <c r="AK169">
        <v>15</v>
      </c>
      <c r="AL169">
        <v>152</v>
      </c>
      <c r="AM169">
        <f t="shared" si="29"/>
        <v>137</v>
      </c>
      <c r="AN169">
        <v>0.16</v>
      </c>
      <c r="AO169">
        <f t="shared" si="24"/>
        <v>0.74054054054054053</v>
      </c>
      <c r="AP169">
        <v>167</v>
      </c>
      <c r="AQ169" t="str">
        <f t="shared" si="25"/>
        <v>NA</v>
      </c>
      <c r="AR169" t="str">
        <f t="shared" si="33"/>
        <v>NA</v>
      </c>
      <c r="AS169" t="str">
        <f t="shared" si="32"/>
        <v>NA</v>
      </c>
      <c r="AU169" t="s">
        <v>303</v>
      </c>
      <c r="AX169" s="13">
        <v>1</v>
      </c>
      <c r="AY169">
        <v>88</v>
      </c>
      <c r="AZ169" t="s">
        <v>112</v>
      </c>
      <c r="BA169" t="s">
        <v>5</v>
      </c>
    </row>
    <row r="170" spans="1:53" x14ac:dyDescent="0.35">
      <c r="A170" t="s">
        <v>112</v>
      </c>
      <c r="B170">
        <v>1</v>
      </c>
      <c r="C170" t="s">
        <v>0</v>
      </c>
      <c r="D170" t="s">
        <v>4</v>
      </c>
      <c r="E170" t="s">
        <v>3</v>
      </c>
      <c r="F170" s="1">
        <v>0.48</v>
      </c>
      <c r="G170" t="s">
        <v>90</v>
      </c>
      <c r="H170">
        <v>11</v>
      </c>
      <c r="I170">
        <v>3</v>
      </c>
      <c r="J170">
        <v>6</v>
      </c>
      <c r="K170">
        <v>39</v>
      </c>
      <c r="L170">
        <v>12</v>
      </c>
      <c r="M170">
        <f t="shared" si="30"/>
        <v>51</v>
      </c>
      <c r="N170">
        <v>52.5</v>
      </c>
      <c r="O170">
        <v>1.9</v>
      </c>
      <c r="P170">
        <v>0.16</v>
      </c>
      <c r="Q170">
        <f t="shared" si="26"/>
        <v>1.0139969620538236E-2</v>
      </c>
      <c r="R170" s="6">
        <v>92.5</v>
      </c>
      <c r="S170">
        <v>0.75</v>
      </c>
      <c r="T170">
        <f t="shared" si="27"/>
        <v>0.875</v>
      </c>
      <c r="U170">
        <v>1</v>
      </c>
      <c r="V170">
        <v>1.3</v>
      </c>
      <c r="W170">
        <f t="shared" si="31"/>
        <v>1.9500000000000002</v>
      </c>
      <c r="X170">
        <f t="shared" si="28"/>
        <v>3.9000000000000004</v>
      </c>
      <c r="Y170">
        <v>0.65</v>
      </c>
      <c r="Z170">
        <v>17</v>
      </c>
      <c r="AA170">
        <v>17.7</v>
      </c>
      <c r="AB170">
        <v>60</v>
      </c>
      <c r="AC170">
        <v>1449.2500344196883</v>
      </c>
      <c r="AD170" t="s">
        <v>515</v>
      </c>
      <c r="AE170">
        <v>1292</v>
      </c>
      <c r="AF170">
        <v>1292</v>
      </c>
      <c r="AG170">
        <v>1008</v>
      </c>
      <c r="AH170" t="s">
        <v>21</v>
      </c>
      <c r="AI170">
        <f>4.5/1388</f>
        <v>3.2420749279538905E-3</v>
      </c>
      <c r="AJ170">
        <v>1</v>
      </c>
      <c r="AK170">
        <v>14</v>
      </c>
      <c r="AL170">
        <v>151</v>
      </c>
      <c r="AM170">
        <f t="shared" si="29"/>
        <v>137</v>
      </c>
      <c r="AN170">
        <v>0.16</v>
      </c>
      <c r="AO170">
        <f t="shared" si="24"/>
        <v>0.74054054054054053</v>
      </c>
      <c r="AP170">
        <v>168</v>
      </c>
      <c r="AQ170">
        <f t="shared" si="25"/>
        <v>47.731988472622476</v>
      </c>
      <c r="AR170">
        <f t="shared" si="33"/>
        <v>3.2680115273775217</v>
      </c>
      <c r="AS170">
        <f t="shared" si="32"/>
        <v>0.72766570605187331</v>
      </c>
      <c r="AU170" t="s">
        <v>303</v>
      </c>
      <c r="AX170" s="13">
        <v>1</v>
      </c>
      <c r="AY170">
        <v>88</v>
      </c>
      <c r="AZ170" t="s">
        <v>112</v>
      </c>
      <c r="BA170" t="s">
        <v>0</v>
      </c>
    </row>
    <row r="171" spans="1:53" x14ac:dyDescent="0.35">
      <c r="A171" t="s">
        <v>111</v>
      </c>
      <c r="B171">
        <v>1</v>
      </c>
      <c r="C171" t="s">
        <v>5</v>
      </c>
      <c r="D171" t="s">
        <v>4</v>
      </c>
      <c r="E171" t="s">
        <v>3</v>
      </c>
      <c r="F171" s="1">
        <v>0.46</v>
      </c>
      <c r="G171" t="s">
        <v>107</v>
      </c>
      <c r="H171">
        <v>9</v>
      </c>
      <c r="I171">
        <v>9</v>
      </c>
      <c r="J171">
        <v>18</v>
      </c>
      <c r="K171">
        <v>37</v>
      </c>
      <c r="L171">
        <v>10</v>
      </c>
      <c r="M171">
        <f t="shared" si="30"/>
        <v>47</v>
      </c>
      <c r="N171">
        <v>50</v>
      </c>
      <c r="O171">
        <v>3.65</v>
      </c>
      <c r="P171">
        <v>0.16</v>
      </c>
      <c r="Q171">
        <f t="shared" si="26"/>
        <v>1.2524469681160486E-2</v>
      </c>
      <c r="R171" s="6">
        <v>101.7713699</v>
      </c>
      <c r="S171">
        <v>0.8</v>
      </c>
      <c r="T171">
        <f t="shared" si="27"/>
        <v>0.82499999999999996</v>
      </c>
      <c r="U171">
        <v>0.85</v>
      </c>
      <c r="V171">
        <v>1.1000000000000001</v>
      </c>
      <c r="W171">
        <f t="shared" si="31"/>
        <v>1.6500000000000001</v>
      </c>
      <c r="X171">
        <f t="shared" si="28"/>
        <v>3.3000000000000003</v>
      </c>
      <c r="Y171">
        <v>0.65</v>
      </c>
      <c r="Z171">
        <v>17</v>
      </c>
      <c r="AA171">
        <v>17.7</v>
      </c>
      <c r="AB171">
        <v>47</v>
      </c>
      <c r="AC171">
        <f>Z171/AH171</f>
        <v>1409.8666448607294</v>
      </c>
      <c r="AD171" t="s">
        <v>516</v>
      </c>
      <c r="AE171">
        <v>1537</v>
      </c>
      <c r="AF171">
        <v>1812</v>
      </c>
      <c r="AG171">
        <v>455</v>
      </c>
      <c r="AH171">
        <v>1.2057877999999999E-2</v>
      </c>
      <c r="AI171" t="s">
        <v>21</v>
      </c>
      <c r="AJ171">
        <v>1</v>
      </c>
      <c r="AK171">
        <v>19</v>
      </c>
      <c r="AL171">
        <v>155</v>
      </c>
      <c r="AM171">
        <f t="shared" si="29"/>
        <v>136</v>
      </c>
      <c r="AN171">
        <v>0.16</v>
      </c>
      <c r="AO171">
        <f t="shared" si="24"/>
        <v>0.6681643380335397</v>
      </c>
      <c r="AP171">
        <v>169</v>
      </c>
      <c r="AQ171" t="str">
        <f t="shared" si="25"/>
        <v>NA</v>
      </c>
      <c r="AR171" t="str">
        <f t="shared" si="33"/>
        <v>NA</v>
      </c>
      <c r="AS171" t="str">
        <f t="shared" si="32"/>
        <v>NA</v>
      </c>
      <c r="AU171" t="s">
        <v>303</v>
      </c>
      <c r="AX171" s="13">
        <v>1</v>
      </c>
      <c r="AY171">
        <v>89</v>
      </c>
      <c r="AZ171" t="s">
        <v>111</v>
      </c>
      <c r="BA171" t="s">
        <v>5</v>
      </c>
    </row>
    <row r="172" spans="1:53" x14ac:dyDescent="0.35">
      <c r="A172" t="s">
        <v>111</v>
      </c>
      <c r="B172">
        <v>1</v>
      </c>
      <c r="C172" t="s">
        <v>0</v>
      </c>
      <c r="D172" t="s">
        <v>4</v>
      </c>
      <c r="E172" t="s">
        <v>3</v>
      </c>
      <c r="F172" s="1">
        <v>0.46</v>
      </c>
      <c r="G172" t="s">
        <v>107</v>
      </c>
      <c r="H172">
        <v>9</v>
      </c>
      <c r="I172">
        <v>9</v>
      </c>
      <c r="J172">
        <v>18</v>
      </c>
      <c r="K172">
        <v>37</v>
      </c>
      <c r="L172">
        <v>10</v>
      </c>
      <c r="M172">
        <f t="shared" si="30"/>
        <v>47</v>
      </c>
      <c r="N172">
        <v>50</v>
      </c>
      <c r="O172">
        <v>3.65</v>
      </c>
      <c r="P172">
        <v>0.16</v>
      </c>
      <c r="Q172">
        <f t="shared" si="26"/>
        <v>1.2524469681160486E-2</v>
      </c>
      <c r="R172" s="6">
        <v>101.7713699</v>
      </c>
      <c r="S172">
        <v>0.8</v>
      </c>
      <c r="T172">
        <f t="shared" si="27"/>
        <v>0.82499999999999996</v>
      </c>
      <c r="U172">
        <v>0.85</v>
      </c>
      <c r="V172">
        <v>1.1000000000000001</v>
      </c>
      <c r="W172">
        <f t="shared" si="31"/>
        <v>1.6500000000000001</v>
      </c>
      <c r="X172">
        <f t="shared" si="28"/>
        <v>3.3000000000000003</v>
      </c>
      <c r="Y172">
        <v>0.65</v>
      </c>
      <c r="Z172">
        <v>17</v>
      </c>
      <c r="AA172">
        <v>17.7</v>
      </c>
      <c r="AB172">
        <v>47</v>
      </c>
      <c r="AC172">
        <v>1409.8666448607294</v>
      </c>
      <c r="AD172" t="s">
        <v>517</v>
      </c>
      <c r="AE172">
        <v>1537</v>
      </c>
      <c r="AF172">
        <v>1812</v>
      </c>
      <c r="AG172">
        <v>455</v>
      </c>
      <c r="AH172" t="s">
        <v>21</v>
      </c>
      <c r="AI172">
        <f>10.5/3149</f>
        <v>3.3343918704350586E-3</v>
      </c>
      <c r="AJ172">
        <v>1</v>
      </c>
      <c r="AK172">
        <v>18</v>
      </c>
      <c r="AL172">
        <v>154</v>
      </c>
      <c r="AM172">
        <f t="shared" si="29"/>
        <v>136</v>
      </c>
      <c r="AN172">
        <v>0.16</v>
      </c>
      <c r="AO172">
        <f t="shared" si="24"/>
        <v>0.6681643380335397</v>
      </c>
      <c r="AP172">
        <v>170</v>
      </c>
      <c r="AQ172">
        <f t="shared" si="25"/>
        <v>45.482851698952047</v>
      </c>
      <c r="AR172">
        <f t="shared" si="33"/>
        <v>1.5171483010479516</v>
      </c>
      <c r="AS172">
        <f t="shared" si="32"/>
        <v>0.84828516989520486</v>
      </c>
      <c r="AU172" t="s">
        <v>303</v>
      </c>
      <c r="AX172" s="13">
        <v>1</v>
      </c>
      <c r="AY172">
        <v>89</v>
      </c>
      <c r="AZ172" t="s">
        <v>111</v>
      </c>
      <c r="BA172" t="s">
        <v>0</v>
      </c>
    </row>
    <row r="173" spans="1:53" x14ac:dyDescent="0.35">
      <c r="A173" t="s">
        <v>110</v>
      </c>
      <c r="B173">
        <v>2</v>
      </c>
      <c r="C173" t="s">
        <v>5</v>
      </c>
      <c r="D173" t="s">
        <v>4</v>
      </c>
      <c r="E173" t="s">
        <v>3</v>
      </c>
      <c r="F173" s="1">
        <v>0.48</v>
      </c>
      <c r="G173" t="s">
        <v>90</v>
      </c>
      <c r="H173">
        <v>10</v>
      </c>
      <c r="I173">
        <v>4</v>
      </c>
      <c r="J173">
        <v>10</v>
      </c>
      <c r="K173">
        <v>31</v>
      </c>
      <c r="L173">
        <v>7</v>
      </c>
      <c r="M173">
        <f t="shared" si="30"/>
        <v>38</v>
      </c>
      <c r="N173">
        <v>47</v>
      </c>
      <c r="O173">
        <v>2.2999999999999998</v>
      </c>
      <c r="P173">
        <v>0.16</v>
      </c>
      <c r="Q173">
        <f t="shared" si="26"/>
        <v>1.1643958255713988E-2</v>
      </c>
      <c r="R173" s="6">
        <v>80</v>
      </c>
      <c r="S173">
        <v>0.76</v>
      </c>
      <c r="T173">
        <f t="shared" si="27"/>
        <v>0.90500000000000003</v>
      </c>
      <c r="U173">
        <v>1.05</v>
      </c>
      <c r="V173">
        <v>1</v>
      </c>
      <c r="W173">
        <f t="shared" si="31"/>
        <v>1.5</v>
      </c>
      <c r="X173">
        <f t="shared" si="28"/>
        <v>3</v>
      </c>
      <c r="Y173">
        <v>1.1000000000000001</v>
      </c>
      <c r="Z173">
        <v>19.899999999999999</v>
      </c>
      <c r="AA173">
        <v>19.600000000000001</v>
      </c>
      <c r="AB173">
        <v>87</v>
      </c>
      <c r="AC173">
        <f>Z173/AH173</f>
        <v>2746.1999285988018</v>
      </c>
      <c r="AF173">
        <v>2325</v>
      </c>
      <c r="AG173">
        <v>200</v>
      </c>
      <c r="AH173">
        <v>7.246377E-3</v>
      </c>
      <c r="AI173" t="s">
        <v>21</v>
      </c>
      <c r="AJ173">
        <v>1</v>
      </c>
      <c r="AK173">
        <v>7</v>
      </c>
      <c r="AL173">
        <v>133</v>
      </c>
      <c r="AM173">
        <f t="shared" si="29"/>
        <v>126</v>
      </c>
      <c r="AN173">
        <v>0.16</v>
      </c>
      <c r="AO173">
        <f t="shared" si="24"/>
        <v>0.78749999999999998</v>
      </c>
      <c r="AP173">
        <v>171</v>
      </c>
      <c r="AQ173" t="str">
        <f t="shared" si="25"/>
        <v>NA</v>
      </c>
      <c r="AR173" t="str">
        <f t="shared" si="33"/>
        <v>NA</v>
      </c>
      <c r="AS173" t="str">
        <f t="shared" si="32"/>
        <v>NA</v>
      </c>
      <c r="AU173" t="s">
        <v>109</v>
      </c>
      <c r="AV173" t="s">
        <v>21</v>
      </c>
      <c r="AX173" s="14">
        <v>1</v>
      </c>
      <c r="AY173">
        <v>90</v>
      </c>
      <c r="AZ173" t="s">
        <v>110</v>
      </c>
      <c r="BA173" t="s">
        <v>5</v>
      </c>
    </row>
    <row r="174" spans="1:53" x14ac:dyDescent="0.35">
      <c r="A174" t="s">
        <v>108</v>
      </c>
      <c r="B174">
        <v>2</v>
      </c>
      <c r="C174" t="s">
        <v>5</v>
      </c>
      <c r="D174" t="s">
        <v>4</v>
      </c>
      <c r="E174" t="s">
        <v>3</v>
      </c>
      <c r="F174" s="1">
        <v>0.46</v>
      </c>
      <c r="G174" t="s">
        <v>107</v>
      </c>
      <c r="H174">
        <v>9</v>
      </c>
      <c r="I174">
        <v>9</v>
      </c>
      <c r="J174">
        <v>19</v>
      </c>
      <c r="K174">
        <v>48</v>
      </c>
      <c r="L174">
        <v>10</v>
      </c>
      <c r="M174">
        <f t="shared" si="30"/>
        <v>58</v>
      </c>
      <c r="N174">
        <v>65</v>
      </c>
      <c r="O174">
        <v>4.83</v>
      </c>
      <c r="P174">
        <v>0.17</v>
      </c>
      <c r="Q174">
        <f t="shared" si="26"/>
        <v>1.0731236779832964E-2</v>
      </c>
      <c r="R174" s="6">
        <v>95.5</v>
      </c>
      <c r="S174">
        <v>0.88700000000000001</v>
      </c>
      <c r="T174">
        <f t="shared" si="27"/>
        <v>0.97850000000000004</v>
      </c>
      <c r="U174">
        <v>1.07</v>
      </c>
      <c r="V174">
        <v>1.07</v>
      </c>
      <c r="W174">
        <f t="shared" si="31"/>
        <v>1.605</v>
      </c>
      <c r="X174">
        <f t="shared" si="28"/>
        <v>3.21</v>
      </c>
      <c r="Y174">
        <v>1.1000000000000001</v>
      </c>
      <c r="Z174">
        <v>19.899999999999999</v>
      </c>
      <c r="AA174">
        <v>19.600000000000001</v>
      </c>
      <c r="AB174">
        <v>73</v>
      </c>
      <c r="AC174">
        <f>Z174/AH174</f>
        <v>2407.8999446183011</v>
      </c>
      <c r="AD174" t="s">
        <v>518</v>
      </c>
      <c r="AE174">
        <v>2542</v>
      </c>
      <c r="AF174">
        <v>2004</v>
      </c>
      <c r="AG174">
        <v>10</v>
      </c>
      <c r="AH174">
        <v>8.2644629999999997E-3</v>
      </c>
      <c r="AI174" t="s">
        <v>21</v>
      </c>
      <c r="AJ174">
        <v>0</v>
      </c>
      <c r="AK174">
        <v>7</v>
      </c>
      <c r="AL174">
        <v>10</v>
      </c>
      <c r="AM174">
        <f t="shared" si="29"/>
        <v>3</v>
      </c>
      <c r="AN174">
        <v>0.17</v>
      </c>
      <c r="AO174">
        <f t="shared" si="24"/>
        <v>1.5706806282722512E-2</v>
      </c>
      <c r="AP174">
        <v>172</v>
      </c>
      <c r="AQ174" t="str">
        <f t="shared" si="25"/>
        <v>NA</v>
      </c>
      <c r="AR174" t="str">
        <f t="shared" si="33"/>
        <v>NA</v>
      </c>
      <c r="AS174" t="str">
        <f t="shared" si="32"/>
        <v>NA</v>
      </c>
      <c r="AU174" t="s">
        <v>303</v>
      </c>
      <c r="AX174" s="12">
        <v>0</v>
      </c>
      <c r="AY174">
        <v>91</v>
      </c>
      <c r="AZ174" t="s">
        <v>108</v>
      </c>
      <c r="BA174" t="s">
        <v>5</v>
      </c>
    </row>
    <row r="175" spans="1:53" x14ac:dyDescent="0.35">
      <c r="A175" t="s">
        <v>108</v>
      </c>
      <c r="B175">
        <v>2</v>
      </c>
      <c r="C175" t="s">
        <v>0</v>
      </c>
      <c r="D175" t="s">
        <v>4</v>
      </c>
      <c r="E175" t="s">
        <v>3</v>
      </c>
      <c r="F175" s="1">
        <v>0.46</v>
      </c>
      <c r="G175" t="s">
        <v>107</v>
      </c>
      <c r="H175">
        <v>9</v>
      </c>
      <c r="I175">
        <v>9</v>
      </c>
      <c r="J175">
        <v>19</v>
      </c>
      <c r="K175">
        <v>48</v>
      </c>
      <c r="L175">
        <v>10</v>
      </c>
      <c r="M175">
        <f t="shared" si="30"/>
        <v>58</v>
      </c>
      <c r="N175">
        <v>65</v>
      </c>
      <c r="O175">
        <v>4.83</v>
      </c>
      <c r="P175">
        <v>0.17</v>
      </c>
      <c r="Q175">
        <f t="shared" si="26"/>
        <v>1.0731236779832964E-2</v>
      </c>
      <c r="R175" s="6">
        <v>95.5</v>
      </c>
      <c r="S175">
        <v>0.88700000000000001</v>
      </c>
      <c r="T175">
        <f t="shared" si="27"/>
        <v>0.97850000000000004</v>
      </c>
      <c r="U175">
        <v>1.07</v>
      </c>
      <c r="V175">
        <v>1.07</v>
      </c>
      <c r="W175">
        <f t="shared" si="31"/>
        <v>1.605</v>
      </c>
      <c r="X175">
        <f t="shared" si="28"/>
        <v>3.21</v>
      </c>
      <c r="Y175">
        <v>1.1000000000000001</v>
      </c>
      <c r="Z175">
        <v>19.899999999999999</v>
      </c>
      <c r="AA175">
        <v>19.600000000000001</v>
      </c>
      <c r="AB175">
        <v>73</v>
      </c>
      <c r="AC175">
        <v>2407.8999446183011</v>
      </c>
      <c r="AD175" t="s">
        <v>519</v>
      </c>
      <c r="AE175">
        <v>2542</v>
      </c>
      <c r="AF175">
        <v>2004</v>
      </c>
      <c r="AG175">
        <v>10</v>
      </c>
      <c r="AH175" t="s">
        <v>21</v>
      </c>
      <c r="AI175">
        <f>4.5/2240</f>
        <v>2.0089285714285712E-3</v>
      </c>
      <c r="AJ175">
        <v>0</v>
      </c>
      <c r="AK175">
        <v>7</v>
      </c>
      <c r="AL175">
        <v>10</v>
      </c>
      <c r="AM175">
        <f t="shared" si="29"/>
        <v>3</v>
      </c>
      <c r="AN175">
        <v>0.17</v>
      </c>
      <c r="AO175">
        <f t="shared" si="24"/>
        <v>1.5706806282722512E-2</v>
      </c>
      <c r="AP175">
        <v>173</v>
      </c>
      <c r="AQ175">
        <f t="shared" si="25"/>
        <v>57.979910714285715</v>
      </c>
      <c r="AR175">
        <f t="shared" si="33"/>
        <v>2.0089285714285712E-2</v>
      </c>
      <c r="AS175">
        <f t="shared" si="32"/>
        <v>0.99799107142857135</v>
      </c>
      <c r="AU175" t="s">
        <v>303</v>
      </c>
      <c r="AX175" s="12">
        <v>0</v>
      </c>
      <c r="AY175">
        <v>91</v>
      </c>
      <c r="AZ175" t="s">
        <v>108</v>
      </c>
      <c r="BA175" t="s">
        <v>0</v>
      </c>
    </row>
    <row r="176" spans="1:53" x14ac:dyDescent="0.35">
      <c r="A176" t="s">
        <v>106</v>
      </c>
      <c r="B176">
        <v>2</v>
      </c>
      <c r="C176" t="s">
        <v>5</v>
      </c>
      <c r="D176" t="s">
        <v>4</v>
      </c>
      <c r="E176" t="s">
        <v>3</v>
      </c>
      <c r="F176" s="1">
        <v>0.46</v>
      </c>
      <c r="G176" t="s">
        <v>107</v>
      </c>
      <c r="H176">
        <v>9</v>
      </c>
      <c r="I176">
        <v>9</v>
      </c>
      <c r="J176">
        <v>19</v>
      </c>
      <c r="K176">
        <v>48</v>
      </c>
      <c r="L176">
        <v>10</v>
      </c>
      <c r="M176">
        <f t="shared" si="30"/>
        <v>58</v>
      </c>
      <c r="N176">
        <v>65</v>
      </c>
      <c r="O176">
        <v>4.83</v>
      </c>
      <c r="P176">
        <v>0.17</v>
      </c>
      <c r="Q176">
        <f t="shared" si="26"/>
        <v>1.0731236779832964E-2</v>
      </c>
      <c r="R176" s="6">
        <v>95.5</v>
      </c>
      <c r="S176">
        <v>0.88700000000000001</v>
      </c>
      <c r="T176">
        <f t="shared" si="27"/>
        <v>0.97850000000000004</v>
      </c>
      <c r="U176">
        <v>1.07</v>
      </c>
      <c r="V176">
        <v>1.07</v>
      </c>
      <c r="W176">
        <f t="shared" si="31"/>
        <v>1.605</v>
      </c>
      <c r="X176">
        <f t="shared" si="28"/>
        <v>3.21</v>
      </c>
      <c r="Y176">
        <v>1.1000000000000001</v>
      </c>
      <c r="Z176">
        <v>19.899999999999999</v>
      </c>
      <c r="AA176">
        <v>19.600000000000001</v>
      </c>
      <c r="AB176">
        <v>73</v>
      </c>
      <c r="AC176">
        <f>Z176/AH176</f>
        <v>2407.8999446183011</v>
      </c>
      <c r="AD176" t="s">
        <v>520</v>
      </c>
      <c r="AE176">
        <v>2542</v>
      </c>
      <c r="AF176">
        <v>2004</v>
      </c>
      <c r="AG176">
        <v>2417</v>
      </c>
      <c r="AH176">
        <v>8.2644629999999997E-3</v>
      </c>
      <c r="AI176" t="s">
        <v>21</v>
      </c>
      <c r="AJ176">
        <v>1</v>
      </c>
      <c r="AK176">
        <v>11</v>
      </c>
      <c r="AL176">
        <v>130</v>
      </c>
      <c r="AM176">
        <f t="shared" si="29"/>
        <v>119</v>
      </c>
      <c r="AN176">
        <v>0.17</v>
      </c>
      <c r="AO176">
        <f t="shared" si="24"/>
        <v>0.62303664921465973</v>
      </c>
      <c r="AP176">
        <v>174</v>
      </c>
      <c r="AQ176" t="str">
        <f t="shared" si="25"/>
        <v>NA</v>
      </c>
      <c r="AR176" t="str">
        <f t="shared" si="33"/>
        <v>NA</v>
      </c>
      <c r="AS176" t="str">
        <f t="shared" si="32"/>
        <v>NA</v>
      </c>
      <c r="AU176" t="s">
        <v>303</v>
      </c>
      <c r="AX176" s="13">
        <v>1</v>
      </c>
      <c r="AY176">
        <v>92</v>
      </c>
      <c r="AZ176" t="s">
        <v>106</v>
      </c>
      <c r="BA176" t="s">
        <v>5</v>
      </c>
    </row>
    <row r="177" spans="1:53" x14ac:dyDescent="0.35">
      <c r="A177" t="s">
        <v>106</v>
      </c>
      <c r="B177">
        <v>2</v>
      </c>
      <c r="C177" t="s">
        <v>0</v>
      </c>
      <c r="D177" t="s">
        <v>4</v>
      </c>
      <c r="E177" t="s">
        <v>3</v>
      </c>
      <c r="F177" s="1">
        <v>0.46</v>
      </c>
      <c r="G177" t="s">
        <v>107</v>
      </c>
      <c r="H177">
        <v>9</v>
      </c>
      <c r="I177">
        <v>9</v>
      </c>
      <c r="J177">
        <v>19</v>
      </c>
      <c r="K177">
        <v>48</v>
      </c>
      <c r="L177">
        <v>10</v>
      </c>
      <c r="M177">
        <f t="shared" si="30"/>
        <v>58</v>
      </c>
      <c r="N177">
        <v>65</v>
      </c>
      <c r="O177">
        <v>4.83</v>
      </c>
      <c r="P177">
        <v>0.17</v>
      </c>
      <c r="Q177">
        <f t="shared" si="26"/>
        <v>1.0731236779832964E-2</v>
      </c>
      <c r="R177" s="6">
        <v>95.5</v>
      </c>
      <c r="S177">
        <v>0.88700000000000001</v>
      </c>
      <c r="T177">
        <f t="shared" si="27"/>
        <v>0.97850000000000004</v>
      </c>
      <c r="U177">
        <v>1.07</v>
      </c>
      <c r="V177">
        <v>1.07</v>
      </c>
      <c r="W177">
        <f t="shared" si="31"/>
        <v>1.605</v>
      </c>
      <c r="X177">
        <f t="shared" si="28"/>
        <v>3.21</v>
      </c>
      <c r="Y177">
        <v>1.1000000000000001</v>
      </c>
      <c r="Z177">
        <v>19.899999999999999</v>
      </c>
      <c r="AA177">
        <v>19.600000000000001</v>
      </c>
      <c r="AB177">
        <v>73</v>
      </c>
      <c r="AC177">
        <v>2407.8999446183011</v>
      </c>
      <c r="AD177" t="s">
        <v>521</v>
      </c>
      <c r="AE177">
        <v>2542</v>
      </c>
      <c r="AF177">
        <v>2004</v>
      </c>
      <c r="AG177">
        <v>2417</v>
      </c>
      <c r="AH177" t="s">
        <v>21</v>
      </c>
      <c r="AI177">
        <f>4.5/2240</f>
        <v>2.0089285714285712E-3</v>
      </c>
      <c r="AJ177">
        <v>1</v>
      </c>
      <c r="AK177">
        <v>8</v>
      </c>
      <c r="AL177">
        <v>127</v>
      </c>
      <c r="AM177">
        <f t="shared" si="29"/>
        <v>119</v>
      </c>
      <c r="AN177">
        <v>0.17</v>
      </c>
      <c r="AO177">
        <f t="shared" si="24"/>
        <v>0.62303664921465973</v>
      </c>
      <c r="AP177">
        <v>175</v>
      </c>
      <c r="AQ177">
        <f t="shared" si="25"/>
        <v>53.144419642857144</v>
      </c>
      <c r="AR177">
        <f t="shared" si="33"/>
        <v>4.8555803571428564</v>
      </c>
      <c r="AS177">
        <f t="shared" si="32"/>
        <v>0.51444196428571431</v>
      </c>
      <c r="AU177" t="s">
        <v>303</v>
      </c>
      <c r="AX177" s="13">
        <v>1</v>
      </c>
      <c r="AY177">
        <v>92</v>
      </c>
      <c r="AZ177" t="s">
        <v>106</v>
      </c>
      <c r="BA177" t="s">
        <v>0</v>
      </c>
    </row>
    <row r="178" spans="1:53" x14ac:dyDescent="0.35">
      <c r="A178" t="s">
        <v>105</v>
      </c>
      <c r="B178">
        <v>1</v>
      </c>
      <c r="C178" t="s">
        <v>5</v>
      </c>
      <c r="D178" t="s">
        <v>4</v>
      </c>
      <c r="E178" t="s">
        <v>3</v>
      </c>
      <c r="F178" s="1">
        <v>0.48</v>
      </c>
      <c r="G178" t="s">
        <v>90</v>
      </c>
      <c r="H178">
        <v>11</v>
      </c>
      <c r="I178">
        <v>3</v>
      </c>
      <c r="J178">
        <v>10</v>
      </c>
      <c r="K178">
        <v>40</v>
      </c>
      <c r="L178">
        <v>10</v>
      </c>
      <c r="M178">
        <f t="shared" si="30"/>
        <v>50</v>
      </c>
      <c r="N178">
        <v>45</v>
      </c>
      <c r="O178">
        <v>2.17</v>
      </c>
      <c r="P178">
        <v>0.15</v>
      </c>
      <c r="Q178">
        <f t="shared" si="26"/>
        <v>1.1522529816607808E-2</v>
      </c>
      <c r="R178" s="6">
        <v>85.5</v>
      </c>
      <c r="S178">
        <v>0.7</v>
      </c>
      <c r="T178">
        <f t="shared" si="27"/>
        <v>0.85</v>
      </c>
      <c r="U178">
        <v>1</v>
      </c>
      <c r="V178">
        <v>1.05</v>
      </c>
      <c r="W178">
        <f t="shared" si="31"/>
        <v>1.5750000000000002</v>
      </c>
      <c r="X178">
        <f t="shared" si="28"/>
        <v>3.1500000000000004</v>
      </c>
      <c r="Y178">
        <v>0.65</v>
      </c>
      <c r="Z178">
        <v>17</v>
      </c>
      <c r="AA178">
        <v>17.7</v>
      </c>
      <c r="AB178">
        <v>50</v>
      </c>
      <c r="AC178">
        <f>Z178/AH178</f>
        <v>1501.666629125001</v>
      </c>
      <c r="AD178" t="s">
        <v>522</v>
      </c>
      <c r="AE178">
        <v>1866</v>
      </c>
      <c r="AF178">
        <v>1870</v>
      </c>
      <c r="AG178">
        <v>276</v>
      </c>
      <c r="AH178">
        <v>1.1320755E-2</v>
      </c>
      <c r="AI178" t="s">
        <v>21</v>
      </c>
      <c r="AJ178">
        <v>1</v>
      </c>
      <c r="AK178">
        <v>4</v>
      </c>
      <c r="AL178">
        <v>166</v>
      </c>
      <c r="AM178">
        <f t="shared" si="29"/>
        <v>162</v>
      </c>
      <c r="AN178">
        <v>0.15</v>
      </c>
      <c r="AO178">
        <f t="shared" si="24"/>
        <v>0.94736842105263153</v>
      </c>
      <c r="AP178">
        <v>176</v>
      </c>
      <c r="AQ178" t="str">
        <f t="shared" si="25"/>
        <v>NA</v>
      </c>
      <c r="AR178" t="str">
        <f t="shared" si="33"/>
        <v>NA</v>
      </c>
      <c r="AS178" t="str">
        <f t="shared" si="32"/>
        <v>NA</v>
      </c>
      <c r="AU178" t="s">
        <v>303</v>
      </c>
      <c r="AX178" s="13">
        <v>1</v>
      </c>
      <c r="AY178">
        <v>93</v>
      </c>
      <c r="AZ178" t="s">
        <v>105</v>
      </c>
      <c r="BA178" t="s">
        <v>5</v>
      </c>
    </row>
    <row r="179" spans="1:53" x14ac:dyDescent="0.35">
      <c r="A179" t="s">
        <v>105</v>
      </c>
      <c r="B179">
        <v>1</v>
      </c>
      <c r="C179" t="s">
        <v>0</v>
      </c>
      <c r="D179" t="s">
        <v>4</v>
      </c>
      <c r="E179" t="s">
        <v>3</v>
      </c>
      <c r="F179" s="1">
        <v>0.48</v>
      </c>
      <c r="G179" t="s">
        <v>90</v>
      </c>
      <c r="H179">
        <v>11</v>
      </c>
      <c r="I179">
        <v>3</v>
      </c>
      <c r="J179">
        <v>10</v>
      </c>
      <c r="K179">
        <v>40</v>
      </c>
      <c r="L179">
        <v>10</v>
      </c>
      <c r="M179">
        <f t="shared" si="30"/>
        <v>50</v>
      </c>
      <c r="N179">
        <v>45</v>
      </c>
      <c r="O179">
        <v>2.17</v>
      </c>
      <c r="P179">
        <v>0.15</v>
      </c>
      <c r="Q179">
        <f t="shared" si="26"/>
        <v>1.1522529816607808E-2</v>
      </c>
      <c r="R179" s="6">
        <v>85.5</v>
      </c>
      <c r="S179">
        <v>0.7</v>
      </c>
      <c r="T179">
        <f t="shared" si="27"/>
        <v>0.85</v>
      </c>
      <c r="U179">
        <v>1</v>
      </c>
      <c r="V179">
        <v>1.05</v>
      </c>
      <c r="W179">
        <f t="shared" si="31"/>
        <v>1.5750000000000002</v>
      </c>
      <c r="X179">
        <f t="shared" si="28"/>
        <v>3.1500000000000004</v>
      </c>
      <c r="Y179">
        <v>0.65</v>
      </c>
      <c r="Z179">
        <v>17</v>
      </c>
      <c r="AA179">
        <v>17.7</v>
      </c>
      <c r="AB179">
        <v>50</v>
      </c>
      <c r="AC179">
        <v>1501.666629125001</v>
      </c>
      <c r="AD179" t="s">
        <v>523</v>
      </c>
      <c r="AE179">
        <v>1866</v>
      </c>
      <c r="AF179">
        <v>1870</v>
      </c>
      <c r="AG179">
        <v>276</v>
      </c>
      <c r="AH179" t="s">
        <v>21</v>
      </c>
      <c r="AI179">
        <f>5.5/1696</f>
        <v>3.2429245283018869E-3</v>
      </c>
      <c r="AJ179">
        <v>1</v>
      </c>
      <c r="AK179">
        <v>4</v>
      </c>
      <c r="AL179">
        <v>166</v>
      </c>
      <c r="AM179">
        <f t="shared" si="29"/>
        <v>162</v>
      </c>
      <c r="AN179">
        <v>0.15</v>
      </c>
      <c r="AO179">
        <f t="shared" si="24"/>
        <v>0.94736842105263153</v>
      </c>
      <c r="AP179">
        <v>177</v>
      </c>
      <c r="AQ179">
        <f t="shared" si="25"/>
        <v>49.10495283018868</v>
      </c>
      <c r="AR179">
        <f t="shared" si="33"/>
        <v>0.89504716981132082</v>
      </c>
      <c r="AS179">
        <f t="shared" si="32"/>
        <v>0.91049528301886795</v>
      </c>
      <c r="AU179" t="s">
        <v>303</v>
      </c>
      <c r="AX179" s="13">
        <v>1</v>
      </c>
      <c r="AY179">
        <v>93</v>
      </c>
      <c r="AZ179" t="s">
        <v>105</v>
      </c>
      <c r="BA179" t="s">
        <v>0</v>
      </c>
    </row>
    <row r="180" spans="1:53" x14ac:dyDescent="0.35">
      <c r="A180" t="s">
        <v>102</v>
      </c>
      <c r="B180">
        <v>1</v>
      </c>
      <c r="C180" t="s">
        <v>5</v>
      </c>
      <c r="D180" t="s">
        <v>4</v>
      </c>
      <c r="E180" t="s">
        <v>3</v>
      </c>
      <c r="F180" s="1">
        <v>0.47</v>
      </c>
      <c r="G180" t="s">
        <v>104</v>
      </c>
      <c r="H180">
        <v>4</v>
      </c>
      <c r="I180">
        <v>5</v>
      </c>
      <c r="J180">
        <v>22</v>
      </c>
      <c r="K180">
        <v>37</v>
      </c>
      <c r="L180">
        <v>15</v>
      </c>
      <c r="M180">
        <f t="shared" si="30"/>
        <v>52</v>
      </c>
      <c r="N180">
        <v>56</v>
      </c>
      <c r="O180">
        <v>3.54</v>
      </c>
      <c r="P180">
        <v>0.15</v>
      </c>
      <c r="Q180">
        <f t="shared" si="26"/>
        <v>1.0288804401900305E-2</v>
      </c>
      <c r="R180" s="6">
        <v>100</v>
      </c>
      <c r="S180">
        <v>0.9</v>
      </c>
      <c r="T180">
        <f t="shared" si="27"/>
        <v>0.95</v>
      </c>
      <c r="U180">
        <v>1</v>
      </c>
      <c r="V180">
        <v>1</v>
      </c>
      <c r="W180">
        <f t="shared" si="31"/>
        <v>1.5</v>
      </c>
      <c r="X180">
        <f t="shared" si="28"/>
        <v>3</v>
      </c>
      <c r="Y180">
        <v>0.65</v>
      </c>
      <c r="Z180">
        <v>17</v>
      </c>
      <c r="AA180">
        <v>17.7</v>
      </c>
      <c r="AB180">
        <v>48</v>
      </c>
      <c r="AC180">
        <f>Z180/AH180</f>
        <v>1507.3333986511141</v>
      </c>
      <c r="AD180" t="s">
        <v>524</v>
      </c>
      <c r="AE180">
        <v>1860</v>
      </c>
      <c r="AF180">
        <v>1863</v>
      </c>
      <c r="AG180">
        <v>960</v>
      </c>
      <c r="AH180">
        <v>1.1278195E-2</v>
      </c>
      <c r="AI180" t="s">
        <v>21</v>
      </c>
      <c r="AJ180">
        <v>1</v>
      </c>
      <c r="AK180">
        <v>3</v>
      </c>
      <c r="AL180">
        <v>130</v>
      </c>
      <c r="AM180">
        <f t="shared" si="29"/>
        <v>127</v>
      </c>
      <c r="AN180">
        <v>0.15</v>
      </c>
      <c r="AO180">
        <f t="shared" si="24"/>
        <v>0.63500000000000001</v>
      </c>
      <c r="AP180">
        <v>178</v>
      </c>
      <c r="AQ180" t="str">
        <f t="shared" si="25"/>
        <v>NA</v>
      </c>
      <c r="AR180" t="str">
        <f t="shared" si="33"/>
        <v>NA</v>
      </c>
      <c r="AS180" t="str">
        <f t="shared" si="32"/>
        <v>NA</v>
      </c>
      <c r="AU180" t="s">
        <v>303</v>
      </c>
      <c r="AX180" s="13">
        <v>1</v>
      </c>
      <c r="AY180">
        <v>92</v>
      </c>
      <c r="AZ180" t="s">
        <v>102</v>
      </c>
      <c r="BA180" t="s">
        <v>5</v>
      </c>
    </row>
    <row r="181" spans="1:53" x14ac:dyDescent="0.35">
      <c r="A181" t="s">
        <v>102</v>
      </c>
      <c r="B181">
        <v>1</v>
      </c>
      <c r="C181" t="s">
        <v>0</v>
      </c>
      <c r="D181" t="s">
        <v>4</v>
      </c>
      <c r="E181" t="s">
        <v>3</v>
      </c>
      <c r="F181" s="1">
        <v>0.47</v>
      </c>
      <c r="G181" t="s">
        <v>103</v>
      </c>
      <c r="H181">
        <v>4</v>
      </c>
      <c r="I181">
        <v>5</v>
      </c>
      <c r="J181">
        <v>22</v>
      </c>
      <c r="K181">
        <v>37</v>
      </c>
      <c r="L181">
        <v>15</v>
      </c>
      <c r="M181">
        <f t="shared" si="30"/>
        <v>52</v>
      </c>
      <c r="N181">
        <v>56</v>
      </c>
      <c r="O181">
        <v>3.54</v>
      </c>
      <c r="P181">
        <v>0.15</v>
      </c>
      <c r="Q181">
        <f t="shared" si="26"/>
        <v>1.0288804401900305E-2</v>
      </c>
      <c r="R181" s="6">
        <v>100</v>
      </c>
      <c r="S181">
        <v>0.9</v>
      </c>
      <c r="T181">
        <f t="shared" si="27"/>
        <v>0.95</v>
      </c>
      <c r="U181">
        <v>1</v>
      </c>
      <c r="V181">
        <v>1</v>
      </c>
      <c r="W181">
        <f t="shared" si="31"/>
        <v>1.5</v>
      </c>
      <c r="X181">
        <f t="shared" si="28"/>
        <v>3</v>
      </c>
      <c r="Y181">
        <v>0.65</v>
      </c>
      <c r="Z181">
        <v>17</v>
      </c>
      <c r="AA181">
        <v>17.7</v>
      </c>
      <c r="AB181">
        <v>48</v>
      </c>
      <c r="AC181">
        <v>1507.3333986511141</v>
      </c>
      <c r="AD181" t="s">
        <v>525</v>
      </c>
      <c r="AE181">
        <v>1860</v>
      </c>
      <c r="AF181">
        <v>1863</v>
      </c>
      <c r="AG181">
        <v>960</v>
      </c>
      <c r="AH181" t="s">
        <v>21</v>
      </c>
      <c r="AI181">
        <f>10.5/3141</f>
        <v>3.3428844317096467E-3</v>
      </c>
      <c r="AJ181">
        <v>1</v>
      </c>
      <c r="AK181">
        <v>3</v>
      </c>
      <c r="AL181">
        <v>130</v>
      </c>
      <c r="AM181">
        <f t="shared" si="29"/>
        <v>127</v>
      </c>
      <c r="AN181">
        <v>0.15</v>
      </c>
      <c r="AO181">
        <f t="shared" si="24"/>
        <v>0.63500000000000001</v>
      </c>
      <c r="AP181">
        <v>179</v>
      </c>
      <c r="AQ181">
        <f t="shared" si="25"/>
        <v>48.790830945558739</v>
      </c>
      <c r="AR181">
        <f t="shared" si="33"/>
        <v>3.209169054441261</v>
      </c>
      <c r="AS181">
        <f t="shared" si="32"/>
        <v>0.78605539637058253</v>
      </c>
      <c r="AU181" t="s">
        <v>303</v>
      </c>
      <c r="AX181" s="13">
        <v>1</v>
      </c>
      <c r="AY181">
        <v>94</v>
      </c>
      <c r="AZ181" t="s">
        <v>102</v>
      </c>
      <c r="BA181" t="s">
        <v>0</v>
      </c>
    </row>
    <row r="182" spans="1:53" x14ac:dyDescent="0.35">
      <c r="A182" t="s">
        <v>101</v>
      </c>
      <c r="B182">
        <v>1</v>
      </c>
      <c r="C182" t="s">
        <v>5</v>
      </c>
      <c r="D182" t="s">
        <v>4</v>
      </c>
      <c r="E182" t="s">
        <v>3</v>
      </c>
      <c r="F182" s="1">
        <v>0.48</v>
      </c>
      <c r="G182" t="s">
        <v>90</v>
      </c>
      <c r="H182">
        <v>6</v>
      </c>
      <c r="I182">
        <v>12</v>
      </c>
      <c r="J182">
        <v>12</v>
      </c>
      <c r="K182">
        <v>31</v>
      </c>
      <c r="L182">
        <v>9</v>
      </c>
      <c r="M182">
        <f t="shared" si="30"/>
        <v>40</v>
      </c>
      <c r="N182">
        <v>45</v>
      </c>
      <c r="O182">
        <v>2.97</v>
      </c>
      <c r="P182">
        <v>0.14000000000000001</v>
      </c>
      <c r="Q182">
        <f t="shared" si="26"/>
        <v>1.198212203795705E-2</v>
      </c>
      <c r="R182" s="6">
        <v>90</v>
      </c>
      <c r="S182">
        <v>0.68</v>
      </c>
      <c r="T182">
        <f t="shared" si="27"/>
        <v>0.80500000000000005</v>
      </c>
      <c r="U182">
        <v>0.93</v>
      </c>
      <c r="V182">
        <v>1</v>
      </c>
      <c r="W182">
        <f t="shared" si="31"/>
        <v>1.5</v>
      </c>
      <c r="X182">
        <f t="shared" si="28"/>
        <v>3</v>
      </c>
      <c r="Y182">
        <v>0.65</v>
      </c>
      <c r="Z182">
        <v>17</v>
      </c>
      <c r="AA182">
        <v>17.7</v>
      </c>
      <c r="AB182">
        <v>47</v>
      </c>
      <c r="AC182">
        <f>Z182/AH182</f>
        <v>1507.9999396800024</v>
      </c>
      <c r="AD182" t="s">
        <v>526</v>
      </c>
      <c r="AE182">
        <v>1855</v>
      </c>
      <c r="AF182">
        <v>1863</v>
      </c>
      <c r="AG182">
        <v>540</v>
      </c>
      <c r="AH182">
        <v>1.1273210000000001E-2</v>
      </c>
      <c r="AI182" t="s">
        <v>21</v>
      </c>
      <c r="AJ182">
        <v>1</v>
      </c>
      <c r="AK182">
        <v>73</v>
      </c>
      <c r="AL182">
        <v>388</v>
      </c>
      <c r="AM182">
        <f t="shared" si="29"/>
        <v>315</v>
      </c>
      <c r="AN182">
        <v>0.14000000000000001</v>
      </c>
      <c r="AO182">
        <f t="shared" si="24"/>
        <v>1.75</v>
      </c>
      <c r="AP182">
        <v>180</v>
      </c>
      <c r="AQ182" t="str">
        <f t="shared" si="25"/>
        <v>NA</v>
      </c>
      <c r="AR182" t="str">
        <f t="shared" si="33"/>
        <v>NA</v>
      </c>
      <c r="AS182" t="str">
        <f t="shared" si="32"/>
        <v>NA</v>
      </c>
      <c r="AU182" t="s">
        <v>303</v>
      </c>
      <c r="AV182" t="s">
        <v>432</v>
      </c>
      <c r="AW182" t="s">
        <v>312</v>
      </c>
      <c r="AX182" s="9" t="s">
        <v>451</v>
      </c>
      <c r="AY182">
        <v>95</v>
      </c>
      <c r="AZ182" t="s">
        <v>101</v>
      </c>
      <c r="BA182" t="s">
        <v>5</v>
      </c>
    </row>
    <row r="183" spans="1:53" x14ac:dyDescent="0.35">
      <c r="A183" t="s">
        <v>101</v>
      </c>
      <c r="B183">
        <v>1</v>
      </c>
      <c r="C183" t="s">
        <v>0</v>
      </c>
      <c r="D183" t="s">
        <v>4</v>
      </c>
      <c r="E183" t="s">
        <v>3</v>
      </c>
      <c r="F183" s="1">
        <v>1.48</v>
      </c>
      <c r="G183" t="s">
        <v>89</v>
      </c>
      <c r="H183">
        <v>6</v>
      </c>
      <c r="I183">
        <v>12</v>
      </c>
      <c r="J183">
        <v>12</v>
      </c>
      <c r="K183">
        <v>31</v>
      </c>
      <c r="L183">
        <v>9</v>
      </c>
      <c r="M183">
        <f t="shared" si="30"/>
        <v>40</v>
      </c>
      <c r="N183">
        <v>45</v>
      </c>
      <c r="O183">
        <v>2.97</v>
      </c>
      <c r="P183">
        <v>0.14000000000000001</v>
      </c>
      <c r="Q183">
        <f t="shared" si="26"/>
        <v>1.198212203795705E-2</v>
      </c>
      <c r="R183" s="6">
        <v>90</v>
      </c>
      <c r="S183">
        <v>0.68</v>
      </c>
      <c r="T183">
        <f t="shared" si="27"/>
        <v>0.80500000000000005</v>
      </c>
      <c r="U183">
        <v>0.93</v>
      </c>
      <c r="V183">
        <v>1</v>
      </c>
      <c r="W183">
        <f t="shared" si="31"/>
        <v>1.5</v>
      </c>
      <c r="X183">
        <f t="shared" si="28"/>
        <v>3</v>
      </c>
      <c r="Y183">
        <v>0.65</v>
      </c>
      <c r="Z183">
        <v>17</v>
      </c>
      <c r="AA183">
        <v>17.7</v>
      </c>
      <c r="AB183">
        <v>47</v>
      </c>
      <c r="AC183">
        <v>1507.9999396800024</v>
      </c>
      <c r="AD183" t="s">
        <v>527</v>
      </c>
      <c r="AE183">
        <v>1855</v>
      </c>
      <c r="AF183">
        <v>1863</v>
      </c>
      <c r="AG183">
        <v>540</v>
      </c>
      <c r="AH183" t="s">
        <v>21</v>
      </c>
      <c r="AI183">
        <f>6/1835</f>
        <v>3.2697547683923707E-3</v>
      </c>
      <c r="AJ183">
        <v>1</v>
      </c>
      <c r="AK183">
        <v>73</v>
      </c>
      <c r="AL183">
        <v>388</v>
      </c>
      <c r="AM183">
        <f t="shared" si="29"/>
        <v>315</v>
      </c>
      <c r="AN183">
        <v>0.14000000000000001</v>
      </c>
      <c r="AO183">
        <f t="shared" si="24"/>
        <v>1.75</v>
      </c>
      <c r="AP183">
        <v>181</v>
      </c>
      <c r="AQ183">
        <f t="shared" si="25"/>
        <v>38.234332425068118</v>
      </c>
      <c r="AR183">
        <f t="shared" si="33"/>
        <v>1.7656675749318802</v>
      </c>
      <c r="AS183">
        <f t="shared" si="32"/>
        <v>0.80381471389645776</v>
      </c>
      <c r="AU183" t="s">
        <v>303</v>
      </c>
      <c r="AV183" t="s">
        <v>432</v>
      </c>
      <c r="AW183" t="s">
        <v>312</v>
      </c>
      <c r="AX183" s="9" t="s">
        <v>451</v>
      </c>
      <c r="AY183">
        <v>95</v>
      </c>
      <c r="AZ183" t="s">
        <v>101</v>
      </c>
      <c r="BA183" t="s">
        <v>0</v>
      </c>
    </row>
    <row r="184" spans="1:53" x14ac:dyDescent="0.35">
      <c r="A184" t="s">
        <v>98</v>
      </c>
      <c r="B184">
        <v>1</v>
      </c>
      <c r="C184" t="s">
        <v>5</v>
      </c>
      <c r="D184" t="s">
        <v>4</v>
      </c>
      <c r="E184" t="s">
        <v>3</v>
      </c>
      <c r="F184" s="1">
        <v>2.48</v>
      </c>
      <c r="G184" t="s">
        <v>100</v>
      </c>
      <c r="H184">
        <v>6</v>
      </c>
      <c r="I184">
        <v>12</v>
      </c>
      <c r="J184">
        <v>12</v>
      </c>
      <c r="K184">
        <v>31</v>
      </c>
      <c r="L184">
        <v>9</v>
      </c>
      <c r="M184">
        <f t="shared" si="30"/>
        <v>40</v>
      </c>
      <c r="N184">
        <v>45</v>
      </c>
      <c r="O184">
        <v>2.97</v>
      </c>
      <c r="P184">
        <v>0.14000000000000001</v>
      </c>
      <c r="Q184">
        <f t="shared" si="26"/>
        <v>1.198212203795705E-2</v>
      </c>
      <c r="R184" s="6">
        <v>90</v>
      </c>
      <c r="S184">
        <v>0.68</v>
      </c>
      <c r="T184">
        <f t="shared" si="27"/>
        <v>0.80500000000000005</v>
      </c>
      <c r="U184">
        <v>0.93</v>
      </c>
      <c r="V184">
        <v>1</v>
      </c>
      <c r="W184">
        <f t="shared" si="31"/>
        <v>1.5</v>
      </c>
      <c r="X184">
        <f t="shared" si="28"/>
        <v>3</v>
      </c>
      <c r="Y184">
        <v>0.65</v>
      </c>
      <c r="Z184">
        <v>17</v>
      </c>
      <c r="AA184">
        <v>17.7</v>
      </c>
      <c r="AB184">
        <v>47</v>
      </c>
      <c r="AC184">
        <f>Z184/AH184</f>
        <v>1507.9999396800024</v>
      </c>
      <c r="AF184">
        <v>1863</v>
      </c>
      <c r="AG184">
        <v>820</v>
      </c>
      <c r="AH184">
        <v>1.1273210000000001E-2</v>
      </c>
      <c r="AI184" t="s">
        <v>21</v>
      </c>
      <c r="AJ184">
        <v>0</v>
      </c>
      <c r="AK184">
        <v>11</v>
      </c>
      <c r="AL184">
        <v>100</v>
      </c>
      <c r="AM184">
        <f t="shared" si="29"/>
        <v>89</v>
      </c>
      <c r="AN184">
        <v>0.14000000000000001</v>
      </c>
      <c r="AO184">
        <f t="shared" si="24"/>
        <v>0.49444444444444446</v>
      </c>
      <c r="AP184">
        <v>182</v>
      </c>
      <c r="AQ184" t="str">
        <f t="shared" si="25"/>
        <v>NA</v>
      </c>
      <c r="AR184" t="str">
        <f t="shared" si="33"/>
        <v>NA</v>
      </c>
      <c r="AS184" t="str">
        <f t="shared" si="32"/>
        <v>NA</v>
      </c>
      <c r="AU184" t="s">
        <v>94</v>
      </c>
      <c r="AV184" t="s">
        <v>432</v>
      </c>
      <c r="AX184" s="9" t="s">
        <v>451</v>
      </c>
      <c r="AY184">
        <v>96</v>
      </c>
      <c r="AZ184" t="s">
        <v>98</v>
      </c>
      <c r="BA184" t="s">
        <v>5</v>
      </c>
    </row>
    <row r="185" spans="1:53" x14ac:dyDescent="0.35">
      <c r="A185" t="s">
        <v>98</v>
      </c>
      <c r="B185">
        <v>1</v>
      </c>
      <c r="C185" t="s">
        <v>0</v>
      </c>
      <c r="D185" t="s">
        <v>4</v>
      </c>
      <c r="E185" t="s">
        <v>3</v>
      </c>
      <c r="F185" s="1">
        <v>3.48</v>
      </c>
      <c r="G185" t="s">
        <v>99</v>
      </c>
      <c r="H185">
        <v>6</v>
      </c>
      <c r="I185">
        <v>12</v>
      </c>
      <c r="J185">
        <v>12</v>
      </c>
      <c r="K185">
        <v>31</v>
      </c>
      <c r="L185">
        <v>9</v>
      </c>
      <c r="M185">
        <f t="shared" si="30"/>
        <v>40</v>
      </c>
      <c r="N185">
        <v>45</v>
      </c>
      <c r="O185">
        <v>2.97</v>
      </c>
      <c r="P185">
        <v>0.14000000000000001</v>
      </c>
      <c r="Q185">
        <f t="shared" si="26"/>
        <v>1.198212203795705E-2</v>
      </c>
      <c r="R185" s="6">
        <v>90</v>
      </c>
      <c r="S185">
        <v>0.68</v>
      </c>
      <c r="T185">
        <f t="shared" si="27"/>
        <v>0.80500000000000005</v>
      </c>
      <c r="U185">
        <v>0.93</v>
      </c>
      <c r="V185">
        <v>1</v>
      </c>
      <c r="W185">
        <f t="shared" si="31"/>
        <v>1.5</v>
      </c>
      <c r="X185">
        <f t="shared" si="28"/>
        <v>3</v>
      </c>
      <c r="Y185">
        <v>0.65</v>
      </c>
      <c r="Z185">
        <v>17</v>
      </c>
      <c r="AA185">
        <v>17.7</v>
      </c>
      <c r="AB185">
        <v>47</v>
      </c>
      <c r="AC185">
        <v>1507.9999396800024</v>
      </c>
      <c r="AF185">
        <v>1863</v>
      </c>
      <c r="AG185">
        <v>820</v>
      </c>
      <c r="AH185" t="s">
        <v>21</v>
      </c>
      <c r="AI185">
        <f>6/1835</f>
        <v>3.2697547683923707E-3</v>
      </c>
      <c r="AJ185">
        <v>0</v>
      </c>
      <c r="AK185">
        <v>11</v>
      </c>
      <c r="AL185">
        <v>100</v>
      </c>
      <c r="AM185">
        <f t="shared" si="29"/>
        <v>89</v>
      </c>
      <c r="AN185">
        <v>0.14000000000000001</v>
      </c>
      <c r="AO185">
        <f t="shared" si="24"/>
        <v>0.49444444444444446</v>
      </c>
      <c r="AP185">
        <v>183</v>
      </c>
      <c r="AQ185">
        <f t="shared" si="25"/>
        <v>37.318801089918253</v>
      </c>
      <c r="AR185">
        <f t="shared" si="33"/>
        <v>2.6811989100817439</v>
      </c>
      <c r="AS185">
        <f t="shared" si="32"/>
        <v>0.70208900999091739</v>
      </c>
      <c r="AU185" t="s">
        <v>94</v>
      </c>
      <c r="AV185" t="s">
        <v>432</v>
      </c>
      <c r="AX185" s="9" t="s">
        <v>451</v>
      </c>
      <c r="AY185">
        <v>96</v>
      </c>
      <c r="AZ185" t="s">
        <v>98</v>
      </c>
      <c r="BA185" t="s">
        <v>0</v>
      </c>
    </row>
    <row r="186" spans="1:53" x14ac:dyDescent="0.35">
      <c r="A186" t="s">
        <v>95</v>
      </c>
      <c r="B186">
        <v>1</v>
      </c>
      <c r="C186" t="s">
        <v>5</v>
      </c>
      <c r="D186" t="s">
        <v>4</v>
      </c>
      <c r="E186" t="s">
        <v>3</v>
      </c>
      <c r="F186" s="1">
        <v>4.4800000000000004</v>
      </c>
      <c r="G186" t="s">
        <v>97</v>
      </c>
      <c r="H186">
        <v>6</v>
      </c>
      <c r="I186">
        <v>12</v>
      </c>
      <c r="J186">
        <v>12</v>
      </c>
      <c r="K186">
        <v>31</v>
      </c>
      <c r="L186">
        <v>9</v>
      </c>
      <c r="M186">
        <f t="shared" si="30"/>
        <v>40</v>
      </c>
      <c r="N186">
        <v>45</v>
      </c>
      <c r="O186">
        <v>2.97</v>
      </c>
      <c r="P186">
        <v>0.14000000000000001</v>
      </c>
      <c r="Q186">
        <f t="shared" si="26"/>
        <v>1.198212203795705E-2</v>
      </c>
      <c r="R186" s="6">
        <v>90</v>
      </c>
      <c r="S186">
        <v>0.68</v>
      </c>
      <c r="T186">
        <f t="shared" si="27"/>
        <v>0.80500000000000005</v>
      </c>
      <c r="U186">
        <v>0.93</v>
      </c>
      <c r="V186">
        <v>1</v>
      </c>
      <c r="W186">
        <f t="shared" si="31"/>
        <v>1.5</v>
      </c>
      <c r="X186">
        <f t="shared" si="28"/>
        <v>3</v>
      </c>
      <c r="Y186">
        <v>0.65</v>
      </c>
      <c r="Z186">
        <v>17</v>
      </c>
      <c r="AA186">
        <v>17.7</v>
      </c>
      <c r="AB186">
        <v>47</v>
      </c>
      <c r="AC186">
        <f>Z186/AH186</f>
        <v>1507.9999396800024</v>
      </c>
      <c r="AF186">
        <v>1863</v>
      </c>
      <c r="AG186">
        <v>910</v>
      </c>
      <c r="AH186">
        <v>1.1273210000000001E-2</v>
      </c>
      <c r="AI186" t="s">
        <v>21</v>
      </c>
      <c r="AJ186">
        <v>0</v>
      </c>
      <c r="AK186">
        <v>18</v>
      </c>
      <c r="AL186">
        <v>155</v>
      </c>
      <c r="AM186">
        <f t="shared" si="29"/>
        <v>137</v>
      </c>
      <c r="AN186">
        <v>0.14000000000000001</v>
      </c>
      <c r="AO186">
        <f t="shared" si="24"/>
        <v>0.76111111111111107</v>
      </c>
      <c r="AP186">
        <v>184</v>
      </c>
      <c r="AQ186" t="str">
        <f t="shared" si="25"/>
        <v>NA</v>
      </c>
      <c r="AR186" t="str">
        <f t="shared" si="33"/>
        <v>NA</v>
      </c>
      <c r="AS186" t="str">
        <f t="shared" si="32"/>
        <v>NA</v>
      </c>
      <c r="AU186" t="s">
        <v>94</v>
      </c>
      <c r="AV186" t="s">
        <v>432</v>
      </c>
      <c r="AX186" s="9" t="s">
        <v>451</v>
      </c>
      <c r="AY186">
        <v>97</v>
      </c>
      <c r="AZ186" t="s">
        <v>95</v>
      </c>
      <c r="BA186" t="s">
        <v>5</v>
      </c>
    </row>
    <row r="187" spans="1:53" x14ac:dyDescent="0.35">
      <c r="A187" t="s">
        <v>95</v>
      </c>
      <c r="B187">
        <v>1</v>
      </c>
      <c r="C187" t="s">
        <v>0</v>
      </c>
      <c r="D187" t="s">
        <v>4</v>
      </c>
      <c r="E187" t="s">
        <v>3</v>
      </c>
      <c r="F187" s="1">
        <v>5.48</v>
      </c>
      <c r="G187" t="s">
        <v>96</v>
      </c>
      <c r="H187">
        <v>6</v>
      </c>
      <c r="I187">
        <v>12</v>
      </c>
      <c r="J187">
        <v>12</v>
      </c>
      <c r="K187">
        <v>31</v>
      </c>
      <c r="L187">
        <v>9</v>
      </c>
      <c r="M187">
        <f t="shared" si="30"/>
        <v>40</v>
      </c>
      <c r="N187">
        <v>45</v>
      </c>
      <c r="O187">
        <v>2.97</v>
      </c>
      <c r="P187">
        <v>0.14000000000000001</v>
      </c>
      <c r="Q187">
        <f t="shared" si="26"/>
        <v>1.198212203795705E-2</v>
      </c>
      <c r="R187" s="6">
        <v>90</v>
      </c>
      <c r="S187">
        <v>0.68</v>
      </c>
      <c r="T187">
        <f t="shared" si="27"/>
        <v>0.80500000000000005</v>
      </c>
      <c r="U187">
        <v>0.93</v>
      </c>
      <c r="V187">
        <v>1</v>
      </c>
      <c r="W187">
        <f t="shared" si="31"/>
        <v>1.5</v>
      </c>
      <c r="X187">
        <f t="shared" si="28"/>
        <v>3</v>
      </c>
      <c r="Y187">
        <v>0.65</v>
      </c>
      <c r="Z187">
        <v>17</v>
      </c>
      <c r="AA187">
        <v>17.7</v>
      </c>
      <c r="AB187">
        <v>47</v>
      </c>
      <c r="AC187">
        <v>1507.9999396800024</v>
      </c>
      <c r="AF187">
        <v>1863</v>
      </c>
      <c r="AG187">
        <v>910</v>
      </c>
      <c r="AH187" t="s">
        <v>21</v>
      </c>
      <c r="AI187">
        <f>6/1835</f>
        <v>3.2697547683923707E-3</v>
      </c>
      <c r="AJ187">
        <v>0</v>
      </c>
      <c r="AK187">
        <v>17</v>
      </c>
      <c r="AL187">
        <v>154</v>
      </c>
      <c r="AM187">
        <f t="shared" si="29"/>
        <v>137</v>
      </c>
      <c r="AN187">
        <v>0.14000000000000001</v>
      </c>
      <c r="AO187">
        <f t="shared" si="24"/>
        <v>0.76111111111111107</v>
      </c>
      <c r="AP187">
        <v>185</v>
      </c>
      <c r="AQ187">
        <f t="shared" si="25"/>
        <v>37.024523160762939</v>
      </c>
      <c r="AR187">
        <f t="shared" si="33"/>
        <v>2.9754768392370572</v>
      </c>
      <c r="AS187">
        <f t="shared" si="32"/>
        <v>0.66939146230699365</v>
      </c>
      <c r="AU187" t="s">
        <v>94</v>
      </c>
      <c r="AV187" t="s">
        <v>432</v>
      </c>
      <c r="AX187" s="9" t="s">
        <v>451</v>
      </c>
      <c r="AY187">
        <v>97</v>
      </c>
      <c r="AZ187" t="s">
        <v>95</v>
      </c>
      <c r="BA187" t="s">
        <v>0</v>
      </c>
    </row>
    <row r="188" spans="1:53" x14ac:dyDescent="0.35">
      <c r="A188" t="s">
        <v>91</v>
      </c>
      <c r="B188">
        <v>1</v>
      </c>
      <c r="C188" t="s">
        <v>5</v>
      </c>
      <c r="D188" t="s">
        <v>4</v>
      </c>
      <c r="E188" t="s">
        <v>3</v>
      </c>
      <c r="F188" s="1">
        <v>6.48</v>
      </c>
      <c r="G188" t="s">
        <v>93</v>
      </c>
      <c r="H188">
        <v>6</v>
      </c>
      <c r="I188">
        <v>12</v>
      </c>
      <c r="J188">
        <v>12</v>
      </c>
      <c r="K188">
        <v>31</v>
      </c>
      <c r="L188">
        <v>9</v>
      </c>
      <c r="M188">
        <f t="shared" si="30"/>
        <v>40</v>
      </c>
      <c r="N188">
        <v>45</v>
      </c>
      <c r="O188">
        <v>2.97</v>
      </c>
      <c r="P188">
        <v>0.14000000000000001</v>
      </c>
      <c r="Q188">
        <f t="shared" si="26"/>
        <v>1.198212203795705E-2</v>
      </c>
      <c r="R188" s="6">
        <v>90</v>
      </c>
      <c r="S188">
        <v>0.68</v>
      </c>
      <c r="T188">
        <f t="shared" si="27"/>
        <v>0.80500000000000005</v>
      </c>
      <c r="U188">
        <v>0.93</v>
      </c>
      <c r="V188">
        <v>1</v>
      </c>
      <c r="W188">
        <f t="shared" si="31"/>
        <v>1.5</v>
      </c>
      <c r="X188">
        <f t="shared" si="28"/>
        <v>3</v>
      </c>
      <c r="Y188">
        <v>0.65</v>
      </c>
      <c r="Z188">
        <v>17</v>
      </c>
      <c r="AA188">
        <v>17.7</v>
      </c>
      <c r="AB188">
        <v>47</v>
      </c>
      <c r="AC188">
        <f>Z188/AH188</f>
        <v>1507.9999396800024</v>
      </c>
      <c r="AD188" t="s">
        <v>528</v>
      </c>
      <c r="AE188">
        <v>1855</v>
      </c>
      <c r="AF188">
        <v>1863</v>
      </c>
      <c r="AG188">
        <v>1445</v>
      </c>
      <c r="AH188">
        <v>1.1273210000000001E-2</v>
      </c>
      <c r="AI188" t="s">
        <v>21</v>
      </c>
      <c r="AJ188">
        <v>1</v>
      </c>
      <c r="AK188">
        <v>9</v>
      </c>
      <c r="AL188">
        <v>85</v>
      </c>
      <c r="AM188">
        <f t="shared" si="29"/>
        <v>76</v>
      </c>
      <c r="AN188">
        <v>0.14000000000000001</v>
      </c>
      <c r="AO188">
        <f t="shared" si="24"/>
        <v>0.42222222222222222</v>
      </c>
      <c r="AP188">
        <v>186</v>
      </c>
      <c r="AQ188" t="str">
        <f t="shared" si="25"/>
        <v>NA</v>
      </c>
      <c r="AR188" t="str">
        <f t="shared" si="33"/>
        <v>NA</v>
      </c>
      <c r="AS188" t="str">
        <f t="shared" si="32"/>
        <v>NA</v>
      </c>
      <c r="AU188" t="s">
        <v>303</v>
      </c>
      <c r="AX188" s="13">
        <v>1</v>
      </c>
      <c r="AY188">
        <v>98</v>
      </c>
      <c r="AZ188" t="s">
        <v>91</v>
      </c>
      <c r="BA188" t="s">
        <v>5</v>
      </c>
    </row>
    <row r="189" spans="1:53" x14ac:dyDescent="0.35">
      <c r="A189" t="s">
        <v>91</v>
      </c>
      <c r="B189">
        <v>1</v>
      </c>
      <c r="C189" t="s">
        <v>0</v>
      </c>
      <c r="D189" t="s">
        <v>4</v>
      </c>
      <c r="E189" t="s">
        <v>3</v>
      </c>
      <c r="F189" s="1">
        <v>7.48</v>
      </c>
      <c r="G189" t="s">
        <v>92</v>
      </c>
      <c r="H189">
        <v>6</v>
      </c>
      <c r="I189">
        <v>12</v>
      </c>
      <c r="J189">
        <v>12</v>
      </c>
      <c r="K189">
        <v>31</v>
      </c>
      <c r="L189">
        <v>9</v>
      </c>
      <c r="M189">
        <f t="shared" si="30"/>
        <v>40</v>
      </c>
      <c r="N189">
        <v>45</v>
      </c>
      <c r="O189">
        <v>2.97</v>
      </c>
      <c r="P189">
        <v>0.14000000000000001</v>
      </c>
      <c r="Q189">
        <f t="shared" si="26"/>
        <v>1.198212203795705E-2</v>
      </c>
      <c r="R189" s="6">
        <v>90</v>
      </c>
      <c r="S189">
        <v>0.68</v>
      </c>
      <c r="T189">
        <f t="shared" si="27"/>
        <v>0.80500000000000005</v>
      </c>
      <c r="U189">
        <v>0.93</v>
      </c>
      <c r="V189">
        <v>1</v>
      </c>
      <c r="W189">
        <f t="shared" si="31"/>
        <v>1.5</v>
      </c>
      <c r="X189">
        <f t="shared" si="28"/>
        <v>3</v>
      </c>
      <c r="Y189">
        <v>0.65</v>
      </c>
      <c r="Z189">
        <v>17</v>
      </c>
      <c r="AA189">
        <v>17.7</v>
      </c>
      <c r="AB189">
        <v>47</v>
      </c>
      <c r="AC189">
        <v>1507.9999396800024</v>
      </c>
      <c r="AD189" t="s">
        <v>529</v>
      </c>
      <c r="AE189">
        <v>1855</v>
      </c>
      <c r="AF189">
        <v>1863</v>
      </c>
      <c r="AG189">
        <v>1445</v>
      </c>
      <c r="AH189" t="s">
        <v>21</v>
      </c>
      <c r="AI189">
        <f>6/1835</f>
        <v>3.2697547683923707E-3</v>
      </c>
      <c r="AJ189">
        <v>1</v>
      </c>
      <c r="AK189">
        <v>16</v>
      </c>
      <c r="AL189">
        <v>92</v>
      </c>
      <c r="AM189">
        <f t="shared" si="29"/>
        <v>76</v>
      </c>
      <c r="AN189">
        <v>0.14000000000000001</v>
      </c>
      <c r="AO189">
        <f t="shared" si="24"/>
        <v>0.42222222222222222</v>
      </c>
      <c r="AP189">
        <v>187</v>
      </c>
      <c r="AQ189">
        <f t="shared" si="25"/>
        <v>35.275204359673026</v>
      </c>
      <c r="AR189">
        <f t="shared" si="33"/>
        <v>4.7247956403269757</v>
      </c>
      <c r="AS189">
        <f t="shared" si="32"/>
        <v>0.47502270663033602</v>
      </c>
      <c r="AU189" t="s">
        <v>303</v>
      </c>
      <c r="AX189" s="13">
        <v>1</v>
      </c>
      <c r="AY189">
        <v>98</v>
      </c>
      <c r="AZ189" t="s">
        <v>91</v>
      </c>
      <c r="BA189" t="s">
        <v>0</v>
      </c>
    </row>
    <row r="190" spans="1:53" x14ac:dyDescent="0.35">
      <c r="A190" t="s">
        <v>88</v>
      </c>
      <c r="B190">
        <v>2</v>
      </c>
      <c r="C190" t="s">
        <v>5</v>
      </c>
      <c r="D190" t="s">
        <v>4</v>
      </c>
      <c r="E190" t="s">
        <v>3</v>
      </c>
      <c r="F190" s="1">
        <v>0.48</v>
      </c>
      <c r="G190" t="s">
        <v>90</v>
      </c>
      <c r="H190">
        <v>6</v>
      </c>
      <c r="I190">
        <v>10</v>
      </c>
      <c r="J190">
        <v>15</v>
      </c>
      <c r="K190">
        <v>31</v>
      </c>
      <c r="L190">
        <v>11</v>
      </c>
      <c r="M190">
        <f t="shared" si="30"/>
        <v>42</v>
      </c>
      <c r="N190">
        <v>45</v>
      </c>
      <c r="O190">
        <v>2.48</v>
      </c>
      <c r="P190">
        <v>0.16</v>
      </c>
      <c r="Q190">
        <f t="shared" si="26"/>
        <v>1.0870412654734088E-2</v>
      </c>
      <c r="R190" s="6">
        <v>89.5</v>
      </c>
      <c r="S190">
        <v>0.8</v>
      </c>
      <c r="T190">
        <f t="shared" si="27"/>
        <v>0.875</v>
      </c>
      <c r="U190">
        <v>0.95</v>
      </c>
      <c r="V190">
        <v>1.2</v>
      </c>
      <c r="W190">
        <f t="shared" si="31"/>
        <v>1.7999999999999998</v>
      </c>
      <c r="X190">
        <f t="shared" si="28"/>
        <v>3.5999999999999996</v>
      </c>
      <c r="Y190">
        <v>1.1000000000000001</v>
      </c>
      <c r="Z190">
        <v>19.899999999999999</v>
      </c>
      <c r="AA190">
        <v>19.600000000000001</v>
      </c>
      <c r="AB190">
        <v>80</v>
      </c>
      <c r="AC190">
        <f>Z190/AH190</f>
        <v>2375.0001044283968</v>
      </c>
      <c r="AD190" t="s">
        <v>530</v>
      </c>
      <c r="AE190">
        <v>3409</v>
      </c>
      <c r="AF190">
        <v>3411</v>
      </c>
      <c r="AG190">
        <v>304</v>
      </c>
      <c r="AH190">
        <v>8.3789469999999994E-3</v>
      </c>
      <c r="AI190" t="s">
        <v>21</v>
      </c>
      <c r="AJ190">
        <v>1</v>
      </c>
      <c r="AK190">
        <v>7</v>
      </c>
      <c r="AL190">
        <v>185</v>
      </c>
      <c r="AM190">
        <f t="shared" si="29"/>
        <v>178</v>
      </c>
      <c r="AN190">
        <v>0.16</v>
      </c>
      <c r="AO190">
        <f t="shared" si="24"/>
        <v>0.994413407821229</v>
      </c>
      <c r="AP190">
        <v>188</v>
      </c>
      <c r="AQ190" t="str">
        <f t="shared" si="25"/>
        <v>NA</v>
      </c>
      <c r="AR190" t="str">
        <f t="shared" si="33"/>
        <v>NA</v>
      </c>
      <c r="AS190" t="str">
        <f t="shared" si="32"/>
        <v>NA</v>
      </c>
      <c r="AU190" t="s">
        <v>303</v>
      </c>
      <c r="AX190" s="13">
        <v>1</v>
      </c>
      <c r="AY190">
        <v>99</v>
      </c>
      <c r="AZ190" t="s">
        <v>88</v>
      </c>
      <c r="BA190" t="s">
        <v>5</v>
      </c>
    </row>
    <row r="191" spans="1:53" x14ac:dyDescent="0.35">
      <c r="A191" t="s">
        <v>88</v>
      </c>
      <c r="B191">
        <v>2</v>
      </c>
      <c r="C191" t="s">
        <v>0</v>
      </c>
      <c r="D191" t="s">
        <v>4</v>
      </c>
      <c r="E191" t="s">
        <v>3</v>
      </c>
      <c r="F191" s="1">
        <v>0.48</v>
      </c>
      <c r="G191" t="s">
        <v>89</v>
      </c>
      <c r="H191">
        <v>6</v>
      </c>
      <c r="I191">
        <v>10</v>
      </c>
      <c r="J191">
        <v>15</v>
      </c>
      <c r="K191">
        <v>31</v>
      </c>
      <c r="L191">
        <v>11</v>
      </c>
      <c r="M191">
        <f t="shared" si="30"/>
        <v>42</v>
      </c>
      <c r="N191">
        <v>45</v>
      </c>
      <c r="O191">
        <v>2.48</v>
      </c>
      <c r="P191">
        <v>0.16</v>
      </c>
      <c r="Q191">
        <f t="shared" si="26"/>
        <v>1.0870412654734088E-2</v>
      </c>
      <c r="R191" s="6">
        <v>89.5</v>
      </c>
      <c r="S191">
        <v>0.8</v>
      </c>
      <c r="T191">
        <f t="shared" si="27"/>
        <v>0.875</v>
      </c>
      <c r="U191">
        <v>0.95</v>
      </c>
      <c r="V191">
        <v>1.2</v>
      </c>
      <c r="W191">
        <f t="shared" si="31"/>
        <v>1.7999999999999998</v>
      </c>
      <c r="X191">
        <f t="shared" si="28"/>
        <v>3.5999999999999996</v>
      </c>
      <c r="Y191">
        <v>1.1000000000000001</v>
      </c>
      <c r="Z191">
        <v>19.899999999999999</v>
      </c>
      <c r="AA191">
        <v>19.600000000000001</v>
      </c>
      <c r="AB191">
        <v>80</v>
      </c>
      <c r="AC191">
        <v>2375.0001044283968</v>
      </c>
      <c r="AD191" t="s">
        <v>531</v>
      </c>
      <c r="AE191">
        <v>3409</v>
      </c>
      <c r="AF191">
        <v>3411</v>
      </c>
      <c r="AG191">
        <v>304</v>
      </c>
      <c r="AH191" t="s">
        <v>21</v>
      </c>
      <c r="AI191">
        <f>4/1927</f>
        <v>2.0757654385054488E-3</v>
      </c>
      <c r="AJ191">
        <v>1</v>
      </c>
      <c r="AK191">
        <v>6</v>
      </c>
      <c r="AL191">
        <v>184</v>
      </c>
      <c r="AM191">
        <f t="shared" si="29"/>
        <v>178</v>
      </c>
      <c r="AN191">
        <v>0.16</v>
      </c>
      <c r="AO191">
        <f t="shared" si="24"/>
        <v>0.994413407821229</v>
      </c>
      <c r="AP191">
        <v>189</v>
      </c>
      <c r="AQ191">
        <f t="shared" si="25"/>
        <v>41.368967306694344</v>
      </c>
      <c r="AR191">
        <f t="shared" si="33"/>
        <v>0.63103269330565648</v>
      </c>
      <c r="AS191">
        <f t="shared" si="32"/>
        <v>0.94263339151766767</v>
      </c>
      <c r="AU191" t="s">
        <v>303</v>
      </c>
      <c r="AX191" s="13">
        <v>1</v>
      </c>
      <c r="AY191">
        <v>99</v>
      </c>
      <c r="AZ191" t="s">
        <v>88</v>
      </c>
      <c r="BA191" t="s">
        <v>0</v>
      </c>
    </row>
    <row r="192" spans="1:53" x14ac:dyDescent="0.35">
      <c r="A192" t="s">
        <v>87</v>
      </c>
      <c r="B192">
        <v>2</v>
      </c>
      <c r="C192" t="s">
        <v>5</v>
      </c>
      <c r="D192" t="s">
        <v>4</v>
      </c>
      <c r="E192" t="s">
        <v>3</v>
      </c>
      <c r="F192" s="1">
        <v>0.51</v>
      </c>
      <c r="G192" t="s">
        <v>85</v>
      </c>
      <c r="H192">
        <v>4</v>
      </c>
      <c r="I192">
        <v>3</v>
      </c>
      <c r="J192">
        <v>17</v>
      </c>
      <c r="K192">
        <v>41</v>
      </c>
      <c r="L192">
        <v>9</v>
      </c>
      <c r="M192">
        <f t="shared" si="30"/>
        <v>50</v>
      </c>
      <c r="N192">
        <v>42.5</v>
      </c>
      <c r="O192">
        <v>3.38</v>
      </c>
      <c r="P192">
        <v>0.22</v>
      </c>
      <c r="Q192">
        <f t="shared" si="26"/>
        <v>1.5559547557188786E-2</v>
      </c>
      <c r="R192" s="6">
        <v>76</v>
      </c>
      <c r="S192">
        <v>0.71</v>
      </c>
      <c r="T192">
        <f t="shared" si="27"/>
        <v>0.79499999999999993</v>
      </c>
      <c r="U192">
        <v>0.88</v>
      </c>
      <c r="V192">
        <v>1.3</v>
      </c>
      <c r="W192">
        <f t="shared" si="31"/>
        <v>1.9500000000000002</v>
      </c>
      <c r="X192">
        <f t="shared" si="28"/>
        <v>3.9000000000000004</v>
      </c>
      <c r="Y192">
        <v>0.86</v>
      </c>
      <c r="Z192">
        <v>19.899999999999999</v>
      </c>
      <c r="AA192">
        <v>19.899999999999999</v>
      </c>
      <c r="AB192">
        <v>0</v>
      </c>
      <c r="AC192">
        <f>Z192/AH192</f>
        <v>1907.7466666666664</v>
      </c>
      <c r="AF192">
        <v>2206</v>
      </c>
      <c r="AG192">
        <f>1982+279</f>
        <v>2261</v>
      </c>
      <c r="AH192">
        <f>15/1438</f>
        <v>1.0431154381084841E-2</v>
      </c>
      <c r="AI192" t="s">
        <v>21</v>
      </c>
      <c r="AJ192">
        <v>1</v>
      </c>
      <c r="AK192">
        <v>8</v>
      </c>
      <c r="AL192">
        <v>171</v>
      </c>
      <c r="AM192">
        <f t="shared" si="29"/>
        <v>163</v>
      </c>
      <c r="AN192">
        <v>0.22</v>
      </c>
      <c r="AO192">
        <f t="shared" si="24"/>
        <v>1.0723684210526316</v>
      </c>
      <c r="AP192">
        <v>190</v>
      </c>
      <c r="AQ192" t="str">
        <f t="shared" si="25"/>
        <v>NA</v>
      </c>
      <c r="AR192" t="str">
        <f t="shared" si="33"/>
        <v>NA</v>
      </c>
      <c r="AS192" t="str">
        <f t="shared" si="32"/>
        <v>NA</v>
      </c>
      <c r="AU192" t="s">
        <v>303</v>
      </c>
      <c r="AX192" s="13">
        <v>1</v>
      </c>
      <c r="AY192">
        <v>100</v>
      </c>
      <c r="AZ192" t="s">
        <v>87</v>
      </c>
      <c r="BA192" t="s">
        <v>5</v>
      </c>
    </row>
    <row r="193" spans="1:53" x14ac:dyDescent="0.35">
      <c r="A193" t="s">
        <v>87</v>
      </c>
      <c r="B193">
        <v>2</v>
      </c>
      <c r="C193" t="s">
        <v>0</v>
      </c>
      <c r="D193" t="s">
        <v>4</v>
      </c>
      <c r="E193" t="s">
        <v>3</v>
      </c>
      <c r="F193" s="1">
        <v>0.51</v>
      </c>
      <c r="G193" t="s">
        <v>85</v>
      </c>
      <c r="H193">
        <v>4</v>
      </c>
      <c r="I193">
        <v>3</v>
      </c>
      <c r="J193">
        <v>17</v>
      </c>
      <c r="K193">
        <v>41</v>
      </c>
      <c r="L193">
        <v>9</v>
      </c>
      <c r="M193">
        <f t="shared" si="30"/>
        <v>50</v>
      </c>
      <c r="N193">
        <v>42.5</v>
      </c>
      <c r="O193">
        <v>3.38</v>
      </c>
      <c r="P193">
        <v>0.22</v>
      </c>
      <c r="Q193">
        <f t="shared" si="26"/>
        <v>1.5559547557188786E-2</v>
      </c>
      <c r="R193" s="6">
        <v>76</v>
      </c>
      <c r="S193">
        <v>0.71</v>
      </c>
      <c r="T193">
        <f t="shared" si="27"/>
        <v>0.79499999999999993</v>
      </c>
      <c r="U193">
        <v>0.88</v>
      </c>
      <c r="V193">
        <v>1.3</v>
      </c>
      <c r="W193">
        <f t="shared" si="31"/>
        <v>1.9500000000000002</v>
      </c>
      <c r="X193">
        <f t="shared" si="28"/>
        <v>3.9000000000000004</v>
      </c>
      <c r="Y193">
        <v>0.86</v>
      </c>
      <c r="Z193">
        <v>19.899999999999999</v>
      </c>
      <c r="AA193">
        <v>19.899999999999999</v>
      </c>
      <c r="AB193">
        <v>0</v>
      </c>
      <c r="AC193">
        <v>1907.7466666666664</v>
      </c>
      <c r="AF193">
        <v>2206</v>
      </c>
      <c r="AG193">
        <f>1982+279</f>
        <v>2261</v>
      </c>
      <c r="AH193" t="s">
        <v>21</v>
      </c>
      <c r="AI193">
        <f>(3+4)/(1740+2004)</f>
        <v>1.8696581196581197E-3</v>
      </c>
      <c r="AJ193">
        <v>1</v>
      </c>
      <c r="AK193">
        <v>17</v>
      </c>
      <c r="AL193">
        <f>AK193+AL192-AK192</f>
        <v>180</v>
      </c>
      <c r="AM193">
        <f t="shared" si="29"/>
        <v>163</v>
      </c>
      <c r="AN193">
        <v>0.22</v>
      </c>
      <c r="AO193">
        <f t="shared" si="24"/>
        <v>1.0723684210526316</v>
      </c>
      <c r="AP193">
        <v>191</v>
      </c>
      <c r="AQ193">
        <f t="shared" si="25"/>
        <v>45.772702991452988</v>
      </c>
      <c r="AR193">
        <f t="shared" si="33"/>
        <v>4.2272970085470085</v>
      </c>
      <c r="AS193">
        <f t="shared" si="32"/>
        <v>0.5303003323836657</v>
      </c>
      <c r="AU193" t="s">
        <v>303</v>
      </c>
      <c r="AX193" s="13">
        <v>1</v>
      </c>
      <c r="AY193">
        <v>100</v>
      </c>
      <c r="AZ193" t="s">
        <v>87</v>
      </c>
      <c r="BA193" t="s">
        <v>0</v>
      </c>
    </row>
    <row r="194" spans="1:53" x14ac:dyDescent="0.35">
      <c r="A194" t="s">
        <v>86</v>
      </c>
      <c r="B194">
        <v>2</v>
      </c>
      <c r="C194" t="s">
        <v>5</v>
      </c>
      <c r="D194" t="s">
        <v>4</v>
      </c>
      <c r="E194" t="s">
        <v>3</v>
      </c>
      <c r="F194" s="1">
        <v>0.51</v>
      </c>
      <c r="G194" t="s">
        <v>85</v>
      </c>
      <c r="H194">
        <v>4</v>
      </c>
      <c r="I194">
        <v>3</v>
      </c>
      <c r="J194">
        <v>17</v>
      </c>
      <c r="K194">
        <v>43</v>
      </c>
      <c r="L194">
        <v>13</v>
      </c>
      <c r="M194">
        <f t="shared" si="30"/>
        <v>56</v>
      </c>
      <c r="N194">
        <v>62</v>
      </c>
      <c r="O194">
        <v>3.91</v>
      </c>
      <c r="P194">
        <v>0.17</v>
      </c>
      <c r="Q194">
        <f t="shared" si="26"/>
        <v>1.185665911766799E-2</v>
      </c>
      <c r="R194" s="6">
        <v>76</v>
      </c>
      <c r="S194">
        <v>0.76</v>
      </c>
      <c r="T194">
        <f t="shared" si="27"/>
        <v>0.85499999999999998</v>
      </c>
      <c r="U194">
        <v>0.95</v>
      </c>
      <c r="V194">
        <v>1.2</v>
      </c>
      <c r="W194">
        <f t="shared" si="31"/>
        <v>1.7999999999999998</v>
      </c>
      <c r="X194">
        <f t="shared" si="28"/>
        <v>3.5999999999999996</v>
      </c>
      <c r="Y194">
        <v>0.86</v>
      </c>
      <c r="Z194">
        <v>19.899999999999999</v>
      </c>
      <c r="AA194">
        <v>19.899999999999999</v>
      </c>
      <c r="AB194">
        <v>0</v>
      </c>
      <c r="AC194">
        <f>Z194/AH194</f>
        <v>1797.6333333333334</v>
      </c>
      <c r="AD194" t="s">
        <v>532</v>
      </c>
      <c r="AE194">
        <v>2213</v>
      </c>
      <c r="AF194">
        <v>2202</v>
      </c>
      <c r="AG194">
        <f>430</f>
        <v>430</v>
      </c>
      <c r="AH194">
        <f>15/1355</f>
        <v>1.107011070110701E-2</v>
      </c>
      <c r="AI194" t="s">
        <v>21</v>
      </c>
      <c r="AJ194">
        <v>1</v>
      </c>
      <c r="AK194">
        <v>1</v>
      </c>
      <c r="AL194">
        <v>206</v>
      </c>
      <c r="AM194">
        <f t="shared" si="29"/>
        <v>205</v>
      </c>
      <c r="AN194">
        <v>0.17</v>
      </c>
      <c r="AO194">
        <f t="shared" ref="AO194:AO257" si="34">(AL194-AK194)/(2*R194)</f>
        <v>1.3486842105263157</v>
      </c>
      <c r="AP194">
        <v>192</v>
      </c>
      <c r="AQ194" t="str">
        <f t="shared" ref="AQ194:AQ257" si="35">IF(AI194&lt;&gt;"NA",K194+L194-AG194*AI194,"NA")</f>
        <v>NA</v>
      </c>
      <c r="AR194" t="str">
        <f t="shared" si="33"/>
        <v>NA</v>
      </c>
      <c r="AS194" t="str">
        <f t="shared" si="32"/>
        <v>NA</v>
      </c>
      <c r="AU194" t="s">
        <v>303</v>
      </c>
      <c r="AX194" s="13">
        <v>1</v>
      </c>
      <c r="AY194">
        <v>101</v>
      </c>
      <c r="AZ194" t="s">
        <v>86</v>
      </c>
      <c r="BA194" t="s">
        <v>5</v>
      </c>
    </row>
    <row r="195" spans="1:53" x14ac:dyDescent="0.35">
      <c r="A195" t="s">
        <v>86</v>
      </c>
      <c r="B195">
        <v>2</v>
      </c>
      <c r="C195" t="s">
        <v>0</v>
      </c>
      <c r="D195" t="s">
        <v>4</v>
      </c>
      <c r="E195" t="s">
        <v>3</v>
      </c>
      <c r="F195" s="1">
        <v>0.51</v>
      </c>
      <c r="G195" t="s">
        <v>85</v>
      </c>
      <c r="H195">
        <v>4</v>
      </c>
      <c r="I195">
        <v>3</v>
      </c>
      <c r="J195">
        <v>17</v>
      </c>
      <c r="K195">
        <v>43</v>
      </c>
      <c r="L195">
        <v>13</v>
      </c>
      <c r="M195">
        <f t="shared" si="30"/>
        <v>56</v>
      </c>
      <c r="N195">
        <v>62</v>
      </c>
      <c r="O195">
        <v>3.91</v>
      </c>
      <c r="P195">
        <v>0.17</v>
      </c>
      <c r="Q195">
        <f t="shared" ref="Q195:Q258" si="36">P195/(PI()*(5*(S195/2)^2+5*(T195/2)^2+5*(U195/2)^2+5*(V195/2)^2))</f>
        <v>1.185665911766799E-2</v>
      </c>
      <c r="R195" s="6">
        <v>76</v>
      </c>
      <c r="S195">
        <v>0.76</v>
      </c>
      <c r="T195">
        <f t="shared" ref="T195:T258" si="37">AVERAGE(S195,U195)</f>
        <v>0.85499999999999998</v>
      </c>
      <c r="U195">
        <v>0.95</v>
      </c>
      <c r="V195">
        <v>1.2</v>
      </c>
      <c r="W195">
        <f t="shared" si="31"/>
        <v>1.7999999999999998</v>
      </c>
      <c r="X195">
        <f t="shared" ref="X195:X258" si="38">W195*2</f>
        <v>3.5999999999999996</v>
      </c>
      <c r="Y195">
        <v>0.86</v>
      </c>
      <c r="Z195">
        <v>19.899999999999999</v>
      </c>
      <c r="AA195">
        <v>19.899999999999999</v>
      </c>
      <c r="AB195">
        <v>0</v>
      </c>
      <c r="AC195">
        <v>1797.6333333333334</v>
      </c>
      <c r="AD195" t="s">
        <v>533</v>
      </c>
      <c r="AE195">
        <v>2213</v>
      </c>
      <c r="AF195">
        <v>2202</v>
      </c>
      <c r="AG195">
        <f>430</f>
        <v>430</v>
      </c>
      <c r="AH195" t="s">
        <v>21</v>
      </c>
      <c r="AI195">
        <f>4.5/2290</f>
        <v>1.9650655021834062E-3</v>
      </c>
      <c r="AJ195">
        <v>1</v>
      </c>
      <c r="AK195">
        <v>5</v>
      </c>
      <c r="AL195">
        <f>AK195+AL194-AK194</f>
        <v>210</v>
      </c>
      <c r="AM195">
        <f t="shared" ref="AM195:AM258" si="39">AL195-AK195</f>
        <v>205</v>
      </c>
      <c r="AO195">
        <f t="shared" si="34"/>
        <v>1.3486842105263157</v>
      </c>
      <c r="AP195">
        <v>193</v>
      </c>
      <c r="AQ195">
        <f t="shared" si="35"/>
        <v>55.155021834061138</v>
      </c>
      <c r="AR195">
        <f t="shared" si="33"/>
        <v>0.84497816593886466</v>
      </c>
      <c r="AS195">
        <f t="shared" si="32"/>
        <v>0.93500167954316415</v>
      </c>
      <c r="AU195" t="s">
        <v>303</v>
      </c>
      <c r="AX195" s="13">
        <v>1</v>
      </c>
      <c r="AY195">
        <v>101</v>
      </c>
      <c r="AZ195" t="s">
        <v>86</v>
      </c>
      <c r="BA195" t="s">
        <v>0</v>
      </c>
    </row>
    <row r="196" spans="1:53" x14ac:dyDescent="0.35">
      <c r="A196" t="s">
        <v>84</v>
      </c>
      <c r="B196">
        <v>2</v>
      </c>
      <c r="C196" t="s">
        <v>5</v>
      </c>
      <c r="D196" t="s">
        <v>4</v>
      </c>
      <c r="E196" t="s">
        <v>3</v>
      </c>
      <c r="F196" s="1">
        <v>0.51</v>
      </c>
      <c r="G196" t="s">
        <v>85</v>
      </c>
      <c r="H196">
        <v>4</v>
      </c>
      <c r="I196">
        <v>3</v>
      </c>
      <c r="J196">
        <v>18</v>
      </c>
      <c r="K196">
        <v>43</v>
      </c>
      <c r="L196">
        <v>17</v>
      </c>
      <c r="M196">
        <f t="shared" ref="M196:M259" si="40">K196+L196</f>
        <v>60</v>
      </c>
      <c r="N196">
        <v>65</v>
      </c>
      <c r="O196">
        <v>3.51</v>
      </c>
      <c r="P196">
        <v>0.17</v>
      </c>
      <c r="Q196">
        <f t="shared" si="36"/>
        <v>1.7715543310039609E-2</v>
      </c>
      <c r="R196" s="6">
        <v>91</v>
      </c>
      <c r="S196">
        <v>0.75</v>
      </c>
      <c r="T196">
        <f t="shared" si="37"/>
        <v>0.66500000000000004</v>
      </c>
      <c r="U196">
        <v>0.57999999999999996</v>
      </c>
      <c r="V196">
        <v>1.05</v>
      </c>
      <c r="W196">
        <f t="shared" ref="W196:W259" si="41">V196*1.5</f>
        <v>1.5750000000000002</v>
      </c>
      <c r="X196">
        <f t="shared" si="38"/>
        <v>3.1500000000000004</v>
      </c>
      <c r="Y196">
        <v>0.86</v>
      </c>
      <c r="Z196">
        <v>19.899999999999999</v>
      </c>
      <c r="AA196">
        <v>19.899999999999999</v>
      </c>
      <c r="AB196">
        <v>0</v>
      </c>
      <c r="AC196">
        <f>Z196/AH196</f>
        <v>1801.613333333333</v>
      </c>
      <c r="AD196" t="s">
        <v>534</v>
      </c>
      <c r="AE196">
        <v>2221</v>
      </c>
      <c r="AF196">
        <v>2221</v>
      </c>
      <c r="AG196">
        <f>362+251+407</f>
        <v>1020</v>
      </c>
      <c r="AH196">
        <f>15/1358</f>
        <v>1.1045655375552283E-2</v>
      </c>
      <c r="AI196" t="s">
        <v>21</v>
      </c>
      <c r="AJ196">
        <v>1</v>
      </c>
      <c r="AK196">
        <v>1</v>
      </c>
      <c r="AL196">
        <v>252</v>
      </c>
      <c r="AM196">
        <f t="shared" si="39"/>
        <v>251</v>
      </c>
      <c r="AO196">
        <f t="shared" si="34"/>
        <v>1.3791208791208791</v>
      </c>
      <c r="AP196">
        <v>194</v>
      </c>
      <c r="AQ196" t="str">
        <f t="shared" si="35"/>
        <v>NA</v>
      </c>
      <c r="AR196" t="str">
        <f t="shared" si="33"/>
        <v>NA</v>
      </c>
      <c r="AS196" t="str">
        <f t="shared" si="32"/>
        <v>NA</v>
      </c>
      <c r="AU196" t="s">
        <v>303</v>
      </c>
      <c r="AW196" t="s">
        <v>313</v>
      </c>
      <c r="AX196" s="13">
        <v>1</v>
      </c>
      <c r="AY196">
        <v>102</v>
      </c>
      <c r="AZ196" t="s">
        <v>84</v>
      </c>
      <c r="BA196" t="s">
        <v>5</v>
      </c>
    </row>
    <row r="197" spans="1:53" x14ac:dyDescent="0.35">
      <c r="A197" t="s">
        <v>84</v>
      </c>
      <c r="B197">
        <v>2</v>
      </c>
      <c r="C197" t="s">
        <v>0</v>
      </c>
      <c r="D197" t="s">
        <v>4</v>
      </c>
      <c r="E197" t="s">
        <v>3</v>
      </c>
      <c r="F197" s="1">
        <v>0.51</v>
      </c>
      <c r="G197" t="s">
        <v>85</v>
      </c>
      <c r="H197">
        <v>4</v>
      </c>
      <c r="I197">
        <v>3</v>
      </c>
      <c r="J197">
        <v>18</v>
      </c>
      <c r="K197">
        <v>43</v>
      </c>
      <c r="L197">
        <v>17</v>
      </c>
      <c r="M197">
        <f t="shared" si="40"/>
        <v>60</v>
      </c>
      <c r="N197">
        <v>65</v>
      </c>
      <c r="O197">
        <v>3.51</v>
      </c>
      <c r="P197">
        <v>0.17</v>
      </c>
      <c r="Q197">
        <f t="shared" si="36"/>
        <v>1.7715543310039609E-2</v>
      </c>
      <c r="R197" s="6">
        <v>91</v>
      </c>
      <c r="S197">
        <v>0.75</v>
      </c>
      <c r="T197">
        <f t="shared" si="37"/>
        <v>0.66500000000000004</v>
      </c>
      <c r="U197">
        <v>0.57999999999999996</v>
      </c>
      <c r="V197">
        <v>1.05</v>
      </c>
      <c r="W197">
        <f t="shared" si="41"/>
        <v>1.5750000000000002</v>
      </c>
      <c r="X197">
        <f t="shared" si="38"/>
        <v>3.1500000000000004</v>
      </c>
      <c r="Y197">
        <v>0.86</v>
      </c>
      <c r="Z197">
        <v>19.899999999999999</v>
      </c>
      <c r="AA197">
        <v>19.899999999999999</v>
      </c>
      <c r="AB197">
        <v>0</v>
      </c>
      <c r="AC197">
        <v>1801.613333333333</v>
      </c>
      <c r="AD197" t="s">
        <v>535</v>
      </c>
      <c r="AE197">
        <v>2221</v>
      </c>
      <c r="AF197">
        <v>2221</v>
      </c>
      <c r="AG197">
        <f>362+251+407</f>
        <v>1020</v>
      </c>
      <c r="AH197" t="s">
        <v>21</v>
      </c>
      <c r="AI197">
        <f>4.5/2211</f>
        <v>2.0352781546811396E-3</v>
      </c>
      <c r="AJ197">
        <v>1</v>
      </c>
      <c r="AK197">
        <v>8</v>
      </c>
      <c r="AL197">
        <f>AK197+AL196-AK196</f>
        <v>259</v>
      </c>
      <c r="AM197">
        <f t="shared" si="39"/>
        <v>251</v>
      </c>
      <c r="AO197">
        <f t="shared" si="34"/>
        <v>1.3791208791208791</v>
      </c>
      <c r="AP197">
        <v>195</v>
      </c>
      <c r="AQ197">
        <f t="shared" si="35"/>
        <v>57.924016282225239</v>
      </c>
      <c r="AR197">
        <f t="shared" si="33"/>
        <v>2.0759837177747622</v>
      </c>
      <c r="AS197">
        <f t="shared" si="32"/>
        <v>0.87788331071913173</v>
      </c>
      <c r="AU197" t="s">
        <v>303</v>
      </c>
      <c r="AW197" t="s">
        <v>313</v>
      </c>
      <c r="AX197" s="13">
        <v>1</v>
      </c>
      <c r="AY197">
        <v>102</v>
      </c>
      <c r="AZ197" t="s">
        <v>84</v>
      </c>
      <c r="BA197" t="s">
        <v>0</v>
      </c>
    </row>
    <row r="198" spans="1:53" x14ac:dyDescent="0.35">
      <c r="A198" t="s">
        <v>83</v>
      </c>
      <c r="B198">
        <v>2</v>
      </c>
      <c r="C198" t="s">
        <v>5</v>
      </c>
      <c r="D198" t="s">
        <v>4</v>
      </c>
      <c r="E198" t="s">
        <v>3</v>
      </c>
      <c r="F198" s="1">
        <v>0.53</v>
      </c>
      <c r="G198" t="s">
        <v>79</v>
      </c>
      <c r="H198">
        <v>4</v>
      </c>
      <c r="I198">
        <v>7</v>
      </c>
      <c r="J198">
        <v>10</v>
      </c>
      <c r="K198">
        <v>42</v>
      </c>
      <c r="L198">
        <v>16</v>
      </c>
      <c r="M198">
        <f t="shared" si="40"/>
        <v>58</v>
      </c>
      <c r="N198">
        <v>58</v>
      </c>
      <c r="O198">
        <v>3.23</v>
      </c>
      <c r="P198">
        <v>0.17</v>
      </c>
      <c r="Q198">
        <f t="shared" si="36"/>
        <v>9.4922037716518737E-3</v>
      </c>
      <c r="R198" s="6">
        <v>88</v>
      </c>
      <c r="S198">
        <v>0.95</v>
      </c>
      <c r="T198">
        <f t="shared" si="37"/>
        <v>1.04</v>
      </c>
      <c r="U198">
        <v>1.1299999999999999</v>
      </c>
      <c r="V198">
        <v>1.1399999999999999</v>
      </c>
      <c r="W198">
        <f t="shared" si="41"/>
        <v>1.71</v>
      </c>
      <c r="X198">
        <f t="shared" si="38"/>
        <v>3.42</v>
      </c>
      <c r="Y198">
        <v>0.86</v>
      </c>
      <c r="Z198">
        <v>19.899999999999999</v>
      </c>
      <c r="AA198">
        <v>19.899999999999999</v>
      </c>
      <c r="AB198">
        <v>0</v>
      </c>
      <c r="AC198">
        <f>Z198/AH198</f>
        <v>1719.36</v>
      </c>
      <c r="AD198" t="s">
        <v>536</v>
      </c>
      <c r="AE198">
        <v>2502</v>
      </c>
      <c r="AF198">
        <v>2507</v>
      </c>
      <c r="AG198">
        <v>173</v>
      </c>
      <c r="AH198">
        <f>15/1296</f>
        <v>1.1574074074074073E-2</v>
      </c>
      <c r="AI198" t="s">
        <v>21</v>
      </c>
      <c r="AJ198">
        <v>1</v>
      </c>
      <c r="AK198">
        <v>16</v>
      </c>
      <c r="AL198">
        <v>196</v>
      </c>
      <c r="AM198">
        <f t="shared" si="39"/>
        <v>180</v>
      </c>
      <c r="AO198">
        <f t="shared" si="34"/>
        <v>1.0227272727272727</v>
      </c>
      <c r="AP198">
        <v>196</v>
      </c>
      <c r="AQ198" t="str">
        <f t="shared" si="35"/>
        <v>NA</v>
      </c>
      <c r="AR198" t="str">
        <f t="shared" si="33"/>
        <v>NA</v>
      </c>
      <c r="AS198" t="str">
        <f t="shared" si="32"/>
        <v>NA</v>
      </c>
      <c r="AU198" t="s">
        <v>303</v>
      </c>
      <c r="AX198" s="9" t="s">
        <v>452</v>
      </c>
      <c r="AY198">
        <v>103</v>
      </c>
      <c r="AZ198" t="s">
        <v>83</v>
      </c>
      <c r="BA198" t="s">
        <v>5</v>
      </c>
    </row>
    <row r="199" spans="1:53" x14ac:dyDescent="0.35">
      <c r="A199" t="s">
        <v>83</v>
      </c>
      <c r="B199">
        <v>2</v>
      </c>
      <c r="C199" t="s">
        <v>0</v>
      </c>
      <c r="D199" t="s">
        <v>4</v>
      </c>
      <c r="E199" t="s">
        <v>3</v>
      </c>
      <c r="F199" s="1">
        <v>0.53</v>
      </c>
      <c r="G199" t="s">
        <v>79</v>
      </c>
      <c r="H199">
        <v>4</v>
      </c>
      <c r="I199">
        <v>7</v>
      </c>
      <c r="J199">
        <v>10</v>
      </c>
      <c r="K199">
        <v>42</v>
      </c>
      <c r="L199">
        <v>16</v>
      </c>
      <c r="M199">
        <f t="shared" si="40"/>
        <v>58</v>
      </c>
      <c r="N199">
        <v>58</v>
      </c>
      <c r="O199">
        <v>3.23</v>
      </c>
      <c r="P199">
        <v>0.17</v>
      </c>
      <c r="Q199">
        <f t="shared" si="36"/>
        <v>9.4922037716518737E-3</v>
      </c>
      <c r="R199" s="6">
        <v>88</v>
      </c>
      <c r="S199">
        <v>0.95</v>
      </c>
      <c r="T199">
        <f t="shared" si="37"/>
        <v>1.04</v>
      </c>
      <c r="U199">
        <v>1.1299999999999999</v>
      </c>
      <c r="V199">
        <v>1.1399999999999999</v>
      </c>
      <c r="W199">
        <f t="shared" si="41"/>
        <v>1.71</v>
      </c>
      <c r="X199">
        <f t="shared" si="38"/>
        <v>3.42</v>
      </c>
      <c r="Y199">
        <v>0.86</v>
      </c>
      <c r="Z199">
        <v>19.899999999999999</v>
      </c>
      <c r="AA199">
        <v>19.899999999999999</v>
      </c>
      <c r="AB199">
        <v>0</v>
      </c>
      <c r="AC199">
        <v>1719.36</v>
      </c>
      <c r="AD199" t="s">
        <v>537</v>
      </c>
      <c r="AE199">
        <v>2502</v>
      </c>
      <c r="AF199">
        <v>2507</v>
      </c>
      <c r="AG199">
        <v>173</v>
      </c>
      <c r="AH199" t="s">
        <v>21</v>
      </c>
      <c r="AI199">
        <f>4.5/2226</f>
        <v>2.0215633423180594E-3</v>
      </c>
      <c r="AJ199">
        <v>1</v>
      </c>
      <c r="AK199">
        <v>10</v>
      </c>
      <c r="AL199">
        <f>AK199+AL198-AK198</f>
        <v>190</v>
      </c>
      <c r="AM199">
        <f t="shared" si="39"/>
        <v>180</v>
      </c>
      <c r="AO199">
        <f t="shared" si="34"/>
        <v>1.0227272727272727</v>
      </c>
      <c r="AP199">
        <v>197</v>
      </c>
      <c r="AQ199">
        <f t="shared" si="35"/>
        <v>57.650269541778975</v>
      </c>
      <c r="AR199">
        <f t="shared" si="33"/>
        <v>0.34973045822102428</v>
      </c>
      <c r="AS199">
        <f t="shared" si="32"/>
        <v>0.97814184636118595</v>
      </c>
      <c r="AU199" t="s">
        <v>303</v>
      </c>
      <c r="AX199" s="9" t="s">
        <v>452</v>
      </c>
      <c r="AY199">
        <v>103</v>
      </c>
      <c r="AZ199" t="s">
        <v>83</v>
      </c>
      <c r="BA199" t="s">
        <v>0</v>
      </c>
    </row>
    <row r="200" spans="1:53" x14ac:dyDescent="0.35">
      <c r="A200" t="s">
        <v>82</v>
      </c>
      <c r="B200">
        <v>2</v>
      </c>
      <c r="C200" t="s">
        <v>5</v>
      </c>
      <c r="D200" t="s">
        <v>4</v>
      </c>
      <c r="E200" t="s">
        <v>3</v>
      </c>
      <c r="F200" s="1">
        <v>0.53</v>
      </c>
      <c r="G200" t="s">
        <v>79</v>
      </c>
      <c r="H200">
        <v>4</v>
      </c>
      <c r="I200">
        <v>7</v>
      </c>
      <c r="J200">
        <v>10</v>
      </c>
      <c r="K200">
        <v>42</v>
      </c>
      <c r="L200">
        <v>16</v>
      </c>
      <c r="M200">
        <f t="shared" si="40"/>
        <v>58</v>
      </c>
      <c r="N200">
        <v>58</v>
      </c>
      <c r="O200">
        <v>3.23</v>
      </c>
      <c r="P200">
        <v>0.17</v>
      </c>
      <c r="Q200">
        <f t="shared" si="36"/>
        <v>9.4922037716518737E-3</v>
      </c>
      <c r="R200" s="6">
        <v>88</v>
      </c>
      <c r="S200">
        <v>0.95</v>
      </c>
      <c r="T200">
        <f t="shared" si="37"/>
        <v>1.04</v>
      </c>
      <c r="U200">
        <v>1.1299999999999999</v>
      </c>
      <c r="V200">
        <v>1.1399999999999999</v>
      </c>
      <c r="W200">
        <f t="shared" si="41"/>
        <v>1.71</v>
      </c>
      <c r="X200">
        <f t="shared" si="38"/>
        <v>3.42</v>
      </c>
      <c r="Y200">
        <v>0.86</v>
      </c>
      <c r="Z200">
        <v>19.899999999999999</v>
      </c>
      <c r="AA200">
        <v>19.899999999999999</v>
      </c>
      <c r="AB200">
        <v>0</v>
      </c>
      <c r="AC200">
        <f>Z200/AH206</f>
        <v>1630.4733333333331</v>
      </c>
      <c r="AF200">
        <v>2507</v>
      </c>
      <c r="AG200">
        <f>412+1142</f>
        <v>1554</v>
      </c>
      <c r="AH200">
        <f>15/1296</f>
        <v>1.1574074074074073E-2</v>
      </c>
      <c r="AI200" t="s">
        <v>21</v>
      </c>
      <c r="AJ200">
        <v>0</v>
      </c>
      <c r="AK200">
        <v>16</v>
      </c>
      <c r="AL200">
        <v>142</v>
      </c>
      <c r="AM200">
        <f t="shared" si="39"/>
        <v>126</v>
      </c>
      <c r="AO200">
        <f t="shared" si="34"/>
        <v>0.71590909090909094</v>
      </c>
      <c r="AP200">
        <v>198</v>
      </c>
      <c r="AQ200" t="str">
        <f t="shared" si="35"/>
        <v>NA</v>
      </c>
      <c r="AR200" t="str">
        <f t="shared" si="33"/>
        <v>NA</v>
      </c>
      <c r="AS200" t="str">
        <f t="shared" ref="AS200:AS263" si="42">IF(AR200&lt;&gt;"NA",(L200-AR200)/L200,"NA")</f>
        <v>NA</v>
      </c>
      <c r="AU200" s="8" t="s">
        <v>303</v>
      </c>
      <c r="AX200" s="12">
        <v>0</v>
      </c>
      <c r="AY200">
        <v>103</v>
      </c>
      <c r="AZ200" t="s">
        <v>82</v>
      </c>
      <c r="BA200" t="s">
        <v>5</v>
      </c>
    </row>
    <row r="201" spans="1:53" x14ac:dyDescent="0.35">
      <c r="A201" t="s">
        <v>82</v>
      </c>
      <c r="B201">
        <v>2</v>
      </c>
      <c r="C201" t="s">
        <v>0</v>
      </c>
      <c r="D201" t="s">
        <v>4</v>
      </c>
      <c r="E201" t="s">
        <v>3</v>
      </c>
      <c r="F201" s="1">
        <v>0.53</v>
      </c>
      <c r="G201" t="s">
        <v>79</v>
      </c>
      <c r="H201">
        <v>4</v>
      </c>
      <c r="I201">
        <v>7</v>
      </c>
      <c r="J201">
        <v>10</v>
      </c>
      <c r="K201">
        <v>42</v>
      </c>
      <c r="L201">
        <v>16</v>
      </c>
      <c r="M201">
        <f t="shared" si="40"/>
        <v>58</v>
      </c>
      <c r="N201">
        <v>58</v>
      </c>
      <c r="O201">
        <v>3.23</v>
      </c>
      <c r="P201">
        <v>0.17</v>
      </c>
      <c r="Q201">
        <f t="shared" si="36"/>
        <v>9.4922037716518737E-3</v>
      </c>
      <c r="R201" s="6">
        <v>88</v>
      </c>
      <c r="S201">
        <v>0.95</v>
      </c>
      <c r="T201">
        <f t="shared" si="37"/>
        <v>1.04</v>
      </c>
      <c r="U201">
        <v>1.1299999999999999</v>
      </c>
      <c r="V201">
        <v>1.1399999999999999</v>
      </c>
      <c r="W201">
        <f t="shared" si="41"/>
        <v>1.71</v>
      </c>
      <c r="X201">
        <f t="shared" si="38"/>
        <v>3.42</v>
      </c>
      <c r="Y201">
        <v>0.86</v>
      </c>
      <c r="Z201">
        <v>19.899999999999999</v>
      </c>
      <c r="AA201">
        <v>19.899999999999999</v>
      </c>
      <c r="AB201">
        <v>0</v>
      </c>
      <c r="AC201">
        <v>1630.4733333333331</v>
      </c>
      <c r="AF201">
        <v>2507</v>
      </c>
      <c r="AG201">
        <f>412+1142</f>
        <v>1554</v>
      </c>
      <c r="AH201" t="s">
        <v>21</v>
      </c>
      <c r="AI201">
        <f>4.5/2226</f>
        <v>2.0215633423180594E-3</v>
      </c>
      <c r="AJ201">
        <v>0</v>
      </c>
      <c r="AK201">
        <v>12</v>
      </c>
      <c r="AL201">
        <f>AK201+AL200-AK200</f>
        <v>138</v>
      </c>
      <c r="AM201">
        <f t="shared" si="39"/>
        <v>126</v>
      </c>
      <c r="AO201">
        <f t="shared" si="34"/>
        <v>0.71590909090909094</v>
      </c>
      <c r="AP201">
        <v>199</v>
      </c>
      <c r="AQ201">
        <f t="shared" si="35"/>
        <v>54.858490566037737</v>
      </c>
      <c r="AR201">
        <f t="shared" si="33"/>
        <v>3.1415094339622645</v>
      </c>
      <c r="AS201">
        <f t="shared" si="42"/>
        <v>0.80365566037735847</v>
      </c>
      <c r="AU201" s="8" t="s">
        <v>303</v>
      </c>
      <c r="AX201" s="12">
        <v>0</v>
      </c>
      <c r="AY201">
        <v>103</v>
      </c>
      <c r="AZ201" t="s">
        <v>82</v>
      </c>
      <c r="BA201" t="s">
        <v>0</v>
      </c>
    </row>
    <row r="202" spans="1:53" x14ac:dyDescent="0.35">
      <c r="A202" t="s">
        <v>81</v>
      </c>
      <c r="B202">
        <v>2</v>
      </c>
      <c r="C202" t="s">
        <v>5</v>
      </c>
      <c r="D202" t="s">
        <v>4</v>
      </c>
      <c r="E202" t="s">
        <v>3</v>
      </c>
      <c r="F202" s="1">
        <v>0.53</v>
      </c>
      <c r="G202" t="s">
        <v>79</v>
      </c>
      <c r="H202">
        <v>4</v>
      </c>
      <c r="I202">
        <v>7</v>
      </c>
      <c r="J202">
        <v>10</v>
      </c>
      <c r="K202">
        <v>42</v>
      </c>
      <c r="L202">
        <v>16</v>
      </c>
      <c r="M202">
        <f t="shared" si="40"/>
        <v>58</v>
      </c>
      <c r="N202">
        <v>58</v>
      </c>
      <c r="O202">
        <v>3.23</v>
      </c>
      <c r="P202">
        <v>0.17</v>
      </c>
      <c r="Q202">
        <f t="shared" si="36"/>
        <v>9.4922037716518737E-3</v>
      </c>
      <c r="R202" s="6">
        <v>88</v>
      </c>
      <c r="S202">
        <v>0.95</v>
      </c>
      <c r="T202">
        <f t="shared" si="37"/>
        <v>1.04</v>
      </c>
      <c r="U202">
        <v>1.1299999999999999</v>
      </c>
      <c r="V202">
        <v>1.1399999999999999</v>
      </c>
      <c r="W202">
        <f t="shared" si="41"/>
        <v>1.71</v>
      </c>
      <c r="X202">
        <f t="shared" si="38"/>
        <v>3.42</v>
      </c>
      <c r="Y202">
        <v>0.86</v>
      </c>
      <c r="Z202">
        <v>19.899999999999999</v>
      </c>
      <c r="AA202">
        <v>19.899999999999999</v>
      </c>
      <c r="AB202">
        <v>0</v>
      </c>
      <c r="AC202">
        <f>Z202/AH202</f>
        <v>1719.36</v>
      </c>
      <c r="AD202" t="s">
        <v>538</v>
      </c>
      <c r="AE202">
        <v>2502</v>
      </c>
      <c r="AF202">
        <v>2507</v>
      </c>
      <c r="AG202">
        <f>640+894</f>
        <v>1534</v>
      </c>
      <c r="AH202">
        <f>15/1296</f>
        <v>1.1574074074074073E-2</v>
      </c>
      <c r="AI202" t="s">
        <v>21</v>
      </c>
      <c r="AJ202">
        <v>0</v>
      </c>
      <c r="AK202">
        <v>22</v>
      </c>
      <c r="AL202">
        <v>116</v>
      </c>
      <c r="AM202">
        <f t="shared" si="39"/>
        <v>94</v>
      </c>
      <c r="AO202">
        <f t="shared" si="34"/>
        <v>0.53409090909090906</v>
      </c>
      <c r="AP202">
        <v>200</v>
      </c>
      <c r="AQ202" t="str">
        <f t="shared" si="35"/>
        <v>NA</v>
      </c>
      <c r="AR202" t="str">
        <f t="shared" si="33"/>
        <v>NA</v>
      </c>
      <c r="AS202" t="str">
        <f t="shared" si="42"/>
        <v>NA</v>
      </c>
      <c r="AU202" t="s">
        <v>303</v>
      </c>
      <c r="AX202" s="12">
        <v>0</v>
      </c>
      <c r="AY202">
        <v>103</v>
      </c>
      <c r="AZ202" t="s">
        <v>81</v>
      </c>
      <c r="BA202" t="s">
        <v>5</v>
      </c>
    </row>
    <row r="203" spans="1:53" x14ac:dyDescent="0.35">
      <c r="A203" t="s">
        <v>81</v>
      </c>
      <c r="B203">
        <v>2</v>
      </c>
      <c r="C203" t="s">
        <v>0</v>
      </c>
      <c r="D203" t="s">
        <v>4</v>
      </c>
      <c r="E203" t="s">
        <v>3</v>
      </c>
      <c r="F203" s="1">
        <v>0.53</v>
      </c>
      <c r="G203" t="s">
        <v>79</v>
      </c>
      <c r="H203">
        <v>4</v>
      </c>
      <c r="I203">
        <v>7</v>
      </c>
      <c r="J203">
        <v>10</v>
      </c>
      <c r="K203">
        <v>42</v>
      </c>
      <c r="L203">
        <v>16</v>
      </c>
      <c r="M203">
        <f t="shared" si="40"/>
        <v>58</v>
      </c>
      <c r="N203">
        <v>58</v>
      </c>
      <c r="O203">
        <v>3.23</v>
      </c>
      <c r="P203">
        <v>0.17</v>
      </c>
      <c r="Q203">
        <f t="shared" si="36"/>
        <v>9.4922037716518737E-3</v>
      </c>
      <c r="R203" s="6">
        <v>88</v>
      </c>
      <c r="S203">
        <v>0.95</v>
      </c>
      <c r="T203">
        <f t="shared" si="37"/>
        <v>1.04</v>
      </c>
      <c r="U203">
        <v>1.1299999999999999</v>
      </c>
      <c r="V203">
        <v>1.1399999999999999</v>
      </c>
      <c r="W203">
        <f t="shared" si="41"/>
        <v>1.71</v>
      </c>
      <c r="X203">
        <f t="shared" si="38"/>
        <v>3.42</v>
      </c>
      <c r="Y203">
        <v>0.86</v>
      </c>
      <c r="Z203">
        <v>19.899999999999999</v>
      </c>
      <c r="AA203">
        <v>19.899999999999999</v>
      </c>
      <c r="AB203">
        <v>0</v>
      </c>
      <c r="AC203">
        <v>1719.36</v>
      </c>
      <c r="AD203" t="s">
        <v>539</v>
      </c>
      <c r="AE203">
        <v>2502</v>
      </c>
      <c r="AF203">
        <v>2507</v>
      </c>
      <c r="AG203">
        <f>640+894</f>
        <v>1534</v>
      </c>
      <c r="AH203" t="s">
        <v>21</v>
      </c>
      <c r="AI203">
        <f>4.5/2226</f>
        <v>2.0215633423180594E-3</v>
      </c>
      <c r="AJ203">
        <v>0</v>
      </c>
      <c r="AK203">
        <v>17</v>
      </c>
      <c r="AL203">
        <f>AK203+AL202-AK202</f>
        <v>111</v>
      </c>
      <c r="AM203">
        <f t="shared" si="39"/>
        <v>94</v>
      </c>
      <c r="AO203">
        <f t="shared" si="34"/>
        <v>0.53409090909090906</v>
      </c>
      <c r="AP203">
        <v>201</v>
      </c>
      <c r="AQ203">
        <f t="shared" si="35"/>
        <v>54.898921832884099</v>
      </c>
      <c r="AR203">
        <f t="shared" si="33"/>
        <v>3.1010781671159031</v>
      </c>
      <c r="AS203">
        <f t="shared" si="42"/>
        <v>0.80618261455525608</v>
      </c>
      <c r="AU203" t="s">
        <v>303</v>
      </c>
      <c r="AX203" s="12">
        <v>0</v>
      </c>
      <c r="AY203">
        <v>103</v>
      </c>
      <c r="AZ203" t="s">
        <v>81</v>
      </c>
      <c r="BA203" t="s">
        <v>0</v>
      </c>
    </row>
    <row r="204" spans="1:53" x14ac:dyDescent="0.35">
      <c r="A204" t="s">
        <v>80</v>
      </c>
      <c r="B204">
        <v>2</v>
      </c>
      <c r="C204" t="s">
        <v>5</v>
      </c>
      <c r="D204" t="s">
        <v>4</v>
      </c>
      <c r="E204" t="s">
        <v>3</v>
      </c>
      <c r="F204" s="1">
        <v>0.53</v>
      </c>
      <c r="G204" t="s">
        <v>79</v>
      </c>
      <c r="H204">
        <v>4</v>
      </c>
      <c r="I204">
        <v>7</v>
      </c>
      <c r="J204">
        <v>10</v>
      </c>
      <c r="K204">
        <v>42</v>
      </c>
      <c r="L204">
        <v>16</v>
      </c>
      <c r="M204">
        <f t="shared" si="40"/>
        <v>58</v>
      </c>
      <c r="N204">
        <v>58</v>
      </c>
      <c r="O204">
        <v>3.23</v>
      </c>
      <c r="P204">
        <v>0.17</v>
      </c>
      <c r="Q204">
        <f t="shared" si="36"/>
        <v>9.4922037716518737E-3</v>
      </c>
      <c r="R204" s="6">
        <v>88</v>
      </c>
      <c r="S204">
        <v>0.95</v>
      </c>
      <c r="T204">
        <f t="shared" si="37"/>
        <v>1.04</v>
      </c>
      <c r="U204">
        <v>1.1299999999999999</v>
      </c>
      <c r="V204">
        <v>1.1399999999999999</v>
      </c>
      <c r="W204">
        <f t="shared" si="41"/>
        <v>1.71</v>
      </c>
      <c r="X204">
        <f t="shared" si="38"/>
        <v>3.42</v>
      </c>
      <c r="Y204">
        <v>0.86</v>
      </c>
      <c r="Z204">
        <v>19.899999999999999</v>
      </c>
      <c r="AA204">
        <v>19.899999999999999</v>
      </c>
      <c r="AB204">
        <v>0</v>
      </c>
      <c r="AC204">
        <f>Z204/AH204</f>
        <v>1719.36</v>
      </c>
      <c r="AF204">
        <v>2507</v>
      </c>
      <c r="AG204">
        <f>627+456+347+181</f>
        <v>1611</v>
      </c>
      <c r="AH204">
        <f>15/1296</f>
        <v>1.1574074074074073E-2</v>
      </c>
      <c r="AI204" t="s">
        <v>21</v>
      </c>
      <c r="AJ204">
        <v>0</v>
      </c>
      <c r="AK204">
        <v>20</v>
      </c>
      <c r="AL204">
        <v>125</v>
      </c>
      <c r="AM204">
        <f t="shared" si="39"/>
        <v>105</v>
      </c>
      <c r="AO204">
        <f t="shared" si="34"/>
        <v>0.59659090909090906</v>
      </c>
      <c r="AP204">
        <v>202</v>
      </c>
      <c r="AQ204" t="str">
        <f t="shared" si="35"/>
        <v>NA</v>
      </c>
      <c r="AR204" t="str">
        <f t="shared" ref="AR204:AR267" si="43">IF(AI204&lt;&gt;"NA",AG204*AI204,"NA")</f>
        <v>NA</v>
      </c>
      <c r="AS204" t="str">
        <f t="shared" si="42"/>
        <v>NA</v>
      </c>
      <c r="AU204" t="s">
        <v>303</v>
      </c>
      <c r="AX204" s="12">
        <v>0</v>
      </c>
      <c r="AY204">
        <v>103</v>
      </c>
      <c r="AZ204" t="s">
        <v>80</v>
      </c>
      <c r="BA204" t="s">
        <v>5</v>
      </c>
    </row>
    <row r="205" spans="1:53" x14ac:dyDescent="0.35">
      <c r="A205" t="s">
        <v>80</v>
      </c>
      <c r="B205">
        <v>2</v>
      </c>
      <c r="C205" t="s">
        <v>0</v>
      </c>
      <c r="D205" t="s">
        <v>4</v>
      </c>
      <c r="E205" t="s">
        <v>3</v>
      </c>
      <c r="F205" s="1">
        <v>0.53</v>
      </c>
      <c r="G205" t="s">
        <v>79</v>
      </c>
      <c r="H205">
        <v>4</v>
      </c>
      <c r="I205">
        <v>7</v>
      </c>
      <c r="J205">
        <v>10</v>
      </c>
      <c r="K205">
        <v>42</v>
      </c>
      <c r="L205">
        <v>16</v>
      </c>
      <c r="M205">
        <f t="shared" si="40"/>
        <v>58</v>
      </c>
      <c r="N205">
        <v>58</v>
      </c>
      <c r="O205">
        <v>3.23</v>
      </c>
      <c r="P205">
        <v>0.17</v>
      </c>
      <c r="Q205">
        <f t="shared" si="36"/>
        <v>9.4922037716518737E-3</v>
      </c>
      <c r="R205" s="6">
        <v>88</v>
      </c>
      <c r="S205">
        <v>0.95</v>
      </c>
      <c r="T205">
        <f t="shared" si="37"/>
        <v>1.04</v>
      </c>
      <c r="U205">
        <v>1.1299999999999999</v>
      </c>
      <c r="V205">
        <v>1.1399999999999999</v>
      </c>
      <c r="W205">
        <f t="shared" si="41"/>
        <v>1.71</v>
      </c>
      <c r="X205">
        <f t="shared" si="38"/>
        <v>3.42</v>
      </c>
      <c r="Y205">
        <v>0.86</v>
      </c>
      <c r="Z205">
        <v>19.899999999999999</v>
      </c>
      <c r="AA205">
        <v>19.899999999999999</v>
      </c>
      <c r="AB205">
        <v>0</v>
      </c>
      <c r="AC205">
        <v>1719.36</v>
      </c>
      <c r="AF205">
        <v>2507</v>
      </c>
      <c r="AG205">
        <f>627+456+347+181</f>
        <v>1611</v>
      </c>
      <c r="AH205" t="s">
        <v>21</v>
      </c>
      <c r="AI205">
        <f>4.5/2226</f>
        <v>2.0215633423180594E-3</v>
      </c>
      <c r="AJ205">
        <v>0</v>
      </c>
      <c r="AK205">
        <v>5</v>
      </c>
      <c r="AL205">
        <f>AK205+AL204-AK204</f>
        <v>110</v>
      </c>
      <c r="AM205">
        <f t="shared" si="39"/>
        <v>105</v>
      </c>
      <c r="AO205">
        <f t="shared" si="34"/>
        <v>0.59659090909090906</v>
      </c>
      <c r="AP205">
        <v>203</v>
      </c>
      <c r="AQ205">
        <f t="shared" si="35"/>
        <v>54.743261455525605</v>
      </c>
      <c r="AR205">
        <f t="shared" si="43"/>
        <v>3.2567385444743939</v>
      </c>
      <c r="AS205">
        <f t="shared" si="42"/>
        <v>0.79645384097035032</v>
      </c>
      <c r="AU205" t="s">
        <v>303</v>
      </c>
      <c r="AX205" s="12">
        <v>0</v>
      </c>
      <c r="AY205">
        <v>103</v>
      </c>
      <c r="AZ205" t="s">
        <v>80</v>
      </c>
      <c r="BA205" t="s">
        <v>0</v>
      </c>
    </row>
    <row r="206" spans="1:53" x14ac:dyDescent="0.35">
      <c r="A206" t="s">
        <v>78</v>
      </c>
      <c r="B206">
        <v>1</v>
      </c>
      <c r="C206" t="s">
        <v>5</v>
      </c>
      <c r="D206" t="s">
        <v>4</v>
      </c>
      <c r="E206" t="s">
        <v>3</v>
      </c>
      <c r="F206" s="1">
        <v>0.53</v>
      </c>
      <c r="G206" t="s">
        <v>79</v>
      </c>
      <c r="H206">
        <v>4</v>
      </c>
      <c r="I206">
        <v>5</v>
      </c>
      <c r="J206">
        <v>13</v>
      </c>
      <c r="K206">
        <v>34</v>
      </c>
      <c r="L206">
        <v>14</v>
      </c>
      <c r="M206">
        <f t="shared" si="40"/>
        <v>48</v>
      </c>
      <c r="N206">
        <v>52</v>
      </c>
      <c r="O206">
        <v>3.87</v>
      </c>
      <c r="P206">
        <v>0.22</v>
      </c>
      <c r="Q206">
        <f t="shared" si="36"/>
        <v>1.1972930685034978E-2</v>
      </c>
      <c r="R206" s="6">
        <v>96</v>
      </c>
      <c r="S206">
        <v>0.87</v>
      </c>
      <c r="T206">
        <f t="shared" si="37"/>
        <v>1.02</v>
      </c>
      <c r="U206">
        <v>1.17</v>
      </c>
      <c r="V206">
        <v>1.23</v>
      </c>
      <c r="W206">
        <f t="shared" si="41"/>
        <v>1.845</v>
      </c>
      <c r="X206">
        <f t="shared" si="38"/>
        <v>3.69</v>
      </c>
      <c r="Y206">
        <v>3.1</v>
      </c>
      <c r="Z206">
        <v>19.899999999999999</v>
      </c>
      <c r="AA206">
        <v>19.899999999999999</v>
      </c>
      <c r="AB206">
        <v>0</v>
      </c>
      <c r="AC206">
        <f>Z206/AH206</f>
        <v>1630.4733333333331</v>
      </c>
      <c r="AD206" t="s">
        <v>540</v>
      </c>
      <c r="AE206">
        <v>2081</v>
      </c>
      <c r="AF206">
        <v>2080</v>
      </c>
      <c r="AG206">
        <f>860+1259</f>
        <v>2119</v>
      </c>
      <c r="AH206">
        <f>15/1229</f>
        <v>1.2205044751830757E-2</v>
      </c>
      <c r="AI206" t="s">
        <v>21</v>
      </c>
      <c r="AJ206">
        <v>1</v>
      </c>
      <c r="AK206">
        <v>8</v>
      </c>
      <c r="AL206">
        <v>356</v>
      </c>
      <c r="AM206">
        <f t="shared" si="39"/>
        <v>348</v>
      </c>
      <c r="AO206">
        <f t="shared" si="34"/>
        <v>1.8125</v>
      </c>
      <c r="AP206">
        <v>204</v>
      </c>
      <c r="AQ206" t="str">
        <f t="shared" si="35"/>
        <v>NA</v>
      </c>
      <c r="AR206" t="str">
        <f t="shared" si="43"/>
        <v>NA</v>
      </c>
      <c r="AS206" t="str">
        <f t="shared" si="42"/>
        <v>NA</v>
      </c>
      <c r="AU206" t="s">
        <v>303</v>
      </c>
      <c r="AW206" t="s">
        <v>313</v>
      </c>
      <c r="AX206" s="13">
        <v>1</v>
      </c>
      <c r="AY206">
        <v>104</v>
      </c>
      <c r="AZ206" t="s">
        <v>78</v>
      </c>
      <c r="BA206" t="s">
        <v>5</v>
      </c>
    </row>
    <row r="207" spans="1:53" x14ac:dyDescent="0.35">
      <c r="A207" t="s">
        <v>78</v>
      </c>
      <c r="B207">
        <v>1</v>
      </c>
      <c r="C207" t="s">
        <v>0</v>
      </c>
      <c r="D207" t="s">
        <v>4</v>
      </c>
      <c r="E207" t="s">
        <v>3</v>
      </c>
      <c r="F207" s="1">
        <v>0.53</v>
      </c>
      <c r="G207" t="s">
        <v>79</v>
      </c>
      <c r="H207">
        <v>4</v>
      </c>
      <c r="I207">
        <v>5</v>
      </c>
      <c r="J207">
        <v>13</v>
      </c>
      <c r="K207">
        <v>34</v>
      </c>
      <c r="L207">
        <v>14</v>
      </c>
      <c r="M207">
        <f t="shared" si="40"/>
        <v>48</v>
      </c>
      <c r="N207">
        <v>52</v>
      </c>
      <c r="O207">
        <v>3.87</v>
      </c>
      <c r="P207">
        <v>0.22</v>
      </c>
      <c r="Q207">
        <f t="shared" si="36"/>
        <v>1.1972930685034978E-2</v>
      </c>
      <c r="R207" s="6">
        <v>96</v>
      </c>
      <c r="S207">
        <v>0.87</v>
      </c>
      <c r="T207">
        <f t="shared" si="37"/>
        <v>1.02</v>
      </c>
      <c r="U207">
        <v>1.17</v>
      </c>
      <c r="V207">
        <v>1.23</v>
      </c>
      <c r="W207">
        <f t="shared" si="41"/>
        <v>1.845</v>
      </c>
      <c r="X207">
        <f t="shared" si="38"/>
        <v>3.69</v>
      </c>
      <c r="Y207">
        <v>3.1</v>
      </c>
      <c r="Z207">
        <v>19.899999999999999</v>
      </c>
      <c r="AA207">
        <v>19.899999999999999</v>
      </c>
      <c r="AB207">
        <v>0</v>
      </c>
      <c r="AC207">
        <v>1630.4733333333331</v>
      </c>
      <c r="AD207" t="s">
        <v>541</v>
      </c>
      <c r="AE207">
        <v>2081</v>
      </c>
      <c r="AF207">
        <v>2080</v>
      </c>
      <c r="AG207">
        <f>860+1259</f>
        <v>2119</v>
      </c>
      <c r="AH207" t="s">
        <v>21</v>
      </c>
      <c r="AI207">
        <f>4.5/2252</f>
        <v>1.9982238010657193E-3</v>
      </c>
      <c r="AJ207">
        <v>1</v>
      </c>
      <c r="AK207">
        <v>10</v>
      </c>
      <c r="AL207">
        <f>AK207+AL206-AK206</f>
        <v>358</v>
      </c>
      <c r="AM207">
        <f t="shared" si="39"/>
        <v>348</v>
      </c>
      <c r="AO207">
        <f t="shared" si="34"/>
        <v>1.8125</v>
      </c>
      <c r="AP207">
        <v>205</v>
      </c>
      <c r="AQ207">
        <f t="shared" si="35"/>
        <v>43.765763765541742</v>
      </c>
      <c r="AR207">
        <f t="shared" si="43"/>
        <v>4.2342362344582591</v>
      </c>
      <c r="AS207">
        <f t="shared" si="42"/>
        <v>0.69755455468155303</v>
      </c>
      <c r="AU207" t="s">
        <v>303</v>
      </c>
      <c r="AW207" t="s">
        <v>313</v>
      </c>
      <c r="AX207" s="13">
        <v>1</v>
      </c>
      <c r="AY207">
        <v>104</v>
      </c>
      <c r="AZ207" t="s">
        <v>78</v>
      </c>
      <c r="BA207" t="s">
        <v>0</v>
      </c>
    </row>
    <row r="208" spans="1:53" x14ac:dyDescent="0.35">
      <c r="A208" t="s">
        <v>77</v>
      </c>
      <c r="B208">
        <v>2</v>
      </c>
      <c r="C208" t="s">
        <v>5</v>
      </c>
      <c r="D208" t="s">
        <v>4</v>
      </c>
      <c r="E208" t="s">
        <v>3</v>
      </c>
      <c r="F208" s="1">
        <v>0.55000000000000004</v>
      </c>
      <c r="G208" t="s">
        <v>59</v>
      </c>
      <c r="H208">
        <v>3</v>
      </c>
      <c r="I208">
        <v>4</v>
      </c>
      <c r="J208">
        <v>8</v>
      </c>
      <c r="K208">
        <v>37</v>
      </c>
      <c r="L208">
        <v>8</v>
      </c>
      <c r="M208">
        <f t="shared" si="40"/>
        <v>45</v>
      </c>
      <c r="N208">
        <v>48.5</v>
      </c>
      <c r="O208">
        <v>3.67</v>
      </c>
      <c r="P208">
        <v>0.19</v>
      </c>
      <c r="Q208">
        <f t="shared" si="36"/>
        <v>1.0653023399685402E-2</v>
      </c>
      <c r="R208" s="6">
        <v>104.5</v>
      </c>
      <c r="S208">
        <v>0.97</v>
      </c>
      <c r="T208">
        <f t="shared" si="37"/>
        <v>1.0449999999999999</v>
      </c>
      <c r="U208">
        <v>1.1200000000000001</v>
      </c>
      <c r="V208">
        <v>1.1200000000000001</v>
      </c>
      <c r="W208">
        <f t="shared" si="41"/>
        <v>1.6800000000000002</v>
      </c>
      <c r="X208">
        <f t="shared" si="38"/>
        <v>3.3600000000000003</v>
      </c>
      <c r="Y208">
        <v>0.86</v>
      </c>
      <c r="Z208">
        <v>19.899999999999999</v>
      </c>
      <c r="AA208">
        <v>19.899999999999999</v>
      </c>
      <c r="AB208">
        <v>0</v>
      </c>
      <c r="AC208">
        <f>Z208/AH208</f>
        <v>1752.5266666666664</v>
      </c>
      <c r="AD208" t="s">
        <v>542</v>
      </c>
      <c r="AE208">
        <v>3055</v>
      </c>
      <c r="AF208">
        <v>3055</v>
      </c>
      <c r="AG208">
        <f>222</f>
        <v>222</v>
      </c>
      <c r="AH208">
        <f>15/1321</f>
        <v>1.1355034065102196E-2</v>
      </c>
      <c r="AI208" t="s">
        <v>21</v>
      </c>
      <c r="AJ208">
        <v>0</v>
      </c>
      <c r="AK208">
        <v>7</v>
      </c>
      <c r="AL208">
        <v>15</v>
      </c>
      <c r="AM208">
        <f t="shared" si="39"/>
        <v>8</v>
      </c>
      <c r="AO208">
        <f t="shared" si="34"/>
        <v>3.8277511961722487E-2</v>
      </c>
      <c r="AP208">
        <v>206</v>
      </c>
      <c r="AQ208" t="str">
        <f t="shared" si="35"/>
        <v>NA</v>
      </c>
      <c r="AR208" t="str">
        <f t="shared" si="43"/>
        <v>NA</v>
      </c>
      <c r="AS208" t="str">
        <f t="shared" si="42"/>
        <v>NA</v>
      </c>
      <c r="AU208" t="s">
        <v>303</v>
      </c>
      <c r="AX208" s="12">
        <v>0</v>
      </c>
      <c r="AY208">
        <v>105</v>
      </c>
      <c r="AZ208" t="s">
        <v>77</v>
      </c>
      <c r="BA208" t="s">
        <v>5</v>
      </c>
    </row>
    <row r="209" spans="1:53" x14ac:dyDescent="0.35">
      <c r="A209" t="s">
        <v>77</v>
      </c>
      <c r="B209">
        <v>2</v>
      </c>
      <c r="C209" t="s">
        <v>0</v>
      </c>
      <c r="D209" t="s">
        <v>4</v>
      </c>
      <c r="E209" t="s">
        <v>3</v>
      </c>
      <c r="F209" s="1">
        <v>0.55000000000000004</v>
      </c>
      <c r="G209" t="s">
        <v>59</v>
      </c>
      <c r="H209">
        <v>3</v>
      </c>
      <c r="I209">
        <v>4</v>
      </c>
      <c r="J209">
        <v>8</v>
      </c>
      <c r="K209">
        <v>37</v>
      </c>
      <c r="L209">
        <v>8</v>
      </c>
      <c r="M209">
        <f t="shared" si="40"/>
        <v>45</v>
      </c>
      <c r="N209">
        <v>48.5</v>
      </c>
      <c r="O209">
        <v>3.67</v>
      </c>
      <c r="P209">
        <v>0.19</v>
      </c>
      <c r="Q209">
        <f t="shared" si="36"/>
        <v>1.0653023399685402E-2</v>
      </c>
      <c r="R209" s="6">
        <v>104.5</v>
      </c>
      <c r="S209">
        <v>0.97</v>
      </c>
      <c r="T209">
        <f t="shared" si="37"/>
        <v>1.0449999999999999</v>
      </c>
      <c r="U209">
        <v>1.1200000000000001</v>
      </c>
      <c r="V209">
        <v>1.1200000000000001</v>
      </c>
      <c r="W209">
        <f t="shared" si="41"/>
        <v>1.6800000000000002</v>
      </c>
      <c r="X209">
        <f t="shared" si="38"/>
        <v>3.3600000000000003</v>
      </c>
      <c r="Y209">
        <v>0.86</v>
      </c>
      <c r="Z209">
        <v>19.899999999999999</v>
      </c>
      <c r="AA209">
        <v>19.899999999999999</v>
      </c>
      <c r="AB209">
        <v>0</v>
      </c>
      <c r="AC209">
        <v>1752.5266666666664</v>
      </c>
      <c r="AD209" t="s">
        <v>543</v>
      </c>
      <c r="AE209">
        <v>3055</v>
      </c>
      <c r="AF209">
        <v>3055</v>
      </c>
      <c r="AG209">
        <f>222</f>
        <v>222</v>
      </c>
      <c r="AH209" t="s">
        <v>21</v>
      </c>
      <c r="AI209">
        <f>4.5/2466</f>
        <v>1.8248175182481751E-3</v>
      </c>
      <c r="AJ209">
        <v>0</v>
      </c>
      <c r="AK209">
        <v>10</v>
      </c>
      <c r="AL209">
        <f>AK209+AL208-AK208</f>
        <v>18</v>
      </c>
      <c r="AM209">
        <f t="shared" si="39"/>
        <v>8</v>
      </c>
      <c r="AO209">
        <f t="shared" si="34"/>
        <v>3.8277511961722487E-2</v>
      </c>
      <c r="AP209">
        <v>207</v>
      </c>
      <c r="AQ209">
        <f t="shared" si="35"/>
        <v>44.594890510948908</v>
      </c>
      <c r="AR209">
        <f t="shared" si="43"/>
        <v>0.4051094890510949</v>
      </c>
      <c r="AS209">
        <f t="shared" si="42"/>
        <v>0.94936131386861311</v>
      </c>
      <c r="AU209" t="s">
        <v>303</v>
      </c>
      <c r="AX209" s="12">
        <v>0</v>
      </c>
      <c r="AY209">
        <v>105</v>
      </c>
      <c r="AZ209" t="s">
        <v>77</v>
      </c>
      <c r="BA209" t="s">
        <v>0</v>
      </c>
    </row>
    <row r="210" spans="1:53" x14ac:dyDescent="0.35">
      <c r="A210" t="s">
        <v>76</v>
      </c>
      <c r="B210">
        <v>2</v>
      </c>
      <c r="C210" t="s">
        <v>5</v>
      </c>
      <c r="D210" t="s">
        <v>4</v>
      </c>
      <c r="E210" t="s">
        <v>3</v>
      </c>
      <c r="F210" s="1">
        <v>0.55000000000000004</v>
      </c>
      <c r="G210" t="s">
        <v>59</v>
      </c>
      <c r="H210">
        <v>3</v>
      </c>
      <c r="I210">
        <v>4</v>
      </c>
      <c r="J210">
        <v>8</v>
      </c>
      <c r="K210">
        <v>37</v>
      </c>
      <c r="L210">
        <v>8</v>
      </c>
      <c r="M210">
        <f t="shared" si="40"/>
        <v>45</v>
      </c>
      <c r="N210">
        <v>48.5</v>
      </c>
      <c r="O210">
        <v>3.67</v>
      </c>
      <c r="P210">
        <v>0.19</v>
      </c>
      <c r="Q210">
        <f t="shared" si="36"/>
        <v>1.0653023399685402E-2</v>
      </c>
      <c r="R210" s="6">
        <v>104.5</v>
      </c>
      <c r="S210">
        <v>0.97</v>
      </c>
      <c r="T210">
        <f t="shared" si="37"/>
        <v>1.0449999999999999</v>
      </c>
      <c r="U210">
        <v>1.1200000000000001</v>
      </c>
      <c r="V210">
        <v>1.1200000000000001</v>
      </c>
      <c r="W210">
        <f t="shared" si="41"/>
        <v>1.6800000000000002</v>
      </c>
      <c r="X210">
        <f t="shared" si="38"/>
        <v>3.3600000000000003</v>
      </c>
      <c r="Y210">
        <v>0.86</v>
      </c>
      <c r="Z210">
        <v>19.899999999999999</v>
      </c>
      <c r="AA210">
        <v>19.899999999999999</v>
      </c>
      <c r="AB210">
        <v>0</v>
      </c>
      <c r="AC210">
        <f>Z210/AH210</f>
        <v>1752.5266666666664</v>
      </c>
      <c r="AF210">
        <v>3055</v>
      </c>
      <c r="AG210">
        <f>321+125</f>
        <v>446</v>
      </c>
      <c r="AH210">
        <f>15/1321</f>
        <v>1.1355034065102196E-2</v>
      </c>
      <c r="AI210" t="s">
        <v>21</v>
      </c>
      <c r="AJ210">
        <v>1</v>
      </c>
      <c r="AK210">
        <v>14</v>
      </c>
      <c r="AL210">
        <v>249</v>
      </c>
      <c r="AM210">
        <f t="shared" si="39"/>
        <v>235</v>
      </c>
      <c r="AO210">
        <f t="shared" si="34"/>
        <v>1.1244019138755981</v>
      </c>
      <c r="AP210">
        <v>208</v>
      </c>
      <c r="AQ210" t="str">
        <f t="shared" si="35"/>
        <v>NA</v>
      </c>
      <c r="AR210" t="str">
        <f t="shared" si="43"/>
        <v>NA</v>
      </c>
      <c r="AS210" t="str">
        <f t="shared" si="42"/>
        <v>NA</v>
      </c>
      <c r="AU210" t="s">
        <v>303</v>
      </c>
      <c r="AV210" t="s">
        <v>432</v>
      </c>
      <c r="AX210" s="9" t="s">
        <v>452</v>
      </c>
      <c r="AY210">
        <v>106</v>
      </c>
      <c r="AZ210" t="s">
        <v>76</v>
      </c>
      <c r="BA210" t="s">
        <v>5</v>
      </c>
    </row>
    <row r="211" spans="1:53" x14ac:dyDescent="0.35">
      <c r="A211" t="s">
        <v>76</v>
      </c>
      <c r="B211">
        <v>2</v>
      </c>
      <c r="C211" t="s">
        <v>0</v>
      </c>
      <c r="D211" t="s">
        <v>4</v>
      </c>
      <c r="E211" t="s">
        <v>3</v>
      </c>
      <c r="F211" s="1">
        <v>0.55000000000000004</v>
      </c>
      <c r="G211" t="s">
        <v>59</v>
      </c>
      <c r="H211">
        <v>3</v>
      </c>
      <c r="I211">
        <v>4</v>
      </c>
      <c r="J211">
        <v>8</v>
      </c>
      <c r="K211">
        <v>37</v>
      </c>
      <c r="L211">
        <v>8</v>
      </c>
      <c r="M211">
        <f t="shared" si="40"/>
        <v>45</v>
      </c>
      <c r="N211">
        <v>48.5</v>
      </c>
      <c r="O211">
        <v>3.67</v>
      </c>
      <c r="P211">
        <v>0.19</v>
      </c>
      <c r="Q211">
        <f t="shared" si="36"/>
        <v>1.0653023399685402E-2</v>
      </c>
      <c r="R211" s="6">
        <v>104.5</v>
      </c>
      <c r="S211">
        <v>0.97</v>
      </c>
      <c r="T211">
        <f t="shared" si="37"/>
        <v>1.0449999999999999</v>
      </c>
      <c r="U211">
        <v>1.1200000000000001</v>
      </c>
      <c r="V211">
        <v>1.1200000000000001</v>
      </c>
      <c r="W211">
        <f t="shared" si="41"/>
        <v>1.6800000000000002</v>
      </c>
      <c r="X211">
        <f t="shared" si="38"/>
        <v>3.3600000000000003</v>
      </c>
      <c r="Y211">
        <v>0.86</v>
      </c>
      <c r="Z211">
        <v>19.899999999999999</v>
      </c>
      <c r="AA211">
        <v>19.899999999999999</v>
      </c>
      <c r="AB211">
        <v>0</v>
      </c>
      <c r="AC211">
        <v>1752.5266666666664</v>
      </c>
      <c r="AF211">
        <v>3055</v>
      </c>
      <c r="AG211">
        <f>321+125</f>
        <v>446</v>
      </c>
      <c r="AH211" t="s">
        <v>21</v>
      </c>
      <c r="AI211">
        <f>4.5/2466</f>
        <v>1.8248175182481751E-3</v>
      </c>
      <c r="AJ211">
        <v>1</v>
      </c>
      <c r="AK211">
        <v>11</v>
      </c>
      <c r="AL211">
        <f>AK211+AL210-AK210</f>
        <v>246</v>
      </c>
      <c r="AM211">
        <f t="shared" si="39"/>
        <v>235</v>
      </c>
      <c r="AO211">
        <f t="shared" si="34"/>
        <v>1.1244019138755981</v>
      </c>
      <c r="AP211">
        <v>209</v>
      </c>
      <c r="AQ211">
        <f t="shared" si="35"/>
        <v>44.186131386861312</v>
      </c>
      <c r="AR211">
        <f t="shared" si="43"/>
        <v>0.81386861313868608</v>
      </c>
      <c r="AS211">
        <f t="shared" si="42"/>
        <v>0.89826642335766427</v>
      </c>
      <c r="AU211" t="s">
        <v>303</v>
      </c>
      <c r="AV211" t="s">
        <v>432</v>
      </c>
      <c r="AX211" s="9" t="s">
        <v>452</v>
      </c>
      <c r="AY211">
        <v>106</v>
      </c>
      <c r="AZ211" t="s">
        <v>76</v>
      </c>
      <c r="BA211" t="s">
        <v>0</v>
      </c>
    </row>
    <row r="212" spans="1:53" x14ac:dyDescent="0.35">
      <c r="A212" t="s">
        <v>75</v>
      </c>
      <c r="B212">
        <v>2</v>
      </c>
      <c r="C212" t="s">
        <v>5</v>
      </c>
      <c r="D212" t="s">
        <v>4</v>
      </c>
      <c r="E212" t="s">
        <v>3</v>
      </c>
      <c r="F212" s="1">
        <v>0.55000000000000004</v>
      </c>
      <c r="G212" t="s">
        <v>59</v>
      </c>
      <c r="H212">
        <v>3</v>
      </c>
      <c r="I212">
        <v>4</v>
      </c>
      <c r="J212">
        <v>8</v>
      </c>
      <c r="K212">
        <v>37</v>
      </c>
      <c r="L212">
        <v>8</v>
      </c>
      <c r="M212">
        <f t="shared" si="40"/>
        <v>45</v>
      </c>
      <c r="N212">
        <v>48.5</v>
      </c>
      <c r="O212">
        <v>3.67</v>
      </c>
      <c r="P212">
        <v>0.19</v>
      </c>
      <c r="Q212">
        <f t="shared" si="36"/>
        <v>1.0653023399685402E-2</v>
      </c>
      <c r="R212" s="6">
        <v>104.5</v>
      </c>
      <c r="S212">
        <v>0.97</v>
      </c>
      <c r="T212">
        <f t="shared" si="37"/>
        <v>1.0449999999999999</v>
      </c>
      <c r="U212">
        <v>1.1200000000000001</v>
      </c>
      <c r="V212">
        <v>1.1200000000000001</v>
      </c>
      <c r="W212">
        <f t="shared" si="41"/>
        <v>1.6800000000000002</v>
      </c>
      <c r="X212">
        <f t="shared" si="38"/>
        <v>3.3600000000000003</v>
      </c>
      <c r="Y212">
        <v>0.86</v>
      </c>
      <c r="Z212">
        <v>19.899999999999999</v>
      </c>
      <c r="AA212">
        <v>19.899999999999999</v>
      </c>
      <c r="AB212">
        <v>0</v>
      </c>
      <c r="AC212">
        <f>Z212/AH212</f>
        <v>1752.5266666666664</v>
      </c>
      <c r="AF212">
        <v>3055</v>
      </c>
      <c r="AG212">
        <f>507+752+704</f>
        <v>1963</v>
      </c>
      <c r="AH212">
        <f>15/1321</f>
        <v>1.1355034065102196E-2</v>
      </c>
      <c r="AI212" t="s">
        <v>21</v>
      </c>
      <c r="AJ212">
        <v>0</v>
      </c>
      <c r="AK212">
        <v>6</v>
      </c>
      <c r="AL212">
        <v>140</v>
      </c>
      <c r="AM212">
        <f t="shared" si="39"/>
        <v>134</v>
      </c>
      <c r="AO212">
        <f t="shared" si="34"/>
        <v>0.64114832535885169</v>
      </c>
      <c r="AP212">
        <v>210</v>
      </c>
      <c r="AQ212" t="str">
        <f t="shared" si="35"/>
        <v>NA</v>
      </c>
      <c r="AR212" t="str">
        <f t="shared" si="43"/>
        <v>NA</v>
      </c>
      <c r="AS212" t="str">
        <f t="shared" si="42"/>
        <v>NA</v>
      </c>
      <c r="AU212" t="s">
        <v>303</v>
      </c>
      <c r="AV212" t="s">
        <v>432</v>
      </c>
      <c r="AX212" s="12">
        <v>0</v>
      </c>
      <c r="AY212">
        <v>107</v>
      </c>
      <c r="AZ212" t="s">
        <v>75</v>
      </c>
      <c r="BA212" t="s">
        <v>5</v>
      </c>
    </row>
    <row r="213" spans="1:53" x14ac:dyDescent="0.35">
      <c r="A213" t="s">
        <v>75</v>
      </c>
      <c r="B213">
        <v>2</v>
      </c>
      <c r="C213" t="s">
        <v>0</v>
      </c>
      <c r="D213" t="s">
        <v>4</v>
      </c>
      <c r="E213" t="s">
        <v>3</v>
      </c>
      <c r="F213" s="1">
        <v>0.55000000000000004</v>
      </c>
      <c r="G213" t="s">
        <v>59</v>
      </c>
      <c r="H213">
        <v>3</v>
      </c>
      <c r="I213">
        <v>4</v>
      </c>
      <c r="J213">
        <v>8</v>
      </c>
      <c r="K213">
        <v>37</v>
      </c>
      <c r="L213">
        <v>8</v>
      </c>
      <c r="M213">
        <f t="shared" si="40"/>
        <v>45</v>
      </c>
      <c r="N213">
        <v>48.5</v>
      </c>
      <c r="O213">
        <v>3.67</v>
      </c>
      <c r="P213">
        <v>0.19</v>
      </c>
      <c r="Q213">
        <f t="shared" si="36"/>
        <v>1.0653023399685402E-2</v>
      </c>
      <c r="R213" s="6">
        <v>104.5</v>
      </c>
      <c r="S213">
        <v>0.97</v>
      </c>
      <c r="T213">
        <f t="shared" si="37"/>
        <v>1.0449999999999999</v>
      </c>
      <c r="U213">
        <v>1.1200000000000001</v>
      </c>
      <c r="V213">
        <v>1.1200000000000001</v>
      </c>
      <c r="W213">
        <f t="shared" si="41"/>
        <v>1.6800000000000002</v>
      </c>
      <c r="X213">
        <f t="shared" si="38"/>
        <v>3.3600000000000003</v>
      </c>
      <c r="Y213">
        <v>0.86</v>
      </c>
      <c r="Z213">
        <v>19.899999999999999</v>
      </c>
      <c r="AA213">
        <v>19.899999999999999</v>
      </c>
      <c r="AB213">
        <v>0</v>
      </c>
      <c r="AC213">
        <v>1752.5266666666664</v>
      </c>
      <c r="AF213">
        <v>3055</v>
      </c>
      <c r="AG213">
        <f>507+752+704</f>
        <v>1963</v>
      </c>
      <c r="AH213" t="s">
        <v>21</v>
      </c>
      <c r="AI213">
        <f>4.5/2466</f>
        <v>1.8248175182481751E-3</v>
      </c>
      <c r="AJ213">
        <v>0</v>
      </c>
      <c r="AK213">
        <v>9</v>
      </c>
      <c r="AL213">
        <f>AK213+AL212-AK212</f>
        <v>143</v>
      </c>
      <c r="AM213">
        <f t="shared" si="39"/>
        <v>134</v>
      </c>
      <c r="AO213">
        <f t="shared" si="34"/>
        <v>0.64114832535885169</v>
      </c>
      <c r="AP213">
        <v>211</v>
      </c>
      <c r="AQ213">
        <f t="shared" si="35"/>
        <v>41.417883211678834</v>
      </c>
      <c r="AR213">
        <f t="shared" si="43"/>
        <v>3.582116788321168</v>
      </c>
      <c r="AS213">
        <f t="shared" si="42"/>
        <v>0.55223540145985406</v>
      </c>
      <c r="AU213" t="s">
        <v>303</v>
      </c>
      <c r="AV213" t="s">
        <v>432</v>
      </c>
      <c r="AX213" s="12">
        <v>0</v>
      </c>
      <c r="AY213">
        <v>107</v>
      </c>
      <c r="AZ213" t="s">
        <v>75</v>
      </c>
      <c r="BA213" t="s">
        <v>0</v>
      </c>
    </row>
    <row r="214" spans="1:53" x14ac:dyDescent="0.35">
      <c r="A214" t="s">
        <v>74</v>
      </c>
      <c r="B214">
        <v>2</v>
      </c>
      <c r="C214" t="s">
        <v>5</v>
      </c>
      <c r="D214" t="s">
        <v>4</v>
      </c>
      <c r="E214" t="s">
        <v>3</v>
      </c>
      <c r="F214" s="1">
        <v>0.55000000000000004</v>
      </c>
      <c r="G214" t="s">
        <v>59</v>
      </c>
      <c r="H214">
        <v>3</v>
      </c>
      <c r="I214">
        <v>4</v>
      </c>
      <c r="J214">
        <v>8</v>
      </c>
      <c r="K214">
        <v>37</v>
      </c>
      <c r="L214">
        <v>8</v>
      </c>
      <c r="M214">
        <f t="shared" si="40"/>
        <v>45</v>
      </c>
      <c r="N214">
        <v>48.5</v>
      </c>
      <c r="O214">
        <v>3.67</v>
      </c>
      <c r="P214">
        <v>0.19</v>
      </c>
      <c r="Q214">
        <f t="shared" si="36"/>
        <v>1.0653023399685402E-2</v>
      </c>
      <c r="R214" s="6">
        <v>104.5</v>
      </c>
      <c r="S214">
        <v>0.97</v>
      </c>
      <c r="T214">
        <f t="shared" si="37"/>
        <v>1.0449999999999999</v>
      </c>
      <c r="U214">
        <v>1.1200000000000001</v>
      </c>
      <c r="V214">
        <v>1.1200000000000001</v>
      </c>
      <c r="W214">
        <f t="shared" si="41"/>
        <v>1.6800000000000002</v>
      </c>
      <c r="X214">
        <f t="shared" si="38"/>
        <v>3.3600000000000003</v>
      </c>
      <c r="Y214">
        <v>0.86</v>
      </c>
      <c r="Z214">
        <v>19.899999999999999</v>
      </c>
      <c r="AA214">
        <v>19.899999999999999</v>
      </c>
      <c r="AB214">
        <v>0</v>
      </c>
      <c r="AC214">
        <f>Z214/AH214</f>
        <v>1752.5266666666664</v>
      </c>
      <c r="AF214">
        <v>3055</v>
      </c>
      <c r="AG214">
        <f>741</f>
        <v>741</v>
      </c>
      <c r="AH214">
        <f>15/1321</f>
        <v>1.1355034065102196E-2</v>
      </c>
      <c r="AI214" t="s">
        <v>21</v>
      </c>
      <c r="AJ214">
        <v>0</v>
      </c>
      <c r="AK214">
        <v>10</v>
      </c>
      <c r="AL214">
        <v>153</v>
      </c>
      <c r="AM214">
        <f t="shared" si="39"/>
        <v>143</v>
      </c>
      <c r="AO214">
        <f t="shared" si="34"/>
        <v>0.68421052631578949</v>
      </c>
      <c r="AP214">
        <v>212</v>
      </c>
      <c r="AQ214" t="str">
        <f t="shared" si="35"/>
        <v>NA</v>
      </c>
      <c r="AR214" t="str">
        <f t="shared" si="43"/>
        <v>NA</v>
      </c>
      <c r="AS214" t="str">
        <f t="shared" si="42"/>
        <v>NA</v>
      </c>
      <c r="AU214" t="s">
        <v>303</v>
      </c>
      <c r="AV214" t="s">
        <v>432</v>
      </c>
      <c r="AX214" s="9" t="s">
        <v>452</v>
      </c>
      <c r="AY214">
        <v>108</v>
      </c>
      <c r="AZ214" t="s">
        <v>74</v>
      </c>
      <c r="BA214" t="s">
        <v>5</v>
      </c>
    </row>
    <row r="215" spans="1:53" x14ac:dyDescent="0.35">
      <c r="A215" t="s">
        <v>74</v>
      </c>
      <c r="B215">
        <v>2</v>
      </c>
      <c r="C215" t="s">
        <v>0</v>
      </c>
      <c r="D215" t="s">
        <v>4</v>
      </c>
      <c r="E215" t="s">
        <v>3</v>
      </c>
      <c r="F215" s="1">
        <v>0.55000000000000004</v>
      </c>
      <c r="G215" t="s">
        <v>59</v>
      </c>
      <c r="H215">
        <v>3</v>
      </c>
      <c r="I215">
        <v>4</v>
      </c>
      <c r="J215">
        <v>8</v>
      </c>
      <c r="K215">
        <v>37</v>
      </c>
      <c r="L215">
        <v>8</v>
      </c>
      <c r="M215">
        <f t="shared" si="40"/>
        <v>45</v>
      </c>
      <c r="N215">
        <v>48.5</v>
      </c>
      <c r="O215">
        <v>3.67</v>
      </c>
      <c r="P215">
        <v>0.19</v>
      </c>
      <c r="Q215">
        <f t="shared" si="36"/>
        <v>1.0653023399685402E-2</v>
      </c>
      <c r="R215" s="6">
        <v>104.5</v>
      </c>
      <c r="S215">
        <v>0.97</v>
      </c>
      <c r="T215">
        <f t="shared" si="37"/>
        <v>1.0449999999999999</v>
      </c>
      <c r="U215">
        <v>1.1200000000000001</v>
      </c>
      <c r="V215">
        <v>1.1200000000000001</v>
      </c>
      <c r="W215">
        <f t="shared" si="41"/>
        <v>1.6800000000000002</v>
      </c>
      <c r="X215">
        <f t="shared" si="38"/>
        <v>3.3600000000000003</v>
      </c>
      <c r="Y215">
        <v>0.86</v>
      </c>
      <c r="Z215">
        <v>19.899999999999999</v>
      </c>
      <c r="AA215">
        <v>19.899999999999999</v>
      </c>
      <c r="AB215">
        <v>0</v>
      </c>
      <c r="AC215">
        <v>1752.5266666666664</v>
      </c>
      <c r="AF215">
        <v>3055</v>
      </c>
      <c r="AG215">
        <f>741</f>
        <v>741</v>
      </c>
      <c r="AH215" t="s">
        <v>21</v>
      </c>
      <c r="AI215">
        <f>4.5/2466</f>
        <v>1.8248175182481751E-3</v>
      </c>
      <c r="AJ215">
        <v>0</v>
      </c>
      <c r="AK215">
        <v>11</v>
      </c>
      <c r="AL215">
        <f>AK215+AL214-AK214</f>
        <v>154</v>
      </c>
      <c r="AM215">
        <f t="shared" si="39"/>
        <v>143</v>
      </c>
      <c r="AO215">
        <f t="shared" si="34"/>
        <v>0.68421052631578949</v>
      </c>
      <c r="AP215">
        <v>213</v>
      </c>
      <c r="AQ215">
        <f t="shared" si="35"/>
        <v>43.647810218978101</v>
      </c>
      <c r="AR215">
        <f t="shared" si="43"/>
        <v>1.3521897810218977</v>
      </c>
      <c r="AS215">
        <f t="shared" si="42"/>
        <v>0.83097627737226276</v>
      </c>
      <c r="AU215" t="s">
        <v>303</v>
      </c>
      <c r="AV215" t="s">
        <v>432</v>
      </c>
      <c r="AX215" s="9" t="s">
        <v>452</v>
      </c>
      <c r="AY215">
        <v>108</v>
      </c>
      <c r="AZ215" t="s">
        <v>74</v>
      </c>
      <c r="BA215" t="s">
        <v>0</v>
      </c>
    </row>
    <row r="216" spans="1:53" x14ac:dyDescent="0.35">
      <c r="A216" t="s">
        <v>73</v>
      </c>
      <c r="B216">
        <v>2</v>
      </c>
      <c r="C216" t="s">
        <v>5</v>
      </c>
      <c r="D216" t="s">
        <v>4</v>
      </c>
      <c r="E216" t="s">
        <v>3</v>
      </c>
      <c r="F216" s="1">
        <v>0.55000000000000004</v>
      </c>
      <c r="G216" t="s">
        <v>59</v>
      </c>
      <c r="H216">
        <v>3</v>
      </c>
      <c r="I216">
        <v>4</v>
      </c>
      <c r="J216">
        <v>8</v>
      </c>
      <c r="K216">
        <v>37</v>
      </c>
      <c r="L216">
        <v>8</v>
      </c>
      <c r="M216">
        <f t="shared" si="40"/>
        <v>45</v>
      </c>
      <c r="N216">
        <v>48.5</v>
      </c>
      <c r="O216">
        <v>3.67</v>
      </c>
      <c r="P216">
        <v>0.19</v>
      </c>
      <c r="Q216">
        <f t="shared" si="36"/>
        <v>1.0653023399685402E-2</v>
      </c>
      <c r="R216" s="6">
        <v>104.5</v>
      </c>
      <c r="S216">
        <v>0.97</v>
      </c>
      <c r="T216">
        <f t="shared" si="37"/>
        <v>1.0449999999999999</v>
      </c>
      <c r="U216">
        <v>1.1200000000000001</v>
      </c>
      <c r="V216">
        <v>1.1200000000000001</v>
      </c>
      <c r="W216">
        <f t="shared" si="41"/>
        <v>1.6800000000000002</v>
      </c>
      <c r="X216">
        <f t="shared" si="38"/>
        <v>3.3600000000000003</v>
      </c>
      <c r="Y216">
        <v>0.86</v>
      </c>
      <c r="Z216">
        <v>19.899999999999999</v>
      </c>
      <c r="AA216">
        <v>19.899999999999999</v>
      </c>
      <c r="AB216">
        <v>0</v>
      </c>
      <c r="AC216">
        <f>Z216/AH216</f>
        <v>1752.5266666666664</v>
      </c>
      <c r="AF216">
        <v>3055</v>
      </c>
      <c r="AG216">
        <f>628</f>
        <v>628</v>
      </c>
      <c r="AH216">
        <f>15/1321</f>
        <v>1.1355034065102196E-2</v>
      </c>
      <c r="AI216" t="s">
        <v>21</v>
      </c>
      <c r="AJ216">
        <v>0</v>
      </c>
      <c r="AK216">
        <v>6</v>
      </c>
      <c r="AL216">
        <v>128</v>
      </c>
      <c r="AM216">
        <f t="shared" si="39"/>
        <v>122</v>
      </c>
      <c r="AO216">
        <f t="shared" si="34"/>
        <v>0.58373205741626799</v>
      </c>
      <c r="AP216">
        <v>214</v>
      </c>
      <c r="AQ216" t="str">
        <f t="shared" si="35"/>
        <v>NA</v>
      </c>
      <c r="AR216" t="str">
        <f t="shared" si="43"/>
        <v>NA</v>
      </c>
      <c r="AS216" t="str">
        <f t="shared" si="42"/>
        <v>NA</v>
      </c>
      <c r="AU216" t="s">
        <v>303</v>
      </c>
      <c r="AV216" t="s">
        <v>432</v>
      </c>
      <c r="AX216" s="9" t="s">
        <v>452</v>
      </c>
      <c r="AY216">
        <v>109</v>
      </c>
      <c r="AZ216" t="s">
        <v>73</v>
      </c>
      <c r="BA216" t="s">
        <v>5</v>
      </c>
    </row>
    <row r="217" spans="1:53" x14ac:dyDescent="0.35">
      <c r="A217" t="s">
        <v>73</v>
      </c>
      <c r="B217">
        <v>2</v>
      </c>
      <c r="C217" t="s">
        <v>0</v>
      </c>
      <c r="D217" t="s">
        <v>4</v>
      </c>
      <c r="E217" t="s">
        <v>3</v>
      </c>
      <c r="F217" s="1">
        <v>0.55000000000000004</v>
      </c>
      <c r="G217" t="s">
        <v>59</v>
      </c>
      <c r="H217">
        <v>3</v>
      </c>
      <c r="I217">
        <v>4</v>
      </c>
      <c r="J217">
        <v>8</v>
      </c>
      <c r="K217">
        <v>37</v>
      </c>
      <c r="L217">
        <v>8</v>
      </c>
      <c r="M217">
        <f t="shared" si="40"/>
        <v>45</v>
      </c>
      <c r="N217">
        <v>48.5</v>
      </c>
      <c r="O217">
        <v>3.67</v>
      </c>
      <c r="P217">
        <v>0.19</v>
      </c>
      <c r="Q217">
        <f t="shared" si="36"/>
        <v>1.0653023399685402E-2</v>
      </c>
      <c r="R217" s="6">
        <v>104.5</v>
      </c>
      <c r="S217">
        <v>0.97</v>
      </c>
      <c r="T217">
        <f t="shared" si="37"/>
        <v>1.0449999999999999</v>
      </c>
      <c r="U217">
        <v>1.1200000000000001</v>
      </c>
      <c r="V217">
        <v>1.1200000000000001</v>
      </c>
      <c r="W217">
        <f t="shared" si="41"/>
        <v>1.6800000000000002</v>
      </c>
      <c r="X217">
        <f t="shared" si="38"/>
        <v>3.3600000000000003</v>
      </c>
      <c r="Y217">
        <v>0.86</v>
      </c>
      <c r="Z217">
        <v>19.899999999999999</v>
      </c>
      <c r="AA217">
        <v>19.899999999999999</v>
      </c>
      <c r="AB217">
        <v>0</v>
      </c>
      <c r="AC217">
        <v>1752.5266666666664</v>
      </c>
      <c r="AF217">
        <v>3055</v>
      </c>
      <c r="AG217">
        <f>628</f>
        <v>628</v>
      </c>
      <c r="AH217" t="s">
        <v>21</v>
      </c>
      <c r="AI217">
        <f>4.5/2466</f>
        <v>1.8248175182481751E-3</v>
      </c>
      <c r="AJ217">
        <v>0</v>
      </c>
      <c r="AK217">
        <v>8</v>
      </c>
      <c r="AL217">
        <f>AK217+AL216-AK216</f>
        <v>130</v>
      </c>
      <c r="AM217">
        <f t="shared" si="39"/>
        <v>122</v>
      </c>
      <c r="AO217">
        <f t="shared" si="34"/>
        <v>0.58373205741626799</v>
      </c>
      <c r="AP217">
        <v>215</v>
      </c>
      <c r="AQ217">
        <f t="shared" si="35"/>
        <v>43.854014598540147</v>
      </c>
      <c r="AR217">
        <f t="shared" si="43"/>
        <v>1.1459854014598541</v>
      </c>
      <c r="AS217">
        <f t="shared" si="42"/>
        <v>0.85675182481751821</v>
      </c>
      <c r="AU217" t="s">
        <v>303</v>
      </c>
      <c r="AV217" t="s">
        <v>432</v>
      </c>
      <c r="AX217" s="9" t="s">
        <v>452</v>
      </c>
      <c r="AY217">
        <v>109</v>
      </c>
      <c r="AZ217" t="s">
        <v>73</v>
      </c>
      <c r="BA217" t="s">
        <v>0</v>
      </c>
    </row>
    <row r="218" spans="1:53" x14ac:dyDescent="0.35">
      <c r="A218" t="s">
        <v>72</v>
      </c>
      <c r="B218">
        <v>2</v>
      </c>
      <c r="C218" t="s">
        <v>5</v>
      </c>
      <c r="D218" t="s">
        <v>4</v>
      </c>
      <c r="E218" t="s">
        <v>3</v>
      </c>
      <c r="F218" s="1">
        <v>0.55000000000000004</v>
      </c>
      <c r="G218" t="s">
        <v>59</v>
      </c>
      <c r="H218">
        <v>3</v>
      </c>
      <c r="I218">
        <v>4</v>
      </c>
      <c r="J218">
        <v>8</v>
      </c>
      <c r="K218">
        <v>37</v>
      </c>
      <c r="L218">
        <v>8</v>
      </c>
      <c r="M218">
        <f t="shared" si="40"/>
        <v>45</v>
      </c>
      <c r="N218">
        <v>48.5</v>
      </c>
      <c r="O218">
        <v>3.67</v>
      </c>
      <c r="P218">
        <v>0.19</v>
      </c>
      <c r="Q218">
        <f t="shared" si="36"/>
        <v>1.0653023399685402E-2</v>
      </c>
      <c r="R218" s="6">
        <v>104.5</v>
      </c>
      <c r="S218">
        <v>0.97</v>
      </c>
      <c r="T218">
        <f t="shared" si="37"/>
        <v>1.0449999999999999</v>
      </c>
      <c r="U218">
        <v>1.1200000000000001</v>
      </c>
      <c r="V218">
        <v>1.1200000000000001</v>
      </c>
      <c r="W218">
        <f t="shared" si="41"/>
        <v>1.6800000000000002</v>
      </c>
      <c r="X218">
        <f t="shared" si="38"/>
        <v>3.3600000000000003</v>
      </c>
      <c r="Y218">
        <v>0.86</v>
      </c>
      <c r="Z218">
        <v>19.899999999999999</v>
      </c>
      <c r="AA218">
        <v>19.899999999999999</v>
      </c>
      <c r="AB218">
        <v>0</v>
      </c>
      <c r="AC218">
        <f>Z218/AH218</f>
        <v>1752.5266666666664</v>
      </c>
      <c r="AF218">
        <v>3055</v>
      </c>
      <c r="AG218">
        <f>1138+230</f>
        <v>1368</v>
      </c>
      <c r="AH218">
        <f>15/1321</f>
        <v>1.1355034065102196E-2</v>
      </c>
      <c r="AI218" t="s">
        <v>21</v>
      </c>
      <c r="AJ218">
        <v>0</v>
      </c>
      <c r="AK218">
        <v>5</v>
      </c>
      <c r="AL218">
        <v>186</v>
      </c>
      <c r="AM218">
        <f t="shared" si="39"/>
        <v>181</v>
      </c>
      <c r="AO218">
        <f t="shared" si="34"/>
        <v>0.86602870813397126</v>
      </c>
      <c r="AP218">
        <v>216</v>
      </c>
      <c r="AQ218" t="str">
        <f t="shared" si="35"/>
        <v>NA</v>
      </c>
      <c r="AR218" t="str">
        <f t="shared" si="43"/>
        <v>NA</v>
      </c>
      <c r="AS218" t="str">
        <f t="shared" si="42"/>
        <v>NA</v>
      </c>
      <c r="AU218" t="s">
        <v>303</v>
      </c>
      <c r="AV218" t="s">
        <v>432</v>
      </c>
      <c r="AX218" s="9" t="s">
        <v>452</v>
      </c>
      <c r="AY218">
        <v>110</v>
      </c>
      <c r="AZ218" t="s">
        <v>72</v>
      </c>
      <c r="BA218" t="s">
        <v>5</v>
      </c>
    </row>
    <row r="219" spans="1:53" x14ac:dyDescent="0.35">
      <c r="A219" t="s">
        <v>72</v>
      </c>
      <c r="B219">
        <v>2</v>
      </c>
      <c r="C219" t="s">
        <v>0</v>
      </c>
      <c r="D219" t="s">
        <v>4</v>
      </c>
      <c r="E219" t="s">
        <v>3</v>
      </c>
      <c r="F219" s="1">
        <v>0.55000000000000004</v>
      </c>
      <c r="G219" t="s">
        <v>59</v>
      </c>
      <c r="H219">
        <v>3</v>
      </c>
      <c r="I219">
        <v>4</v>
      </c>
      <c r="J219">
        <v>8</v>
      </c>
      <c r="K219">
        <v>37</v>
      </c>
      <c r="L219">
        <v>8</v>
      </c>
      <c r="M219">
        <f t="shared" si="40"/>
        <v>45</v>
      </c>
      <c r="N219">
        <v>48.5</v>
      </c>
      <c r="O219">
        <v>3.67</v>
      </c>
      <c r="P219">
        <v>0.19</v>
      </c>
      <c r="Q219">
        <f t="shared" si="36"/>
        <v>1.0653023399685402E-2</v>
      </c>
      <c r="R219" s="6">
        <v>104.5</v>
      </c>
      <c r="S219">
        <v>0.97</v>
      </c>
      <c r="T219">
        <f t="shared" si="37"/>
        <v>1.0449999999999999</v>
      </c>
      <c r="U219">
        <v>1.1200000000000001</v>
      </c>
      <c r="V219">
        <v>1.1200000000000001</v>
      </c>
      <c r="W219">
        <f t="shared" si="41"/>
        <v>1.6800000000000002</v>
      </c>
      <c r="X219">
        <f t="shared" si="38"/>
        <v>3.3600000000000003</v>
      </c>
      <c r="Y219">
        <v>0.86</v>
      </c>
      <c r="Z219">
        <v>19.899999999999999</v>
      </c>
      <c r="AA219">
        <v>19.899999999999999</v>
      </c>
      <c r="AB219">
        <v>0</v>
      </c>
      <c r="AC219">
        <v>1752.5266666666664</v>
      </c>
      <c r="AF219">
        <v>3055</v>
      </c>
      <c r="AG219">
        <f>1138+230</f>
        <v>1368</v>
      </c>
      <c r="AH219" t="s">
        <v>21</v>
      </c>
      <c r="AI219">
        <f>4.5/2466</f>
        <v>1.8248175182481751E-3</v>
      </c>
      <c r="AJ219">
        <v>0</v>
      </c>
      <c r="AK219">
        <v>6</v>
      </c>
      <c r="AL219">
        <f>AK219+AL218-AK218</f>
        <v>187</v>
      </c>
      <c r="AM219">
        <f t="shared" si="39"/>
        <v>181</v>
      </c>
      <c r="AO219">
        <f t="shared" si="34"/>
        <v>0.86602870813397126</v>
      </c>
      <c r="AP219">
        <v>217</v>
      </c>
      <c r="AQ219">
        <f t="shared" si="35"/>
        <v>42.503649635036496</v>
      </c>
      <c r="AR219">
        <f t="shared" si="43"/>
        <v>2.4963503649635035</v>
      </c>
      <c r="AS219">
        <f t="shared" si="42"/>
        <v>0.68795620437956206</v>
      </c>
      <c r="AU219" t="s">
        <v>303</v>
      </c>
      <c r="AV219" t="s">
        <v>432</v>
      </c>
      <c r="AX219" s="9" t="s">
        <v>452</v>
      </c>
      <c r="AY219">
        <v>110</v>
      </c>
      <c r="AZ219" t="s">
        <v>72</v>
      </c>
      <c r="BA219" t="s">
        <v>0</v>
      </c>
    </row>
    <row r="220" spans="1:53" x14ac:dyDescent="0.35">
      <c r="A220" t="s">
        <v>71</v>
      </c>
      <c r="B220">
        <v>2</v>
      </c>
      <c r="C220" t="s">
        <v>5</v>
      </c>
      <c r="D220" t="s">
        <v>4</v>
      </c>
      <c r="E220" t="s">
        <v>3</v>
      </c>
      <c r="F220" s="1">
        <v>0.55000000000000004</v>
      </c>
      <c r="G220" t="s">
        <v>59</v>
      </c>
      <c r="H220">
        <v>3</v>
      </c>
      <c r="I220">
        <v>4</v>
      </c>
      <c r="J220">
        <v>8</v>
      </c>
      <c r="K220">
        <v>37</v>
      </c>
      <c r="L220">
        <v>8</v>
      </c>
      <c r="M220">
        <f t="shared" si="40"/>
        <v>45</v>
      </c>
      <c r="N220">
        <v>48.5</v>
      </c>
      <c r="O220">
        <v>3.67</v>
      </c>
      <c r="P220">
        <v>0.19</v>
      </c>
      <c r="Q220">
        <f t="shared" si="36"/>
        <v>1.0653023399685402E-2</v>
      </c>
      <c r="R220" s="6">
        <v>104.5</v>
      </c>
      <c r="S220">
        <v>0.97</v>
      </c>
      <c r="T220">
        <f t="shared" si="37"/>
        <v>1.0449999999999999</v>
      </c>
      <c r="U220">
        <v>1.1200000000000001</v>
      </c>
      <c r="V220">
        <v>1.1200000000000001</v>
      </c>
      <c r="W220">
        <f t="shared" si="41"/>
        <v>1.6800000000000002</v>
      </c>
      <c r="X220">
        <f t="shared" si="38"/>
        <v>3.3600000000000003</v>
      </c>
      <c r="Y220">
        <v>0.86</v>
      </c>
      <c r="Z220">
        <v>19.899999999999999</v>
      </c>
      <c r="AA220">
        <v>19.899999999999999</v>
      </c>
      <c r="AB220">
        <v>0</v>
      </c>
      <c r="AC220">
        <f>Z220/AH220</f>
        <v>1752.5266666666664</v>
      </c>
      <c r="AF220">
        <v>3055</v>
      </c>
      <c r="AG220">
        <f>929+900</f>
        <v>1829</v>
      </c>
      <c r="AH220">
        <f>15/1321</f>
        <v>1.1355034065102196E-2</v>
      </c>
      <c r="AI220" t="s">
        <v>21</v>
      </c>
      <c r="AJ220">
        <v>0</v>
      </c>
      <c r="AK220">
        <v>7</v>
      </c>
      <c r="AL220">
        <v>112</v>
      </c>
      <c r="AM220">
        <f t="shared" si="39"/>
        <v>105</v>
      </c>
      <c r="AO220">
        <f t="shared" si="34"/>
        <v>0.50239234449760761</v>
      </c>
      <c r="AP220">
        <v>218</v>
      </c>
      <c r="AQ220" t="str">
        <f t="shared" si="35"/>
        <v>NA</v>
      </c>
      <c r="AR220" t="str">
        <f t="shared" si="43"/>
        <v>NA</v>
      </c>
      <c r="AS220" t="str">
        <f t="shared" si="42"/>
        <v>NA</v>
      </c>
      <c r="AU220" t="s">
        <v>303</v>
      </c>
      <c r="AV220" t="s">
        <v>432</v>
      </c>
      <c r="AX220" s="9" t="s">
        <v>452</v>
      </c>
      <c r="AY220">
        <v>111</v>
      </c>
      <c r="AZ220" t="s">
        <v>71</v>
      </c>
      <c r="BA220" t="s">
        <v>5</v>
      </c>
    </row>
    <row r="221" spans="1:53" ht="14" customHeight="1" x14ac:dyDescent="0.35">
      <c r="A221" t="s">
        <v>71</v>
      </c>
      <c r="B221">
        <v>2</v>
      </c>
      <c r="C221" t="s">
        <v>0</v>
      </c>
      <c r="D221" t="s">
        <v>4</v>
      </c>
      <c r="E221" t="s">
        <v>3</v>
      </c>
      <c r="F221" s="1">
        <v>0.55000000000000004</v>
      </c>
      <c r="G221" t="s">
        <v>59</v>
      </c>
      <c r="H221">
        <v>3</v>
      </c>
      <c r="I221">
        <v>4</v>
      </c>
      <c r="J221">
        <v>8</v>
      </c>
      <c r="K221">
        <v>37</v>
      </c>
      <c r="L221">
        <v>8</v>
      </c>
      <c r="M221">
        <f t="shared" si="40"/>
        <v>45</v>
      </c>
      <c r="N221">
        <v>48.5</v>
      </c>
      <c r="O221">
        <v>3.67</v>
      </c>
      <c r="P221">
        <v>0.19</v>
      </c>
      <c r="Q221">
        <f t="shared" si="36"/>
        <v>1.0653023399685402E-2</v>
      </c>
      <c r="R221" s="6">
        <v>104.5</v>
      </c>
      <c r="S221">
        <v>0.97</v>
      </c>
      <c r="T221">
        <f t="shared" si="37"/>
        <v>1.0449999999999999</v>
      </c>
      <c r="U221">
        <v>1.1200000000000001</v>
      </c>
      <c r="V221">
        <v>1.1200000000000001</v>
      </c>
      <c r="W221">
        <f t="shared" si="41"/>
        <v>1.6800000000000002</v>
      </c>
      <c r="X221">
        <f t="shared" si="38"/>
        <v>3.3600000000000003</v>
      </c>
      <c r="Y221">
        <v>0.86</v>
      </c>
      <c r="Z221">
        <v>19.899999999999999</v>
      </c>
      <c r="AA221">
        <v>19.899999999999999</v>
      </c>
      <c r="AB221">
        <v>0</v>
      </c>
      <c r="AC221">
        <v>1752.5266666666664</v>
      </c>
      <c r="AF221">
        <v>3055</v>
      </c>
      <c r="AG221">
        <f>929+900</f>
        <v>1829</v>
      </c>
      <c r="AH221" t="s">
        <v>21</v>
      </c>
      <c r="AI221">
        <f>4.5/2466</f>
        <v>1.8248175182481751E-3</v>
      </c>
      <c r="AJ221">
        <v>0</v>
      </c>
      <c r="AK221">
        <v>10</v>
      </c>
      <c r="AL221">
        <f>AK221+AL220-AK220</f>
        <v>115</v>
      </c>
      <c r="AM221">
        <f t="shared" si="39"/>
        <v>105</v>
      </c>
      <c r="AO221">
        <f t="shared" si="34"/>
        <v>0.50239234449760761</v>
      </c>
      <c r="AP221">
        <v>219</v>
      </c>
      <c r="AQ221">
        <f t="shared" si="35"/>
        <v>41.662408759124091</v>
      </c>
      <c r="AR221">
        <f t="shared" si="43"/>
        <v>3.3375912408759123</v>
      </c>
      <c r="AS221">
        <f t="shared" si="42"/>
        <v>0.58280109489051091</v>
      </c>
      <c r="AU221" t="s">
        <v>303</v>
      </c>
      <c r="AV221" t="s">
        <v>432</v>
      </c>
      <c r="AX221" s="9" t="s">
        <v>452</v>
      </c>
      <c r="AY221">
        <v>111</v>
      </c>
      <c r="AZ221" t="s">
        <v>71</v>
      </c>
      <c r="BA221" t="s">
        <v>0</v>
      </c>
    </row>
    <row r="222" spans="1:53" x14ac:dyDescent="0.35">
      <c r="A222" t="s">
        <v>70</v>
      </c>
      <c r="B222">
        <v>2</v>
      </c>
      <c r="C222" t="s">
        <v>5</v>
      </c>
      <c r="D222" t="s">
        <v>4</v>
      </c>
      <c r="E222" t="s">
        <v>3</v>
      </c>
      <c r="F222" s="1">
        <v>0.55000000000000004</v>
      </c>
      <c r="G222" t="s">
        <v>59</v>
      </c>
      <c r="H222">
        <v>3</v>
      </c>
      <c r="I222">
        <v>4</v>
      </c>
      <c r="J222">
        <v>8</v>
      </c>
      <c r="K222">
        <v>37</v>
      </c>
      <c r="L222">
        <v>8</v>
      </c>
      <c r="M222">
        <f t="shared" si="40"/>
        <v>45</v>
      </c>
      <c r="N222">
        <v>48.5</v>
      </c>
      <c r="O222">
        <v>3.67</v>
      </c>
      <c r="P222">
        <v>0.19</v>
      </c>
      <c r="Q222">
        <f t="shared" si="36"/>
        <v>1.0653023399685402E-2</v>
      </c>
      <c r="R222" s="6">
        <v>104.5</v>
      </c>
      <c r="S222">
        <v>0.97</v>
      </c>
      <c r="T222">
        <f t="shared" si="37"/>
        <v>1.0449999999999999</v>
      </c>
      <c r="U222">
        <v>1.1200000000000001</v>
      </c>
      <c r="V222">
        <v>1.1200000000000001</v>
      </c>
      <c r="W222">
        <f t="shared" si="41"/>
        <v>1.6800000000000002</v>
      </c>
      <c r="X222">
        <f t="shared" si="38"/>
        <v>3.3600000000000003</v>
      </c>
      <c r="Y222">
        <v>0.86</v>
      </c>
      <c r="Z222">
        <v>19.899999999999999</v>
      </c>
      <c r="AA222">
        <v>19.899999999999999</v>
      </c>
      <c r="AB222">
        <v>0</v>
      </c>
      <c r="AC222">
        <f>Z222/AH222</f>
        <v>1752.5266666666664</v>
      </c>
      <c r="AF222">
        <v>3055</v>
      </c>
      <c r="AG222">
        <f>860+2142</f>
        <v>3002</v>
      </c>
      <c r="AH222">
        <f>15/1321</f>
        <v>1.1355034065102196E-2</v>
      </c>
      <c r="AI222" t="s">
        <v>21</v>
      </c>
      <c r="AJ222">
        <v>1</v>
      </c>
      <c r="AK222">
        <v>5</v>
      </c>
      <c r="AL222">
        <v>140</v>
      </c>
      <c r="AM222">
        <f t="shared" si="39"/>
        <v>135</v>
      </c>
      <c r="AO222">
        <f t="shared" si="34"/>
        <v>0.64593301435406703</v>
      </c>
      <c r="AP222">
        <v>220</v>
      </c>
      <c r="AQ222" t="str">
        <f t="shared" si="35"/>
        <v>NA</v>
      </c>
      <c r="AR222" t="str">
        <f t="shared" si="43"/>
        <v>NA</v>
      </c>
      <c r="AS222" t="str">
        <f t="shared" si="42"/>
        <v>NA</v>
      </c>
      <c r="AU222" t="s">
        <v>303</v>
      </c>
      <c r="AV222" t="s">
        <v>432</v>
      </c>
      <c r="AX222" s="13">
        <v>1</v>
      </c>
      <c r="AY222">
        <v>112</v>
      </c>
      <c r="AZ222" t="s">
        <v>70</v>
      </c>
      <c r="BA222" t="s">
        <v>5</v>
      </c>
    </row>
    <row r="223" spans="1:53" x14ac:dyDescent="0.35">
      <c r="A223" t="s">
        <v>70</v>
      </c>
      <c r="B223">
        <v>2</v>
      </c>
      <c r="C223" t="s">
        <v>0</v>
      </c>
      <c r="D223" t="s">
        <v>4</v>
      </c>
      <c r="E223" t="s">
        <v>3</v>
      </c>
      <c r="F223" s="1">
        <v>0.55000000000000004</v>
      </c>
      <c r="G223" t="s">
        <v>59</v>
      </c>
      <c r="H223">
        <v>3</v>
      </c>
      <c r="I223">
        <v>4</v>
      </c>
      <c r="J223">
        <v>8</v>
      </c>
      <c r="K223">
        <v>37</v>
      </c>
      <c r="L223">
        <v>8</v>
      </c>
      <c r="M223">
        <f t="shared" si="40"/>
        <v>45</v>
      </c>
      <c r="N223">
        <v>48.5</v>
      </c>
      <c r="O223">
        <v>3.67</v>
      </c>
      <c r="P223">
        <v>0.19</v>
      </c>
      <c r="Q223">
        <f t="shared" si="36"/>
        <v>1.0653023399685402E-2</v>
      </c>
      <c r="R223" s="6">
        <v>104.5</v>
      </c>
      <c r="S223">
        <v>0.97</v>
      </c>
      <c r="T223">
        <f t="shared" si="37"/>
        <v>1.0449999999999999</v>
      </c>
      <c r="U223">
        <v>1.1200000000000001</v>
      </c>
      <c r="V223">
        <v>1.1200000000000001</v>
      </c>
      <c r="W223">
        <f t="shared" si="41"/>
        <v>1.6800000000000002</v>
      </c>
      <c r="X223">
        <f t="shared" si="38"/>
        <v>3.3600000000000003</v>
      </c>
      <c r="Y223">
        <v>0.86</v>
      </c>
      <c r="Z223">
        <v>19.899999999999999</v>
      </c>
      <c r="AA223">
        <v>19.899999999999999</v>
      </c>
      <c r="AB223">
        <v>0</v>
      </c>
      <c r="AC223">
        <v>1752.5266666666664</v>
      </c>
      <c r="AF223">
        <v>3055</v>
      </c>
      <c r="AG223">
        <f>860+2142</f>
        <v>3002</v>
      </c>
      <c r="AH223" t="s">
        <v>21</v>
      </c>
      <c r="AI223">
        <f>4.5/2466</f>
        <v>1.8248175182481751E-3</v>
      </c>
      <c r="AJ223">
        <v>1</v>
      </c>
      <c r="AK223">
        <v>7</v>
      </c>
      <c r="AL223">
        <f>AK223+AL222-AK222</f>
        <v>142</v>
      </c>
      <c r="AM223">
        <f t="shared" si="39"/>
        <v>135</v>
      </c>
      <c r="AO223">
        <f t="shared" si="34"/>
        <v>0.64593301435406703</v>
      </c>
      <c r="AP223">
        <v>221</v>
      </c>
      <c r="AQ223">
        <f t="shared" si="35"/>
        <v>39.521897810218981</v>
      </c>
      <c r="AR223">
        <f t="shared" si="43"/>
        <v>5.4781021897810218</v>
      </c>
      <c r="AS223">
        <f t="shared" si="42"/>
        <v>0.31523722627737227</v>
      </c>
      <c r="AU223" t="s">
        <v>303</v>
      </c>
      <c r="AV223" t="s">
        <v>432</v>
      </c>
      <c r="AX223" s="13">
        <v>1</v>
      </c>
      <c r="AY223">
        <v>112</v>
      </c>
      <c r="AZ223" t="s">
        <v>70</v>
      </c>
      <c r="BA223" t="s">
        <v>0</v>
      </c>
    </row>
    <row r="224" spans="1:53" x14ac:dyDescent="0.35">
      <c r="A224" t="s">
        <v>68</v>
      </c>
      <c r="B224">
        <v>2</v>
      </c>
      <c r="C224" t="s">
        <v>5</v>
      </c>
      <c r="D224" t="s">
        <v>4</v>
      </c>
      <c r="E224" t="s">
        <v>3</v>
      </c>
      <c r="F224" s="1">
        <v>0.52</v>
      </c>
      <c r="G224" t="s">
        <v>69</v>
      </c>
      <c r="H224">
        <v>3</v>
      </c>
      <c r="I224">
        <v>4</v>
      </c>
      <c r="J224">
        <v>8</v>
      </c>
      <c r="K224">
        <v>28</v>
      </c>
      <c r="L224">
        <v>8</v>
      </c>
      <c r="M224">
        <f t="shared" si="40"/>
        <v>36</v>
      </c>
      <c r="N224">
        <v>47</v>
      </c>
      <c r="O224">
        <v>3.43</v>
      </c>
      <c r="P224">
        <v>0.17</v>
      </c>
      <c r="Q224">
        <f t="shared" si="36"/>
        <v>1.2487691781198006E-2</v>
      </c>
      <c r="R224" s="6">
        <v>100</v>
      </c>
      <c r="S224">
        <v>0.8</v>
      </c>
      <c r="T224">
        <f t="shared" si="37"/>
        <v>0.88500000000000001</v>
      </c>
      <c r="U224">
        <v>0.97</v>
      </c>
      <c r="V224">
        <v>1.05</v>
      </c>
      <c r="W224">
        <f t="shared" si="41"/>
        <v>1.5750000000000002</v>
      </c>
      <c r="X224">
        <f t="shared" si="38"/>
        <v>3.1500000000000004</v>
      </c>
      <c r="Y224">
        <v>0.86</v>
      </c>
      <c r="Z224">
        <v>19.899999999999999</v>
      </c>
      <c r="AA224">
        <v>19.899999999999999</v>
      </c>
      <c r="AB224">
        <v>0</v>
      </c>
      <c r="AC224">
        <f>Z224/AH224</f>
        <v>1769.7733333333331</v>
      </c>
      <c r="AD224" t="s">
        <v>544</v>
      </c>
      <c r="AE224">
        <v>3621</v>
      </c>
      <c r="AF224">
        <v>3612</v>
      </c>
      <c r="AG224">
        <f>278+410</f>
        <v>688</v>
      </c>
      <c r="AH224">
        <f>15/1334</f>
        <v>1.1244377811094454E-2</v>
      </c>
      <c r="AI224" t="s">
        <v>21</v>
      </c>
      <c r="AJ224">
        <v>1</v>
      </c>
      <c r="AK224">
        <v>7</v>
      </c>
      <c r="AL224">
        <f>AK224+AM224</f>
        <v>218</v>
      </c>
      <c r="AM224">
        <v>211</v>
      </c>
      <c r="AO224">
        <f t="shared" si="34"/>
        <v>1.0549999999999999</v>
      </c>
      <c r="AP224">
        <v>222</v>
      </c>
      <c r="AQ224" t="str">
        <f t="shared" si="35"/>
        <v>NA</v>
      </c>
      <c r="AR224" t="str">
        <f t="shared" si="43"/>
        <v>NA</v>
      </c>
      <c r="AS224" t="str">
        <f t="shared" si="42"/>
        <v>NA</v>
      </c>
      <c r="AU224" t="s">
        <v>303</v>
      </c>
      <c r="AW224" t="s">
        <v>312</v>
      </c>
      <c r="AX224" s="9">
        <v>11</v>
      </c>
      <c r="AY224">
        <v>113</v>
      </c>
      <c r="AZ224" t="s">
        <v>68</v>
      </c>
      <c r="BA224" t="s">
        <v>5</v>
      </c>
    </row>
    <row r="225" spans="1:53" x14ac:dyDescent="0.35">
      <c r="A225" t="s">
        <v>68</v>
      </c>
      <c r="B225">
        <v>2</v>
      </c>
      <c r="C225" t="s">
        <v>0</v>
      </c>
      <c r="D225" t="s">
        <v>4</v>
      </c>
      <c r="E225" t="s">
        <v>3</v>
      </c>
      <c r="F225" s="1">
        <v>0.52</v>
      </c>
      <c r="G225" t="s">
        <v>69</v>
      </c>
      <c r="H225">
        <v>3</v>
      </c>
      <c r="I225">
        <v>4</v>
      </c>
      <c r="J225">
        <v>8</v>
      </c>
      <c r="K225">
        <v>28</v>
      </c>
      <c r="L225">
        <v>8</v>
      </c>
      <c r="M225">
        <f t="shared" si="40"/>
        <v>36</v>
      </c>
      <c r="N225">
        <v>47</v>
      </c>
      <c r="O225">
        <v>3.43</v>
      </c>
      <c r="P225">
        <v>0.17</v>
      </c>
      <c r="Q225">
        <f t="shared" si="36"/>
        <v>1.2487691781198006E-2</v>
      </c>
      <c r="R225" s="6">
        <v>100</v>
      </c>
      <c r="S225">
        <v>0.8</v>
      </c>
      <c r="T225">
        <f t="shared" si="37"/>
        <v>0.88500000000000001</v>
      </c>
      <c r="U225">
        <v>0.97</v>
      </c>
      <c r="V225">
        <v>1.05</v>
      </c>
      <c r="W225">
        <f t="shared" si="41"/>
        <v>1.5750000000000002</v>
      </c>
      <c r="X225">
        <f t="shared" si="38"/>
        <v>3.1500000000000004</v>
      </c>
      <c r="Y225">
        <v>0.86</v>
      </c>
      <c r="Z225">
        <v>19.899999999999999</v>
      </c>
      <c r="AA225">
        <v>19.899999999999999</v>
      </c>
      <c r="AB225">
        <v>0</v>
      </c>
      <c r="AC225">
        <v>1769.7733333333331</v>
      </c>
      <c r="AD225" t="s">
        <v>545</v>
      </c>
      <c r="AE225">
        <v>3621</v>
      </c>
      <c r="AF225">
        <v>3612</v>
      </c>
      <c r="AG225">
        <f>278+410</f>
        <v>688</v>
      </c>
      <c r="AH225" t="s">
        <v>21</v>
      </c>
      <c r="AI225">
        <f>4.5/2269</f>
        <v>1.9832525341560159E-3</v>
      </c>
      <c r="AJ225">
        <v>1</v>
      </c>
      <c r="AK225">
        <v>8</v>
      </c>
      <c r="AL225">
        <f>AK225+AM224</f>
        <v>219</v>
      </c>
      <c r="AM225">
        <f t="shared" si="39"/>
        <v>211</v>
      </c>
      <c r="AO225">
        <f t="shared" si="34"/>
        <v>1.0549999999999999</v>
      </c>
      <c r="AP225">
        <v>223</v>
      </c>
      <c r="AQ225">
        <f t="shared" si="35"/>
        <v>34.635522256500664</v>
      </c>
      <c r="AR225">
        <f t="shared" si="43"/>
        <v>1.3644777434993389</v>
      </c>
      <c r="AS225">
        <f t="shared" si="42"/>
        <v>0.82944028206258258</v>
      </c>
      <c r="AU225" t="s">
        <v>303</v>
      </c>
      <c r="AW225" t="s">
        <v>312</v>
      </c>
      <c r="AX225" s="9">
        <v>11</v>
      </c>
      <c r="AY225">
        <v>113</v>
      </c>
      <c r="AZ225" t="s">
        <v>68</v>
      </c>
      <c r="BA225" t="s">
        <v>0</v>
      </c>
    </row>
    <row r="226" spans="1:53" x14ac:dyDescent="0.35">
      <c r="A226" t="s">
        <v>67</v>
      </c>
      <c r="B226">
        <v>1</v>
      </c>
      <c r="C226" t="s">
        <v>5</v>
      </c>
      <c r="D226" t="s">
        <v>4</v>
      </c>
      <c r="E226" t="s">
        <v>3</v>
      </c>
      <c r="F226" s="1">
        <v>0.56000000000000005</v>
      </c>
      <c r="G226" t="s">
        <v>61</v>
      </c>
      <c r="H226">
        <v>5</v>
      </c>
      <c r="I226">
        <v>3</v>
      </c>
      <c r="J226">
        <v>7</v>
      </c>
      <c r="K226">
        <v>29</v>
      </c>
      <c r="L226">
        <v>17</v>
      </c>
      <c r="M226">
        <f t="shared" si="40"/>
        <v>46</v>
      </c>
      <c r="N226">
        <v>46</v>
      </c>
      <c r="O226">
        <v>2.42</v>
      </c>
      <c r="P226">
        <v>0.14000000000000001</v>
      </c>
      <c r="Q226">
        <f t="shared" si="36"/>
        <v>1.2227047218988268E-2</v>
      </c>
      <c r="R226" s="6">
        <v>106</v>
      </c>
      <c r="S226">
        <v>0.73</v>
      </c>
      <c r="T226">
        <f t="shared" si="37"/>
        <v>0.80499999999999994</v>
      </c>
      <c r="U226">
        <v>0.88</v>
      </c>
      <c r="V226">
        <v>0.98</v>
      </c>
      <c r="W226">
        <f t="shared" si="41"/>
        <v>1.47</v>
      </c>
      <c r="X226">
        <f t="shared" si="38"/>
        <v>2.94</v>
      </c>
      <c r="Y226">
        <v>3.1</v>
      </c>
      <c r="Z226">
        <v>19.899999999999999</v>
      </c>
      <c r="AA226">
        <v>19.899999999999999</v>
      </c>
      <c r="AB226">
        <v>0</v>
      </c>
      <c r="AC226">
        <f>Z226/AH226</f>
        <v>1503.1133333333332</v>
      </c>
      <c r="AF226">
        <v>1978</v>
      </c>
      <c r="AG226">
        <f>155</f>
        <v>155</v>
      </c>
      <c r="AH226">
        <f>15/1133</f>
        <v>1.323918799646955E-2</v>
      </c>
      <c r="AI226" t="s">
        <v>21</v>
      </c>
      <c r="AJ226">
        <v>0</v>
      </c>
      <c r="AK226">
        <v>4</v>
      </c>
      <c r="AL226">
        <v>106</v>
      </c>
      <c r="AM226">
        <f t="shared" si="39"/>
        <v>102</v>
      </c>
      <c r="AO226">
        <f t="shared" si="34"/>
        <v>0.48113207547169812</v>
      </c>
      <c r="AP226">
        <v>224</v>
      </c>
      <c r="AQ226" t="str">
        <f t="shared" si="35"/>
        <v>NA</v>
      </c>
      <c r="AR226" t="str">
        <f t="shared" si="43"/>
        <v>NA</v>
      </c>
      <c r="AS226" t="str">
        <f t="shared" si="42"/>
        <v>NA</v>
      </c>
      <c r="AU226" t="s">
        <v>303</v>
      </c>
      <c r="AX226" s="12">
        <v>0</v>
      </c>
      <c r="AY226">
        <v>114</v>
      </c>
      <c r="AZ226" t="s">
        <v>67</v>
      </c>
      <c r="BA226" t="s">
        <v>5</v>
      </c>
    </row>
    <row r="227" spans="1:53" x14ac:dyDescent="0.35">
      <c r="A227" t="s">
        <v>67</v>
      </c>
      <c r="B227">
        <v>1</v>
      </c>
      <c r="C227" t="s">
        <v>0</v>
      </c>
      <c r="D227" t="s">
        <v>4</v>
      </c>
      <c r="E227" t="s">
        <v>3</v>
      </c>
      <c r="F227" s="1">
        <v>0.56000000000000005</v>
      </c>
      <c r="G227" t="s">
        <v>61</v>
      </c>
      <c r="H227">
        <v>5</v>
      </c>
      <c r="I227">
        <v>3</v>
      </c>
      <c r="J227">
        <v>7</v>
      </c>
      <c r="K227">
        <v>29</v>
      </c>
      <c r="L227">
        <v>17</v>
      </c>
      <c r="M227">
        <f t="shared" si="40"/>
        <v>46</v>
      </c>
      <c r="N227">
        <v>46</v>
      </c>
      <c r="O227">
        <v>2.42</v>
      </c>
      <c r="P227">
        <v>0.14000000000000001</v>
      </c>
      <c r="Q227">
        <f t="shared" si="36"/>
        <v>1.2227047218988268E-2</v>
      </c>
      <c r="R227" s="6">
        <v>106</v>
      </c>
      <c r="S227">
        <v>0.73</v>
      </c>
      <c r="T227">
        <f t="shared" si="37"/>
        <v>0.80499999999999994</v>
      </c>
      <c r="U227">
        <v>0.88</v>
      </c>
      <c r="V227">
        <v>0.98</v>
      </c>
      <c r="W227">
        <f t="shared" si="41"/>
        <v>1.47</v>
      </c>
      <c r="X227">
        <f t="shared" si="38"/>
        <v>2.94</v>
      </c>
      <c r="Y227">
        <v>3.1</v>
      </c>
      <c r="Z227">
        <v>19.899999999999999</v>
      </c>
      <c r="AA227">
        <v>19.899999999999999</v>
      </c>
      <c r="AB227">
        <v>0</v>
      </c>
      <c r="AC227">
        <v>1503.1133333333332</v>
      </c>
      <c r="AF227">
        <v>1978</v>
      </c>
      <c r="AG227">
        <f>155</f>
        <v>155</v>
      </c>
      <c r="AH227" t="s">
        <v>21</v>
      </c>
      <c r="AI227">
        <f>4.5/2252</f>
        <v>1.9982238010657193E-3</v>
      </c>
      <c r="AJ227">
        <v>0</v>
      </c>
      <c r="AK227">
        <v>8</v>
      </c>
      <c r="AL227">
        <f>AK227+AL226-AK226</f>
        <v>110</v>
      </c>
      <c r="AM227">
        <f t="shared" si="39"/>
        <v>102</v>
      </c>
      <c r="AO227">
        <f t="shared" si="34"/>
        <v>0.48113207547169812</v>
      </c>
      <c r="AP227">
        <v>225</v>
      </c>
      <c r="AQ227">
        <f t="shared" si="35"/>
        <v>45.690275310834814</v>
      </c>
      <c r="AR227">
        <f t="shared" si="43"/>
        <v>0.30972468916518647</v>
      </c>
      <c r="AS227">
        <f t="shared" si="42"/>
        <v>0.98178090063734202</v>
      </c>
      <c r="AU227" t="s">
        <v>303</v>
      </c>
      <c r="AX227" s="12">
        <v>0</v>
      </c>
      <c r="AY227">
        <v>114</v>
      </c>
      <c r="AZ227" t="s">
        <v>67</v>
      </c>
      <c r="BA227" t="s">
        <v>0</v>
      </c>
    </row>
    <row r="228" spans="1:53" x14ac:dyDescent="0.35">
      <c r="A228" t="s">
        <v>66</v>
      </c>
      <c r="B228">
        <v>1</v>
      </c>
      <c r="C228" t="s">
        <v>5</v>
      </c>
      <c r="D228" t="s">
        <v>4</v>
      </c>
      <c r="E228" t="s">
        <v>3</v>
      </c>
      <c r="F228" s="1">
        <v>0.56000000000000005</v>
      </c>
      <c r="G228" t="s">
        <v>61</v>
      </c>
      <c r="H228">
        <v>5</v>
      </c>
      <c r="I228">
        <v>3</v>
      </c>
      <c r="J228">
        <v>7</v>
      </c>
      <c r="K228">
        <v>29</v>
      </c>
      <c r="L228">
        <v>17</v>
      </c>
      <c r="M228">
        <f t="shared" si="40"/>
        <v>46</v>
      </c>
      <c r="N228">
        <v>46</v>
      </c>
      <c r="O228">
        <v>2.42</v>
      </c>
      <c r="P228">
        <v>0.14000000000000001</v>
      </c>
      <c r="Q228">
        <f t="shared" si="36"/>
        <v>1.2227047218988268E-2</v>
      </c>
      <c r="R228" s="6">
        <v>106</v>
      </c>
      <c r="S228">
        <v>0.73</v>
      </c>
      <c r="T228">
        <f t="shared" si="37"/>
        <v>0.80499999999999994</v>
      </c>
      <c r="U228">
        <v>0.88</v>
      </c>
      <c r="V228">
        <v>0.98</v>
      </c>
      <c r="W228">
        <f t="shared" si="41"/>
        <v>1.47</v>
      </c>
      <c r="X228">
        <f t="shared" si="38"/>
        <v>2.94</v>
      </c>
      <c r="Y228">
        <v>3.1</v>
      </c>
      <c r="Z228">
        <v>19.899999999999999</v>
      </c>
      <c r="AA228">
        <v>19.899999999999999</v>
      </c>
      <c r="AB228">
        <v>0</v>
      </c>
      <c r="AC228">
        <f>Z228/AH228</f>
        <v>1503.1133333333332</v>
      </c>
      <c r="AD228" t="s">
        <v>546</v>
      </c>
      <c r="AE228">
        <v>1985</v>
      </c>
      <c r="AF228">
        <v>1978</v>
      </c>
      <c r="AG228">
        <f>798+252</f>
        <v>1050</v>
      </c>
      <c r="AH228">
        <f>15/1133</f>
        <v>1.323918799646955E-2</v>
      </c>
      <c r="AI228" t="s">
        <v>21</v>
      </c>
      <c r="AJ228">
        <v>1</v>
      </c>
      <c r="AK228">
        <v>6</v>
      </c>
      <c r="AL228">
        <f>AK228+AM228</f>
        <v>307</v>
      </c>
      <c r="AM228">
        <v>301</v>
      </c>
      <c r="AO228">
        <f t="shared" si="34"/>
        <v>1.4198113207547169</v>
      </c>
      <c r="AP228">
        <v>226</v>
      </c>
      <c r="AQ228" t="str">
        <f t="shared" si="35"/>
        <v>NA</v>
      </c>
      <c r="AR228" t="str">
        <f t="shared" si="43"/>
        <v>NA</v>
      </c>
      <c r="AS228" t="str">
        <f t="shared" si="42"/>
        <v>NA</v>
      </c>
      <c r="AU228" t="s">
        <v>303</v>
      </c>
      <c r="AW228" t="s">
        <v>313</v>
      </c>
      <c r="AX228" s="9">
        <v>11</v>
      </c>
      <c r="AY228">
        <v>115</v>
      </c>
      <c r="AZ228" t="s">
        <v>66</v>
      </c>
      <c r="BA228" t="s">
        <v>5</v>
      </c>
    </row>
    <row r="229" spans="1:53" x14ac:dyDescent="0.35">
      <c r="A229" t="s">
        <v>66</v>
      </c>
      <c r="B229">
        <v>1</v>
      </c>
      <c r="C229" t="s">
        <v>0</v>
      </c>
      <c r="D229" t="s">
        <v>4</v>
      </c>
      <c r="E229" t="s">
        <v>3</v>
      </c>
      <c r="F229" s="1">
        <v>0.56000000000000005</v>
      </c>
      <c r="G229" t="s">
        <v>61</v>
      </c>
      <c r="H229">
        <v>5</v>
      </c>
      <c r="I229">
        <v>3</v>
      </c>
      <c r="J229">
        <v>7</v>
      </c>
      <c r="K229">
        <v>29</v>
      </c>
      <c r="L229">
        <v>17</v>
      </c>
      <c r="M229">
        <f t="shared" si="40"/>
        <v>46</v>
      </c>
      <c r="N229">
        <v>46</v>
      </c>
      <c r="O229">
        <v>2.42</v>
      </c>
      <c r="P229">
        <v>0.14000000000000001</v>
      </c>
      <c r="Q229">
        <f t="shared" si="36"/>
        <v>1.2227047218988268E-2</v>
      </c>
      <c r="R229" s="6">
        <v>106</v>
      </c>
      <c r="S229">
        <v>0.73</v>
      </c>
      <c r="T229">
        <f t="shared" si="37"/>
        <v>0.80499999999999994</v>
      </c>
      <c r="U229">
        <v>0.88</v>
      </c>
      <c r="V229">
        <v>0.98</v>
      </c>
      <c r="W229">
        <f t="shared" si="41"/>
        <v>1.47</v>
      </c>
      <c r="X229">
        <f t="shared" si="38"/>
        <v>2.94</v>
      </c>
      <c r="Y229">
        <v>3.1</v>
      </c>
      <c r="Z229">
        <v>19.899999999999999</v>
      </c>
      <c r="AA229">
        <v>19.899999999999999</v>
      </c>
      <c r="AB229">
        <v>0</v>
      </c>
      <c r="AC229">
        <v>1503.1133333333332</v>
      </c>
      <c r="AD229" t="s">
        <v>547</v>
      </c>
      <c r="AE229">
        <v>1985</v>
      </c>
      <c r="AF229">
        <v>1978</v>
      </c>
      <c r="AG229">
        <f>798+252</f>
        <v>1050</v>
      </c>
      <c r="AH229" t="s">
        <v>21</v>
      </c>
      <c r="AI229">
        <f>4.5/2252</f>
        <v>1.9982238010657193E-3</v>
      </c>
      <c r="AJ229">
        <v>1</v>
      </c>
      <c r="AK229">
        <v>5</v>
      </c>
      <c r="AL229">
        <f>AK229+AM228</f>
        <v>306</v>
      </c>
      <c r="AM229">
        <f t="shared" si="39"/>
        <v>301</v>
      </c>
      <c r="AO229">
        <f t="shared" si="34"/>
        <v>1.4198113207547169</v>
      </c>
      <c r="AP229">
        <v>227</v>
      </c>
      <c r="AQ229">
        <f t="shared" si="35"/>
        <v>43.901865008880996</v>
      </c>
      <c r="AR229">
        <f t="shared" si="43"/>
        <v>2.0981349911190055</v>
      </c>
      <c r="AS229">
        <f t="shared" si="42"/>
        <v>0.87658029464005849</v>
      </c>
      <c r="AU229" t="s">
        <v>303</v>
      </c>
      <c r="AW229" t="s">
        <v>313</v>
      </c>
      <c r="AX229" s="9">
        <v>11</v>
      </c>
      <c r="AY229">
        <v>115</v>
      </c>
      <c r="AZ229" t="s">
        <v>66</v>
      </c>
      <c r="BA229" t="s">
        <v>0</v>
      </c>
    </row>
    <row r="230" spans="1:53" x14ac:dyDescent="0.35">
      <c r="A230" t="s">
        <v>65</v>
      </c>
      <c r="B230">
        <v>2</v>
      </c>
      <c r="C230" t="s">
        <v>5</v>
      </c>
      <c r="D230" t="s">
        <v>4</v>
      </c>
      <c r="E230" t="s">
        <v>3</v>
      </c>
      <c r="F230" s="1">
        <v>0.56000000000000005</v>
      </c>
      <c r="G230" t="s">
        <v>61</v>
      </c>
      <c r="H230">
        <v>5</v>
      </c>
      <c r="I230">
        <v>3</v>
      </c>
      <c r="J230">
        <v>7</v>
      </c>
      <c r="K230">
        <v>31</v>
      </c>
      <c r="L230">
        <v>10</v>
      </c>
      <c r="M230">
        <f t="shared" si="40"/>
        <v>41</v>
      </c>
      <c r="N230">
        <v>55</v>
      </c>
      <c r="O230">
        <v>2.81</v>
      </c>
      <c r="P230">
        <v>0.17</v>
      </c>
      <c r="Q230">
        <f t="shared" si="36"/>
        <v>1.4847128765914324E-2</v>
      </c>
      <c r="R230" s="6">
        <v>94.5</v>
      </c>
      <c r="S230">
        <v>0.73</v>
      </c>
      <c r="T230">
        <f t="shared" si="37"/>
        <v>0.80499999999999994</v>
      </c>
      <c r="U230">
        <v>0.88</v>
      </c>
      <c r="V230">
        <v>0.98</v>
      </c>
      <c r="W230">
        <f t="shared" si="41"/>
        <v>1.47</v>
      </c>
      <c r="X230">
        <f t="shared" si="38"/>
        <v>2.94</v>
      </c>
      <c r="Y230">
        <v>0.86</v>
      </c>
      <c r="Z230">
        <v>19.899999999999999</v>
      </c>
      <c r="AA230">
        <v>19.899999999999999</v>
      </c>
      <c r="AB230">
        <v>0</v>
      </c>
      <c r="AC230">
        <f>Z230/AH230</f>
        <v>1894.4799999999998</v>
      </c>
      <c r="AD230" t="s">
        <v>548</v>
      </c>
      <c r="AE230">
        <v>3281</v>
      </c>
      <c r="AF230">
        <v>3355</v>
      </c>
      <c r="AG230">
        <f>457</f>
        <v>457</v>
      </c>
      <c r="AH230">
        <f>15/1428</f>
        <v>1.050420168067227E-2</v>
      </c>
      <c r="AI230" t="s">
        <v>21</v>
      </c>
      <c r="AJ230">
        <v>0</v>
      </c>
      <c r="AK230">
        <v>31</v>
      </c>
      <c r="AL230">
        <v>93</v>
      </c>
      <c r="AM230">
        <f t="shared" si="39"/>
        <v>62</v>
      </c>
      <c r="AO230">
        <f t="shared" si="34"/>
        <v>0.32804232804232802</v>
      </c>
      <c r="AP230">
        <v>228</v>
      </c>
      <c r="AQ230" t="str">
        <f t="shared" si="35"/>
        <v>NA</v>
      </c>
      <c r="AR230" t="str">
        <f t="shared" si="43"/>
        <v>NA</v>
      </c>
      <c r="AS230" t="str">
        <f t="shared" si="42"/>
        <v>NA</v>
      </c>
      <c r="AU230" t="s">
        <v>303</v>
      </c>
      <c r="AX230" s="12">
        <v>0</v>
      </c>
      <c r="AY230">
        <v>116</v>
      </c>
      <c r="AZ230" t="s">
        <v>65</v>
      </c>
      <c r="BA230" t="s">
        <v>5</v>
      </c>
    </row>
    <row r="231" spans="1:53" x14ac:dyDescent="0.35">
      <c r="A231" t="s">
        <v>65</v>
      </c>
      <c r="B231">
        <v>2</v>
      </c>
      <c r="C231" t="s">
        <v>0</v>
      </c>
      <c r="D231" t="s">
        <v>4</v>
      </c>
      <c r="E231" t="s">
        <v>3</v>
      </c>
      <c r="F231" s="1">
        <v>0.56000000000000005</v>
      </c>
      <c r="G231" t="s">
        <v>61</v>
      </c>
      <c r="H231">
        <v>5</v>
      </c>
      <c r="I231">
        <v>3</v>
      </c>
      <c r="J231">
        <v>7</v>
      </c>
      <c r="K231">
        <v>31</v>
      </c>
      <c r="L231">
        <v>10</v>
      </c>
      <c r="M231">
        <f t="shared" si="40"/>
        <v>41</v>
      </c>
      <c r="N231">
        <v>55</v>
      </c>
      <c r="O231">
        <v>2.81</v>
      </c>
      <c r="P231">
        <v>0.17</v>
      </c>
      <c r="Q231">
        <f t="shared" si="36"/>
        <v>1.4847128765914324E-2</v>
      </c>
      <c r="R231" s="6">
        <v>94.5</v>
      </c>
      <c r="S231">
        <v>0.73</v>
      </c>
      <c r="T231">
        <f t="shared" si="37"/>
        <v>0.80499999999999994</v>
      </c>
      <c r="U231">
        <v>0.88</v>
      </c>
      <c r="V231">
        <v>0.98</v>
      </c>
      <c r="W231">
        <f t="shared" si="41"/>
        <v>1.47</v>
      </c>
      <c r="X231">
        <f t="shared" si="38"/>
        <v>2.94</v>
      </c>
      <c r="Y231">
        <v>0.86</v>
      </c>
      <c r="Z231">
        <v>19.899999999999999</v>
      </c>
      <c r="AA231">
        <v>19.899999999999999</v>
      </c>
      <c r="AB231">
        <v>0</v>
      </c>
      <c r="AC231">
        <v>1894.4799999999998</v>
      </c>
      <c r="AD231" t="s">
        <v>549</v>
      </c>
      <c r="AE231">
        <v>3281</v>
      </c>
      <c r="AF231">
        <v>3355</v>
      </c>
      <c r="AG231">
        <f>457</f>
        <v>457</v>
      </c>
      <c r="AH231" t="s">
        <v>21</v>
      </c>
      <c r="AI231">
        <f>4/2000</f>
        <v>2E-3</v>
      </c>
      <c r="AJ231">
        <v>0</v>
      </c>
      <c r="AK231">
        <v>31</v>
      </c>
      <c r="AL231">
        <f>AK231+AL230-AK230</f>
        <v>93</v>
      </c>
      <c r="AM231">
        <f t="shared" si="39"/>
        <v>62</v>
      </c>
      <c r="AO231">
        <f t="shared" si="34"/>
        <v>0.32804232804232802</v>
      </c>
      <c r="AP231">
        <v>229</v>
      </c>
      <c r="AQ231">
        <f t="shared" si="35"/>
        <v>40.085999999999999</v>
      </c>
      <c r="AR231">
        <f t="shared" si="43"/>
        <v>0.91400000000000003</v>
      </c>
      <c r="AS231">
        <f t="shared" si="42"/>
        <v>0.90860000000000007</v>
      </c>
      <c r="AU231" t="s">
        <v>303</v>
      </c>
      <c r="AX231" s="12">
        <v>0</v>
      </c>
      <c r="AY231">
        <v>116</v>
      </c>
      <c r="AZ231" t="s">
        <v>65</v>
      </c>
      <c r="BA231" t="s">
        <v>0</v>
      </c>
    </row>
    <row r="232" spans="1:53" x14ac:dyDescent="0.35">
      <c r="A232" t="s">
        <v>64</v>
      </c>
      <c r="B232">
        <v>2</v>
      </c>
      <c r="C232" t="s">
        <v>5</v>
      </c>
      <c r="D232" t="s">
        <v>4</v>
      </c>
      <c r="E232" t="s">
        <v>3</v>
      </c>
      <c r="F232" s="1">
        <v>0.56000000000000005</v>
      </c>
      <c r="G232" t="s">
        <v>61</v>
      </c>
      <c r="H232">
        <v>5</v>
      </c>
      <c r="I232">
        <v>3</v>
      </c>
      <c r="J232">
        <v>7</v>
      </c>
      <c r="K232">
        <v>31</v>
      </c>
      <c r="L232">
        <v>10</v>
      </c>
      <c r="M232">
        <f t="shared" si="40"/>
        <v>41</v>
      </c>
      <c r="N232">
        <v>55</v>
      </c>
      <c r="O232">
        <v>2.81</v>
      </c>
      <c r="P232">
        <v>0.17</v>
      </c>
      <c r="Q232">
        <f t="shared" si="36"/>
        <v>1.4847128765914324E-2</v>
      </c>
      <c r="R232" s="6">
        <v>94.5</v>
      </c>
      <c r="S232">
        <v>0.73</v>
      </c>
      <c r="T232">
        <f t="shared" si="37"/>
        <v>0.80499999999999994</v>
      </c>
      <c r="U232">
        <v>0.88</v>
      </c>
      <c r="V232">
        <v>0.98</v>
      </c>
      <c r="W232">
        <f t="shared" si="41"/>
        <v>1.47</v>
      </c>
      <c r="X232">
        <f t="shared" si="38"/>
        <v>2.94</v>
      </c>
      <c r="Y232">
        <v>0.86</v>
      </c>
      <c r="Z232">
        <v>19.899999999999999</v>
      </c>
      <c r="AA232">
        <v>19.899999999999999</v>
      </c>
      <c r="AB232">
        <v>0</v>
      </c>
      <c r="AC232">
        <f>Z232/AH232</f>
        <v>1894.4799999999998</v>
      </c>
      <c r="AD232" t="s">
        <v>550</v>
      </c>
      <c r="AE232">
        <v>3281</v>
      </c>
      <c r="AF232">
        <v>3355</v>
      </c>
      <c r="AG232">
        <f>880</f>
        <v>880</v>
      </c>
      <c r="AH232">
        <f>15/1428</f>
        <v>1.050420168067227E-2</v>
      </c>
      <c r="AI232" t="s">
        <v>21</v>
      </c>
      <c r="AJ232">
        <v>0</v>
      </c>
      <c r="AK232">
        <v>10</v>
      </c>
      <c r="AL232">
        <v>86</v>
      </c>
      <c r="AM232">
        <f t="shared" si="39"/>
        <v>76</v>
      </c>
      <c r="AO232">
        <f t="shared" si="34"/>
        <v>0.40211640211640209</v>
      </c>
      <c r="AP232">
        <v>230</v>
      </c>
      <c r="AQ232" t="str">
        <f t="shared" si="35"/>
        <v>NA</v>
      </c>
      <c r="AR232" t="str">
        <f t="shared" si="43"/>
        <v>NA</v>
      </c>
      <c r="AS232" t="str">
        <f t="shared" si="42"/>
        <v>NA</v>
      </c>
      <c r="AU232" t="s">
        <v>303</v>
      </c>
      <c r="AX232" s="12">
        <v>0</v>
      </c>
      <c r="AY232">
        <v>117</v>
      </c>
      <c r="AZ232" t="s">
        <v>64</v>
      </c>
      <c r="BA232" t="s">
        <v>5</v>
      </c>
    </row>
    <row r="233" spans="1:53" x14ac:dyDescent="0.35">
      <c r="A233" t="s">
        <v>64</v>
      </c>
      <c r="B233">
        <v>2</v>
      </c>
      <c r="C233" t="s">
        <v>0</v>
      </c>
      <c r="D233" t="s">
        <v>4</v>
      </c>
      <c r="E233" t="s">
        <v>3</v>
      </c>
      <c r="F233" s="1">
        <v>0.56000000000000005</v>
      </c>
      <c r="G233" t="s">
        <v>61</v>
      </c>
      <c r="H233">
        <v>5</v>
      </c>
      <c r="I233">
        <v>3</v>
      </c>
      <c r="J233">
        <v>7</v>
      </c>
      <c r="K233">
        <v>31</v>
      </c>
      <c r="L233">
        <v>10</v>
      </c>
      <c r="M233">
        <f t="shared" si="40"/>
        <v>41</v>
      </c>
      <c r="N233">
        <v>55</v>
      </c>
      <c r="O233">
        <v>2.81</v>
      </c>
      <c r="P233">
        <v>0.17</v>
      </c>
      <c r="Q233">
        <f t="shared" si="36"/>
        <v>1.4847128765914324E-2</v>
      </c>
      <c r="R233" s="6">
        <v>94.5</v>
      </c>
      <c r="S233">
        <v>0.73</v>
      </c>
      <c r="T233">
        <f t="shared" si="37"/>
        <v>0.80499999999999994</v>
      </c>
      <c r="U233">
        <v>0.88</v>
      </c>
      <c r="V233">
        <v>0.98</v>
      </c>
      <c r="W233">
        <f t="shared" si="41"/>
        <v>1.47</v>
      </c>
      <c r="X233">
        <f t="shared" si="38"/>
        <v>2.94</v>
      </c>
      <c r="Y233">
        <v>0.86</v>
      </c>
      <c r="Z233">
        <v>19.899999999999999</v>
      </c>
      <c r="AA233">
        <v>19.899999999999999</v>
      </c>
      <c r="AB233">
        <v>0</v>
      </c>
      <c r="AC233">
        <v>1894.4799999999998</v>
      </c>
      <c r="AD233" t="s">
        <v>551</v>
      </c>
      <c r="AE233">
        <v>3281</v>
      </c>
      <c r="AF233">
        <v>3355</v>
      </c>
      <c r="AG233">
        <f>880</f>
        <v>880</v>
      </c>
      <c r="AH233" t="s">
        <v>21</v>
      </c>
      <c r="AI233">
        <f>4/2000</f>
        <v>2E-3</v>
      </c>
      <c r="AJ233">
        <v>0</v>
      </c>
      <c r="AK233">
        <v>11</v>
      </c>
      <c r="AL233">
        <f>AK233+AL232-AK232</f>
        <v>87</v>
      </c>
      <c r="AM233">
        <f t="shared" si="39"/>
        <v>76</v>
      </c>
      <c r="AO233">
        <f t="shared" si="34"/>
        <v>0.40211640211640209</v>
      </c>
      <c r="AP233">
        <v>231</v>
      </c>
      <c r="AQ233">
        <f t="shared" si="35"/>
        <v>39.24</v>
      </c>
      <c r="AR233">
        <f t="shared" si="43"/>
        <v>1.76</v>
      </c>
      <c r="AS233">
        <f t="shared" si="42"/>
        <v>0.82400000000000007</v>
      </c>
      <c r="AU233" t="s">
        <v>303</v>
      </c>
      <c r="AX233" s="12">
        <v>0</v>
      </c>
      <c r="AY233">
        <v>117</v>
      </c>
      <c r="AZ233" t="s">
        <v>64</v>
      </c>
      <c r="BA233" t="s">
        <v>0</v>
      </c>
    </row>
    <row r="234" spans="1:53" x14ac:dyDescent="0.35">
      <c r="A234" t="s">
        <v>63</v>
      </c>
      <c r="B234">
        <v>2</v>
      </c>
      <c r="C234" t="s">
        <v>5</v>
      </c>
      <c r="D234" t="s">
        <v>4</v>
      </c>
      <c r="E234" t="s">
        <v>3</v>
      </c>
      <c r="F234" s="1">
        <v>0.56000000000000005</v>
      </c>
      <c r="G234" t="s">
        <v>61</v>
      </c>
      <c r="H234">
        <v>5</v>
      </c>
      <c r="I234">
        <v>3</v>
      </c>
      <c r="J234">
        <v>7</v>
      </c>
      <c r="K234">
        <v>31</v>
      </c>
      <c r="L234">
        <v>10</v>
      </c>
      <c r="M234">
        <f t="shared" si="40"/>
        <v>41</v>
      </c>
      <c r="N234">
        <v>55</v>
      </c>
      <c r="O234">
        <v>2.81</v>
      </c>
      <c r="P234">
        <v>0.17</v>
      </c>
      <c r="Q234">
        <f t="shared" si="36"/>
        <v>1.4847128765914324E-2</v>
      </c>
      <c r="R234" s="6">
        <v>94.5</v>
      </c>
      <c r="S234">
        <v>0.73</v>
      </c>
      <c r="T234">
        <f t="shared" si="37"/>
        <v>0.80499999999999994</v>
      </c>
      <c r="U234">
        <v>0.88</v>
      </c>
      <c r="V234">
        <v>0.98</v>
      </c>
      <c r="W234">
        <f t="shared" si="41"/>
        <v>1.47</v>
      </c>
      <c r="X234">
        <f t="shared" si="38"/>
        <v>2.94</v>
      </c>
      <c r="Y234">
        <v>0.86</v>
      </c>
      <c r="Z234">
        <v>19.899999999999999</v>
      </c>
      <c r="AA234">
        <v>19.899999999999999</v>
      </c>
      <c r="AB234">
        <v>0</v>
      </c>
      <c r="AC234">
        <f>Z234/AH234</f>
        <v>1894.4799999999998</v>
      </c>
      <c r="AF234">
        <v>3355</v>
      </c>
      <c r="AG234">
        <f>417+651</f>
        <v>1068</v>
      </c>
      <c r="AH234">
        <f>15/1428</f>
        <v>1.050420168067227E-2</v>
      </c>
      <c r="AI234" t="s">
        <v>21</v>
      </c>
      <c r="AJ234">
        <v>1</v>
      </c>
      <c r="AK234">
        <v>12</v>
      </c>
      <c r="AL234">
        <f>AK234+AM234</f>
        <v>156</v>
      </c>
      <c r="AM234">
        <v>144</v>
      </c>
      <c r="AO234">
        <f t="shared" si="34"/>
        <v>0.76190476190476186</v>
      </c>
      <c r="AP234">
        <v>232</v>
      </c>
      <c r="AQ234" t="str">
        <f t="shared" si="35"/>
        <v>NA</v>
      </c>
      <c r="AR234" t="str">
        <f t="shared" si="43"/>
        <v>NA</v>
      </c>
      <c r="AS234" t="str">
        <f t="shared" si="42"/>
        <v>NA</v>
      </c>
      <c r="AU234" t="s">
        <v>303</v>
      </c>
      <c r="AV234" t="s">
        <v>432</v>
      </c>
      <c r="AW234" t="s">
        <v>312</v>
      </c>
      <c r="AX234" s="9" t="s">
        <v>453</v>
      </c>
      <c r="AY234">
        <v>118</v>
      </c>
      <c r="AZ234" t="s">
        <v>63</v>
      </c>
      <c r="BA234" t="s">
        <v>5</v>
      </c>
    </row>
    <row r="235" spans="1:53" x14ac:dyDescent="0.35">
      <c r="A235" t="s">
        <v>63</v>
      </c>
      <c r="B235">
        <v>2</v>
      </c>
      <c r="C235" t="s">
        <v>0</v>
      </c>
      <c r="D235" t="s">
        <v>4</v>
      </c>
      <c r="E235" t="s">
        <v>3</v>
      </c>
      <c r="F235" s="1">
        <v>0.56000000000000005</v>
      </c>
      <c r="G235" t="s">
        <v>61</v>
      </c>
      <c r="H235">
        <v>5</v>
      </c>
      <c r="I235">
        <v>3</v>
      </c>
      <c r="J235">
        <v>7</v>
      </c>
      <c r="K235">
        <v>31</v>
      </c>
      <c r="L235">
        <v>10</v>
      </c>
      <c r="M235">
        <f t="shared" si="40"/>
        <v>41</v>
      </c>
      <c r="N235">
        <v>55</v>
      </c>
      <c r="O235">
        <v>2.81</v>
      </c>
      <c r="P235">
        <v>0.17</v>
      </c>
      <c r="Q235">
        <f t="shared" si="36"/>
        <v>1.4847128765914324E-2</v>
      </c>
      <c r="R235" s="6">
        <v>94.5</v>
      </c>
      <c r="S235">
        <v>0.73</v>
      </c>
      <c r="T235">
        <f t="shared" si="37"/>
        <v>0.80499999999999994</v>
      </c>
      <c r="U235">
        <v>0.88</v>
      </c>
      <c r="V235">
        <v>0.98</v>
      </c>
      <c r="W235">
        <f t="shared" si="41"/>
        <v>1.47</v>
      </c>
      <c r="X235">
        <f t="shared" si="38"/>
        <v>2.94</v>
      </c>
      <c r="Y235">
        <v>0.86</v>
      </c>
      <c r="Z235">
        <v>19.899999999999999</v>
      </c>
      <c r="AA235">
        <v>19.899999999999999</v>
      </c>
      <c r="AB235">
        <v>0</v>
      </c>
      <c r="AC235">
        <v>1894.4799999999998</v>
      </c>
      <c r="AF235">
        <v>3355</v>
      </c>
      <c r="AG235">
        <f>417+651</f>
        <v>1068</v>
      </c>
      <c r="AH235" t="s">
        <v>21</v>
      </c>
      <c r="AI235">
        <f>4/2000</f>
        <v>2E-3</v>
      </c>
      <c r="AJ235">
        <v>1</v>
      </c>
      <c r="AK235">
        <v>13</v>
      </c>
      <c r="AL235">
        <f>AK235+AM234</f>
        <v>157</v>
      </c>
      <c r="AM235">
        <f t="shared" si="39"/>
        <v>144</v>
      </c>
      <c r="AO235">
        <f t="shared" si="34"/>
        <v>0.76190476190476186</v>
      </c>
      <c r="AP235">
        <v>233</v>
      </c>
      <c r="AQ235">
        <f t="shared" si="35"/>
        <v>38.863999999999997</v>
      </c>
      <c r="AR235">
        <f t="shared" si="43"/>
        <v>2.1360000000000001</v>
      </c>
      <c r="AS235">
        <f t="shared" si="42"/>
        <v>0.78639999999999999</v>
      </c>
      <c r="AU235" t="s">
        <v>303</v>
      </c>
      <c r="AV235" t="s">
        <v>432</v>
      </c>
      <c r="AW235" t="s">
        <v>312</v>
      </c>
      <c r="AX235" s="9" t="s">
        <v>453</v>
      </c>
      <c r="AY235">
        <v>118</v>
      </c>
      <c r="AZ235" t="s">
        <v>63</v>
      </c>
      <c r="BA235" t="s">
        <v>0</v>
      </c>
    </row>
    <row r="236" spans="1:53" x14ac:dyDescent="0.35">
      <c r="A236" t="s">
        <v>62</v>
      </c>
      <c r="B236">
        <v>2</v>
      </c>
      <c r="C236" t="s">
        <v>5</v>
      </c>
      <c r="D236" t="s">
        <v>4</v>
      </c>
      <c r="E236" t="s">
        <v>3</v>
      </c>
      <c r="F236" s="1">
        <v>0.56000000000000005</v>
      </c>
      <c r="G236" t="s">
        <v>61</v>
      </c>
      <c r="H236">
        <v>5</v>
      </c>
      <c r="I236">
        <v>3</v>
      </c>
      <c r="J236">
        <v>7</v>
      </c>
      <c r="K236">
        <v>31</v>
      </c>
      <c r="L236">
        <v>10</v>
      </c>
      <c r="M236">
        <f t="shared" si="40"/>
        <v>41</v>
      </c>
      <c r="N236">
        <v>55</v>
      </c>
      <c r="O236">
        <v>2.81</v>
      </c>
      <c r="P236">
        <v>0.17</v>
      </c>
      <c r="Q236">
        <f t="shared" si="36"/>
        <v>1.4847128765914324E-2</v>
      </c>
      <c r="R236" s="6">
        <v>94.5</v>
      </c>
      <c r="S236">
        <v>0.73</v>
      </c>
      <c r="T236">
        <f t="shared" si="37"/>
        <v>0.80499999999999994</v>
      </c>
      <c r="U236">
        <v>0.88</v>
      </c>
      <c r="V236">
        <v>0.98</v>
      </c>
      <c r="W236">
        <f t="shared" si="41"/>
        <v>1.47</v>
      </c>
      <c r="X236">
        <f t="shared" si="38"/>
        <v>2.94</v>
      </c>
      <c r="Y236">
        <v>0.86</v>
      </c>
      <c r="Z236">
        <v>19.899999999999999</v>
      </c>
      <c r="AA236">
        <v>19.899999999999999</v>
      </c>
      <c r="AB236">
        <v>0</v>
      </c>
      <c r="AC236">
        <f>Z236/AH236</f>
        <v>1894.4799999999998</v>
      </c>
      <c r="AF236">
        <v>3355</v>
      </c>
      <c r="AG236">
        <f>685+671+1381</f>
        <v>2737</v>
      </c>
      <c r="AH236">
        <f>15/1428</f>
        <v>1.050420168067227E-2</v>
      </c>
      <c r="AI236" t="s">
        <v>21</v>
      </c>
      <c r="AJ236">
        <v>1</v>
      </c>
      <c r="AK236">
        <v>5</v>
      </c>
      <c r="AL236">
        <f>AK236+AL237-AK237</f>
        <v>427</v>
      </c>
      <c r="AM236">
        <f t="shared" si="39"/>
        <v>422</v>
      </c>
      <c r="AO236">
        <f t="shared" si="34"/>
        <v>2.232804232804233</v>
      </c>
      <c r="AP236">
        <v>234</v>
      </c>
      <c r="AQ236" t="str">
        <f t="shared" si="35"/>
        <v>NA</v>
      </c>
      <c r="AR236" t="str">
        <f t="shared" si="43"/>
        <v>NA</v>
      </c>
      <c r="AS236" t="str">
        <f t="shared" si="42"/>
        <v>NA</v>
      </c>
      <c r="AU236" t="s">
        <v>433</v>
      </c>
      <c r="AW236" t="s">
        <v>312</v>
      </c>
      <c r="AX236" s="14">
        <v>1</v>
      </c>
      <c r="AY236">
        <v>119</v>
      </c>
      <c r="AZ236" t="s">
        <v>62</v>
      </c>
      <c r="BA236" t="s">
        <v>5</v>
      </c>
    </row>
    <row r="237" spans="1:53" x14ac:dyDescent="0.35">
      <c r="A237" t="s">
        <v>62</v>
      </c>
      <c r="B237">
        <v>2</v>
      </c>
      <c r="C237" t="s">
        <v>0</v>
      </c>
      <c r="D237" t="s">
        <v>4</v>
      </c>
      <c r="E237" t="s">
        <v>3</v>
      </c>
      <c r="F237" s="1">
        <v>0.56000000000000005</v>
      </c>
      <c r="G237" t="s">
        <v>61</v>
      </c>
      <c r="H237">
        <v>5</v>
      </c>
      <c r="I237">
        <v>3</v>
      </c>
      <c r="J237">
        <v>7</v>
      </c>
      <c r="K237">
        <v>31</v>
      </c>
      <c r="L237">
        <v>10</v>
      </c>
      <c r="M237">
        <f t="shared" si="40"/>
        <v>41</v>
      </c>
      <c r="N237">
        <v>55</v>
      </c>
      <c r="O237">
        <v>2.81</v>
      </c>
      <c r="P237">
        <v>0.17</v>
      </c>
      <c r="Q237">
        <f t="shared" si="36"/>
        <v>1.4847128765914324E-2</v>
      </c>
      <c r="R237" s="6">
        <v>94.5</v>
      </c>
      <c r="S237">
        <v>0.73</v>
      </c>
      <c r="T237">
        <f t="shared" si="37"/>
        <v>0.80499999999999994</v>
      </c>
      <c r="U237">
        <v>0.88</v>
      </c>
      <c r="V237">
        <v>0.98</v>
      </c>
      <c r="W237">
        <f t="shared" si="41"/>
        <v>1.47</v>
      </c>
      <c r="X237">
        <f t="shared" si="38"/>
        <v>2.94</v>
      </c>
      <c r="Y237">
        <v>0.86</v>
      </c>
      <c r="Z237">
        <v>19.899999999999999</v>
      </c>
      <c r="AA237">
        <v>19.899999999999999</v>
      </c>
      <c r="AB237">
        <v>0</v>
      </c>
      <c r="AC237">
        <v>1894.4799999999998</v>
      </c>
      <c r="AF237">
        <v>3355</v>
      </c>
      <c r="AG237">
        <f>685+671+1381</f>
        <v>2737</v>
      </c>
      <c r="AH237" t="s">
        <v>21</v>
      </c>
      <c r="AI237">
        <f>4/2000</f>
        <v>2E-3</v>
      </c>
      <c r="AJ237">
        <v>1</v>
      </c>
      <c r="AK237">
        <v>8</v>
      </c>
      <c r="AL237">
        <v>430</v>
      </c>
      <c r="AM237">
        <f t="shared" si="39"/>
        <v>422</v>
      </c>
      <c r="AO237">
        <f t="shared" si="34"/>
        <v>2.232804232804233</v>
      </c>
      <c r="AP237">
        <v>235</v>
      </c>
      <c r="AQ237">
        <f t="shared" si="35"/>
        <v>35.525999999999996</v>
      </c>
      <c r="AR237">
        <f t="shared" si="43"/>
        <v>5.4740000000000002</v>
      </c>
      <c r="AS237">
        <f t="shared" si="42"/>
        <v>0.4526</v>
      </c>
      <c r="AU237" t="s">
        <v>433</v>
      </c>
      <c r="AW237" t="s">
        <v>312</v>
      </c>
      <c r="AX237" s="14">
        <v>1</v>
      </c>
      <c r="AY237">
        <v>119</v>
      </c>
      <c r="AZ237" t="s">
        <v>62</v>
      </c>
      <c r="BA237" t="s">
        <v>0</v>
      </c>
    </row>
    <row r="238" spans="1:53" x14ac:dyDescent="0.35">
      <c r="A238" t="s">
        <v>60</v>
      </c>
      <c r="B238">
        <v>2</v>
      </c>
      <c r="C238" t="s">
        <v>5</v>
      </c>
      <c r="D238" t="s">
        <v>4</v>
      </c>
      <c r="E238" t="s">
        <v>3</v>
      </c>
      <c r="F238" s="1">
        <v>0.56000000000000005</v>
      </c>
      <c r="G238" t="s">
        <v>61</v>
      </c>
      <c r="H238">
        <v>5</v>
      </c>
      <c r="I238">
        <v>3</v>
      </c>
      <c r="J238">
        <v>7</v>
      </c>
      <c r="K238">
        <v>31</v>
      </c>
      <c r="L238">
        <v>10</v>
      </c>
      <c r="M238">
        <f t="shared" si="40"/>
        <v>41</v>
      </c>
      <c r="N238">
        <v>55</v>
      </c>
      <c r="O238">
        <v>2.81</v>
      </c>
      <c r="P238">
        <v>0.17</v>
      </c>
      <c r="Q238">
        <f t="shared" si="36"/>
        <v>1.4847128765914324E-2</v>
      </c>
      <c r="R238" s="6">
        <v>94.5</v>
      </c>
      <c r="S238">
        <v>0.73</v>
      </c>
      <c r="T238">
        <f t="shared" si="37"/>
        <v>0.80499999999999994</v>
      </c>
      <c r="U238">
        <v>0.88</v>
      </c>
      <c r="V238">
        <v>0.98</v>
      </c>
      <c r="W238">
        <f t="shared" si="41"/>
        <v>1.47</v>
      </c>
      <c r="X238">
        <f t="shared" si="38"/>
        <v>2.94</v>
      </c>
      <c r="Y238">
        <v>0.86</v>
      </c>
      <c r="Z238">
        <v>19.899999999999999</v>
      </c>
      <c r="AA238">
        <v>19.899999999999999</v>
      </c>
      <c r="AB238">
        <v>0</v>
      </c>
      <c r="AC238">
        <f>Z238/AH238</f>
        <v>1894.4799999999998</v>
      </c>
      <c r="AF238">
        <v>3355</v>
      </c>
      <c r="AG238">
        <f>436+715</f>
        <v>1151</v>
      </c>
      <c r="AH238">
        <f>15/1428</f>
        <v>1.050420168067227E-2</v>
      </c>
      <c r="AI238" t="s">
        <v>21</v>
      </c>
      <c r="AJ238">
        <v>1</v>
      </c>
      <c r="AK238">
        <v>6</v>
      </c>
      <c r="AL238">
        <v>171</v>
      </c>
      <c r="AM238">
        <f t="shared" si="39"/>
        <v>165</v>
      </c>
      <c r="AO238">
        <f t="shared" si="34"/>
        <v>0.87301587301587302</v>
      </c>
      <c r="AP238">
        <v>236</v>
      </c>
      <c r="AQ238" t="str">
        <f t="shared" si="35"/>
        <v>NA</v>
      </c>
      <c r="AR238" t="str">
        <f t="shared" si="43"/>
        <v>NA</v>
      </c>
      <c r="AS238" t="str">
        <f t="shared" si="42"/>
        <v>NA</v>
      </c>
      <c r="AU238" t="s">
        <v>303</v>
      </c>
      <c r="AV238" t="s">
        <v>432</v>
      </c>
      <c r="AX238" s="13">
        <v>1</v>
      </c>
      <c r="AY238">
        <v>120</v>
      </c>
      <c r="AZ238" t="s">
        <v>60</v>
      </c>
      <c r="BA238" t="s">
        <v>5</v>
      </c>
    </row>
    <row r="239" spans="1:53" x14ac:dyDescent="0.35">
      <c r="A239" t="s">
        <v>60</v>
      </c>
      <c r="B239">
        <v>2</v>
      </c>
      <c r="C239" t="s">
        <v>0</v>
      </c>
      <c r="D239" t="s">
        <v>4</v>
      </c>
      <c r="E239" t="s">
        <v>3</v>
      </c>
      <c r="F239" s="1">
        <v>0.56000000000000005</v>
      </c>
      <c r="G239" t="s">
        <v>61</v>
      </c>
      <c r="H239">
        <v>5</v>
      </c>
      <c r="I239">
        <v>3</v>
      </c>
      <c r="J239">
        <v>7</v>
      </c>
      <c r="K239">
        <v>31</v>
      </c>
      <c r="L239">
        <v>10</v>
      </c>
      <c r="M239">
        <f t="shared" si="40"/>
        <v>41</v>
      </c>
      <c r="N239">
        <v>55</v>
      </c>
      <c r="O239">
        <v>2.81</v>
      </c>
      <c r="P239">
        <v>0.17</v>
      </c>
      <c r="Q239">
        <f t="shared" si="36"/>
        <v>1.4847128765914324E-2</v>
      </c>
      <c r="R239" s="6">
        <v>94.5</v>
      </c>
      <c r="S239">
        <v>0.73</v>
      </c>
      <c r="T239">
        <f t="shared" si="37"/>
        <v>0.80499999999999994</v>
      </c>
      <c r="U239">
        <v>0.88</v>
      </c>
      <c r="V239">
        <v>0.98</v>
      </c>
      <c r="W239">
        <f t="shared" si="41"/>
        <v>1.47</v>
      </c>
      <c r="X239">
        <f t="shared" si="38"/>
        <v>2.94</v>
      </c>
      <c r="Y239">
        <v>0.86</v>
      </c>
      <c r="Z239">
        <v>19.899999999999999</v>
      </c>
      <c r="AA239">
        <v>19.899999999999999</v>
      </c>
      <c r="AB239">
        <v>0</v>
      </c>
      <c r="AC239">
        <v>1894.4799999999998</v>
      </c>
      <c r="AF239">
        <v>3355</v>
      </c>
      <c r="AG239">
        <f>436+715</f>
        <v>1151</v>
      </c>
      <c r="AH239" t="s">
        <v>21</v>
      </c>
      <c r="AI239">
        <f>4/2000</f>
        <v>2E-3</v>
      </c>
      <c r="AJ239">
        <v>1</v>
      </c>
      <c r="AK239">
        <v>10</v>
      </c>
      <c r="AL239">
        <f>AK239+AL238-AK238</f>
        <v>175</v>
      </c>
      <c r="AM239">
        <f t="shared" si="39"/>
        <v>165</v>
      </c>
      <c r="AO239">
        <f t="shared" si="34"/>
        <v>0.87301587301587302</v>
      </c>
      <c r="AP239">
        <v>237</v>
      </c>
      <c r="AQ239">
        <f t="shared" si="35"/>
        <v>38.698</v>
      </c>
      <c r="AR239">
        <f t="shared" si="43"/>
        <v>2.302</v>
      </c>
      <c r="AS239">
        <f t="shared" si="42"/>
        <v>0.76980000000000004</v>
      </c>
      <c r="AU239" t="s">
        <v>303</v>
      </c>
      <c r="AV239" t="s">
        <v>432</v>
      </c>
      <c r="AX239" s="13">
        <v>1</v>
      </c>
      <c r="AY239">
        <v>120</v>
      </c>
      <c r="AZ239" t="s">
        <v>60</v>
      </c>
      <c r="BA239" t="s">
        <v>0</v>
      </c>
    </row>
    <row r="240" spans="1:53" x14ac:dyDescent="0.35">
      <c r="A240" t="s">
        <v>58</v>
      </c>
      <c r="B240">
        <v>1</v>
      </c>
      <c r="C240" t="s">
        <v>5</v>
      </c>
      <c r="D240" t="s">
        <v>4</v>
      </c>
      <c r="E240" t="s">
        <v>3</v>
      </c>
      <c r="F240" s="1">
        <v>0.55000000000000004</v>
      </c>
      <c r="G240" t="s">
        <v>59</v>
      </c>
      <c r="H240">
        <v>4</v>
      </c>
      <c r="I240">
        <v>4</v>
      </c>
      <c r="J240">
        <v>13</v>
      </c>
      <c r="K240">
        <v>50</v>
      </c>
      <c r="L240">
        <v>17</v>
      </c>
      <c r="M240">
        <f t="shared" si="40"/>
        <v>67</v>
      </c>
      <c r="N240">
        <v>66</v>
      </c>
      <c r="O240">
        <v>4.8</v>
      </c>
      <c r="P240">
        <v>0.14000000000000001</v>
      </c>
      <c r="Q240">
        <f t="shared" si="36"/>
        <v>1.1880005082670052E-2</v>
      </c>
      <c r="R240" s="6">
        <f>220/2</f>
        <v>110</v>
      </c>
      <c r="S240">
        <v>0.7</v>
      </c>
      <c r="T240">
        <f t="shared" si="37"/>
        <v>0.8</v>
      </c>
      <c r="U240">
        <v>0.9</v>
      </c>
      <c r="V240">
        <v>1.03</v>
      </c>
      <c r="W240">
        <f t="shared" si="41"/>
        <v>1.5449999999999999</v>
      </c>
      <c r="X240">
        <f t="shared" si="38"/>
        <v>3.09</v>
      </c>
      <c r="Y240">
        <v>3.1</v>
      </c>
      <c r="Z240">
        <v>19.899999999999999</v>
      </c>
      <c r="AA240">
        <v>19.899999999999999</v>
      </c>
      <c r="AB240">
        <v>0</v>
      </c>
      <c r="AC240">
        <f>Z240/AH240</f>
        <v>1391.6733333333332</v>
      </c>
      <c r="AD240" t="s">
        <v>552</v>
      </c>
      <c r="AE240">
        <v>1457</v>
      </c>
      <c r="AF240">
        <v>1455</v>
      </c>
      <c r="AG240">
        <f>1251+721</f>
        <v>1972</v>
      </c>
      <c r="AH240">
        <f>15/1049</f>
        <v>1.4299332697807437E-2</v>
      </c>
      <c r="AI240" t="s">
        <v>21</v>
      </c>
      <c r="AJ240">
        <v>1</v>
      </c>
      <c r="AK240">
        <v>15</v>
      </c>
      <c r="AL240">
        <v>232</v>
      </c>
      <c r="AM240">
        <f t="shared" si="39"/>
        <v>217</v>
      </c>
      <c r="AO240">
        <f t="shared" si="34"/>
        <v>0.98636363636363633</v>
      </c>
      <c r="AP240">
        <v>238</v>
      </c>
      <c r="AQ240" t="str">
        <f t="shared" si="35"/>
        <v>NA</v>
      </c>
      <c r="AR240" t="str">
        <f t="shared" si="43"/>
        <v>NA</v>
      </c>
      <c r="AS240" t="str">
        <f t="shared" si="42"/>
        <v>NA</v>
      </c>
      <c r="AU240" t="s">
        <v>303</v>
      </c>
      <c r="AX240" s="13">
        <v>1</v>
      </c>
      <c r="AY240">
        <v>121</v>
      </c>
      <c r="AZ240" t="s">
        <v>58</v>
      </c>
      <c r="BA240" t="s">
        <v>5</v>
      </c>
    </row>
    <row r="241" spans="1:53" x14ac:dyDescent="0.35">
      <c r="A241" t="s">
        <v>58</v>
      </c>
      <c r="B241">
        <v>1</v>
      </c>
      <c r="C241" t="s">
        <v>0</v>
      </c>
      <c r="D241" t="s">
        <v>4</v>
      </c>
      <c r="E241" t="s">
        <v>3</v>
      </c>
      <c r="F241" s="1">
        <v>0.55000000000000004</v>
      </c>
      <c r="G241" t="s">
        <v>59</v>
      </c>
      <c r="H241">
        <v>4</v>
      </c>
      <c r="I241">
        <v>4</v>
      </c>
      <c r="J241">
        <v>13</v>
      </c>
      <c r="K241">
        <v>50</v>
      </c>
      <c r="L241">
        <v>17</v>
      </c>
      <c r="M241">
        <f t="shared" si="40"/>
        <v>67</v>
      </c>
      <c r="N241">
        <v>66</v>
      </c>
      <c r="O241">
        <v>4.8</v>
      </c>
      <c r="P241">
        <v>0.14000000000000001</v>
      </c>
      <c r="Q241">
        <f t="shared" si="36"/>
        <v>1.1880005082670052E-2</v>
      </c>
      <c r="R241" s="6">
        <f>220/2</f>
        <v>110</v>
      </c>
      <c r="S241">
        <v>0.7</v>
      </c>
      <c r="T241">
        <f t="shared" si="37"/>
        <v>0.8</v>
      </c>
      <c r="U241">
        <v>0.9</v>
      </c>
      <c r="V241">
        <v>1.03</v>
      </c>
      <c r="W241">
        <f t="shared" si="41"/>
        <v>1.5449999999999999</v>
      </c>
      <c r="X241">
        <f t="shared" si="38"/>
        <v>3.09</v>
      </c>
      <c r="Y241">
        <v>3.1</v>
      </c>
      <c r="Z241">
        <v>19.899999999999999</v>
      </c>
      <c r="AA241">
        <v>19.899999999999999</v>
      </c>
      <c r="AB241">
        <v>0</v>
      </c>
      <c r="AC241">
        <v>1391.6733333333332</v>
      </c>
      <c r="AD241" t="s">
        <v>553</v>
      </c>
      <c r="AE241">
        <v>1457</v>
      </c>
      <c r="AF241">
        <v>1455</v>
      </c>
      <c r="AG241">
        <f>1251+721</f>
        <v>1972</v>
      </c>
      <c r="AH241" t="s">
        <v>21</v>
      </c>
      <c r="AI241">
        <f>4.5/2288</f>
        <v>1.966783216783217E-3</v>
      </c>
      <c r="AJ241">
        <v>1</v>
      </c>
      <c r="AK241">
        <v>7</v>
      </c>
      <c r="AL241">
        <f>AK241+AL240-AK240</f>
        <v>224</v>
      </c>
      <c r="AM241">
        <f t="shared" si="39"/>
        <v>217</v>
      </c>
      <c r="AO241">
        <f t="shared" si="34"/>
        <v>0.98636363636363633</v>
      </c>
      <c r="AP241">
        <v>239</v>
      </c>
      <c r="AQ241">
        <f t="shared" si="35"/>
        <v>63.121503496503493</v>
      </c>
      <c r="AR241">
        <f t="shared" si="43"/>
        <v>3.8784965034965038</v>
      </c>
      <c r="AS241">
        <f t="shared" si="42"/>
        <v>0.77185314685314688</v>
      </c>
      <c r="AU241" t="s">
        <v>303</v>
      </c>
      <c r="AX241" s="13">
        <v>1</v>
      </c>
      <c r="AY241">
        <v>121</v>
      </c>
      <c r="AZ241" t="s">
        <v>58</v>
      </c>
      <c r="BA241" t="s">
        <v>0</v>
      </c>
    </row>
    <row r="242" spans="1:53" x14ac:dyDescent="0.35">
      <c r="A242" t="s">
        <v>56</v>
      </c>
      <c r="B242">
        <v>2</v>
      </c>
      <c r="C242" t="s">
        <v>5</v>
      </c>
      <c r="D242" t="s">
        <v>4</v>
      </c>
      <c r="E242" t="s">
        <v>3</v>
      </c>
      <c r="F242" s="1">
        <v>0.54</v>
      </c>
      <c r="G242" t="s">
        <v>57</v>
      </c>
      <c r="H242">
        <v>4</v>
      </c>
      <c r="I242">
        <v>4</v>
      </c>
      <c r="J242">
        <v>16</v>
      </c>
      <c r="K242">
        <v>31</v>
      </c>
      <c r="L242">
        <v>24</v>
      </c>
      <c r="M242">
        <f t="shared" si="40"/>
        <v>55</v>
      </c>
      <c r="N242">
        <v>53</v>
      </c>
      <c r="O242">
        <v>2.9</v>
      </c>
      <c r="P242">
        <v>0.12</v>
      </c>
      <c r="Q242">
        <f t="shared" si="36"/>
        <v>1.3141846089580104E-2</v>
      </c>
      <c r="R242" s="6">
        <f>250/2</f>
        <v>125</v>
      </c>
      <c r="S242">
        <v>0.65</v>
      </c>
      <c r="T242">
        <f t="shared" si="37"/>
        <v>0.70500000000000007</v>
      </c>
      <c r="U242">
        <v>0.76</v>
      </c>
      <c r="V242">
        <v>0.91</v>
      </c>
      <c r="W242">
        <f t="shared" si="41"/>
        <v>1.365</v>
      </c>
      <c r="X242">
        <f t="shared" si="38"/>
        <v>2.73</v>
      </c>
      <c r="Y242">
        <v>0.86</v>
      </c>
      <c r="Z242">
        <v>19.899999999999999</v>
      </c>
      <c r="AA242">
        <v>19.899999999999999</v>
      </c>
      <c r="AB242">
        <v>0</v>
      </c>
      <c r="AC242">
        <f>Z242/AH242</f>
        <v>1894.4799999999998</v>
      </c>
      <c r="AD242" t="s">
        <v>554</v>
      </c>
      <c r="AE242">
        <v>3300</v>
      </c>
      <c r="AF242">
        <v>2821</v>
      </c>
      <c r="AG242">
        <f>879+721</f>
        <v>1600</v>
      </c>
      <c r="AH242">
        <f>15/1428</f>
        <v>1.050420168067227E-2</v>
      </c>
      <c r="AI242" t="s">
        <v>21</v>
      </c>
      <c r="AJ242">
        <v>1</v>
      </c>
      <c r="AK242">
        <v>10</v>
      </c>
      <c r="AL242">
        <v>88</v>
      </c>
      <c r="AM242">
        <f t="shared" si="39"/>
        <v>78</v>
      </c>
      <c r="AO242">
        <f t="shared" si="34"/>
        <v>0.312</v>
      </c>
      <c r="AP242">
        <v>240</v>
      </c>
      <c r="AQ242" t="str">
        <f t="shared" si="35"/>
        <v>NA</v>
      </c>
      <c r="AR242" t="str">
        <f t="shared" si="43"/>
        <v>NA</v>
      </c>
      <c r="AS242" t="str">
        <f t="shared" si="42"/>
        <v>NA</v>
      </c>
      <c r="AU242" t="s">
        <v>303</v>
      </c>
      <c r="AV242" t="s">
        <v>432</v>
      </c>
      <c r="AX242" s="13">
        <v>1</v>
      </c>
      <c r="AY242">
        <v>122</v>
      </c>
      <c r="AZ242" t="s">
        <v>56</v>
      </c>
      <c r="BA242" t="s">
        <v>5</v>
      </c>
    </row>
    <row r="243" spans="1:53" x14ac:dyDescent="0.35">
      <c r="A243" t="s">
        <v>56</v>
      </c>
      <c r="B243">
        <v>2</v>
      </c>
      <c r="C243" t="s">
        <v>0</v>
      </c>
      <c r="D243" t="s">
        <v>4</v>
      </c>
      <c r="E243" t="s">
        <v>3</v>
      </c>
      <c r="F243" s="1">
        <v>0.54</v>
      </c>
      <c r="G243" t="s">
        <v>57</v>
      </c>
      <c r="H243">
        <v>4</v>
      </c>
      <c r="I243">
        <v>4</v>
      </c>
      <c r="J243">
        <v>16</v>
      </c>
      <c r="K243">
        <v>31</v>
      </c>
      <c r="L243">
        <v>24</v>
      </c>
      <c r="M243">
        <f t="shared" si="40"/>
        <v>55</v>
      </c>
      <c r="N243">
        <v>53</v>
      </c>
      <c r="O243">
        <v>2.9</v>
      </c>
      <c r="P243">
        <v>0.12</v>
      </c>
      <c r="Q243">
        <f t="shared" si="36"/>
        <v>1.3141846089580104E-2</v>
      </c>
      <c r="R243" s="6">
        <f>250/2</f>
        <v>125</v>
      </c>
      <c r="S243">
        <v>0.65</v>
      </c>
      <c r="T243">
        <f t="shared" si="37"/>
        <v>0.70500000000000007</v>
      </c>
      <c r="U243">
        <v>0.76</v>
      </c>
      <c r="V243">
        <v>0.91</v>
      </c>
      <c r="W243">
        <f t="shared" si="41"/>
        <v>1.365</v>
      </c>
      <c r="X243">
        <f t="shared" si="38"/>
        <v>2.73</v>
      </c>
      <c r="Y243">
        <v>0.86</v>
      </c>
      <c r="Z243">
        <v>19.899999999999999</v>
      </c>
      <c r="AA243">
        <v>19.899999999999999</v>
      </c>
      <c r="AB243">
        <v>0</v>
      </c>
      <c r="AC243">
        <v>1894.4799999999998</v>
      </c>
      <c r="AD243" t="s">
        <v>555</v>
      </c>
      <c r="AE243">
        <v>3300</v>
      </c>
      <c r="AF243">
        <v>2821</v>
      </c>
      <c r="AG243">
        <f>879+721</f>
        <v>1600</v>
      </c>
      <c r="AH243" t="s">
        <v>21</v>
      </c>
      <c r="AI243">
        <f>6/3000</f>
        <v>2E-3</v>
      </c>
      <c r="AJ243">
        <v>1</v>
      </c>
      <c r="AK243">
        <v>13</v>
      </c>
      <c r="AL243">
        <f>AK243+AL242-AK242</f>
        <v>91</v>
      </c>
      <c r="AM243">
        <f t="shared" si="39"/>
        <v>78</v>
      </c>
      <c r="AO243">
        <f t="shared" si="34"/>
        <v>0.312</v>
      </c>
      <c r="AP243">
        <v>241</v>
      </c>
      <c r="AQ243">
        <f t="shared" si="35"/>
        <v>51.8</v>
      </c>
      <c r="AR243">
        <f t="shared" si="43"/>
        <v>3.2</v>
      </c>
      <c r="AS243">
        <f t="shared" si="42"/>
        <v>0.8666666666666667</v>
      </c>
      <c r="AU243" t="s">
        <v>303</v>
      </c>
      <c r="AV243" t="s">
        <v>432</v>
      </c>
      <c r="AX243" s="13">
        <v>1</v>
      </c>
      <c r="AY243">
        <v>122</v>
      </c>
      <c r="AZ243" t="s">
        <v>56</v>
      </c>
      <c r="BA243" t="s">
        <v>0</v>
      </c>
    </row>
    <row r="244" spans="1:53" x14ac:dyDescent="0.35">
      <c r="A244" t="s">
        <v>55</v>
      </c>
      <c r="B244">
        <v>1</v>
      </c>
      <c r="C244" t="s">
        <v>5</v>
      </c>
      <c r="D244" t="s">
        <v>4</v>
      </c>
      <c r="E244" t="s">
        <v>3</v>
      </c>
      <c r="F244" s="1">
        <v>0.57999999999999996</v>
      </c>
      <c r="G244" t="s">
        <v>51</v>
      </c>
      <c r="H244">
        <v>5</v>
      </c>
      <c r="I244">
        <v>1</v>
      </c>
      <c r="J244">
        <v>7</v>
      </c>
      <c r="K244">
        <v>34</v>
      </c>
      <c r="L244">
        <v>20</v>
      </c>
      <c r="M244">
        <f t="shared" si="40"/>
        <v>54</v>
      </c>
      <c r="N244">
        <v>56</v>
      </c>
      <c r="O244">
        <v>2.16</v>
      </c>
      <c r="P244">
        <v>0.12</v>
      </c>
      <c r="Q244">
        <f t="shared" si="36"/>
        <v>1.2475605892726343E-2</v>
      </c>
      <c r="R244" s="6">
        <f>245/2</f>
        <v>122.5</v>
      </c>
      <c r="S244">
        <v>0.7</v>
      </c>
      <c r="T244">
        <f t="shared" si="37"/>
        <v>0.75</v>
      </c>
      <c r="U244">
        <v>0.8</v>
      </c>
      <c r="V244">
        <v>0.87</v>
      </c>
      <c r="W244">
        <f t="shared" si="41"/>
        <v>1.3049999999999999</v>
      </c>
      <c r="X244">
        <f t="shared" si="38"/>
        <v>2.61</v>
      </c>
      <c r="Y244">
        <v>3.1</v>
      </c>
      <c r="Z244">
        <v>19.899999999999999</v>
      </c>
      <c r="AA244">
        <v>19.899999999999999</v>
      </c>
      <c r="AB244">
        <v>0</v>
      </c>
      <c r="AC244">
        <f>Z244/AH244</f>
        <v>1550.8733333333332</v>
      </c>
      <c r="AD244" t="s">
        <v>556</v>
      </c>
      <c r="AE244">
        <v>2074</v>
      </c>
      <c r="AF244">
        <v>2072</v>
      </c>
      <c r="AG244">
        <f>679+958</f>
        <v>1637</v>
      </c>
      <c r="AH244">
        <f>15/1169</f>
        <v>1.2831479897348161E-2</v>
      </c>
      <c r="AI244" t="s">
        <v>21</v>
      </c>
      <c r="AJ244">
        <v>1</v>
      </c>
      <c r="AK244">
        <v>3</v>
      </c>
      <c r="AL244">
        <v>225</v>
      </c>
      <c r="AM244">
        <f t="shared" si="39"/>
        <v>222</v>
      </c>
      <c r="AO244">
        <f t="shared" si="34"/>
        <v>0.90612244897959182</v>
      </c>
      <c r="AP244">
        <v>242</v>
      </c>
      <c r="AQ244" t="str">
        <f t="shared" si="35"/>
        <v>NA</v>
      </c>
      <c r="AR244" t="str">
        <f t="shared" si="43"/>
        <v>NA</v>
      </c>
      <c r="AS244" t="str">
        <f t="shared" si="42"/>
        <v>NA</v>
      </c>
      <c r="AU244" t="s">
        <v>303</v>
      </c>
      <c r="AX244" s="13">
        <v>1</v>
      </c>
      <c r="AY244">
        <v>123</v>
      </c>
      <c r="AZ244" t="s">
        <v>55</v>
      </c>
      <c r="BA244" t="s">
        <v>5</v>
      </c>
    </row>
    <row r="245" spans="1:53" x14ac:dyDescent="0.35">
      <c r="A245" t="s">
        <v>55</v>
      </c>
      <c r="B245">
        <v>1</v>
      </c>
      <c r="C245" t="s">
        <v>0</v>
      </c>
      <c r="D245" t="s">
        <v>4</v>
      </c>
      <c r="E245" t="s">
        <v>3</v>
      </c>
      <c r="F245" s="1">
        <v>0.57999999999999996</v>
      </c>
      <c r="G245" t="s">
        <v>51</v>
      </c>
      <c r="H245">
        <v>5</v>
      </c>
      <c r="I245">
        <v>1</v>
      </c>
      <c r="J245">
        <v>7</v>
      </c>
      <c r="K245">
        <v>34</v>
      </c>
      <c r="L245">
        <v>20</v>
      </c>
      <c r="M245">
        <f t="shared" si="40"/>
        <v>54</v>
      </c>
      <c r="N245">
        <v>56</v>
      </c>
      <c r="O245">
        <v>2.16</v>
      </c>
      <c r="P245">
        <v>0.12</v>
      </c>
      <c r="Q245">
        <f t="shared" si="36"/>
        <v>1.2475605892726343E-2</v>
      </c>
      <c r="R245" s="6">
        <f>245/2</f>
        <v>122.5</v>
      </c>
      <c r="S245">
        <v>0.7</v>
      </c>
      <c r="T245">
        <f t="shared" si="37"/>
        <v>0.75</v>
      </c>
      <c r="U245">
        <v>0.8</v>
      </c>
      <c r="V245">
        <v>0.87</v>
      </c>
      <c r="W245">
        <f t="shared" si="41"/>
        <v>1.3049999999999999</v>
      </c>
      <c r="X245">
        <f t="shared" si="38"/>
        <v>2.61</v>
      </c>
      <c r="Y245">
        <v>3.1</v>
      </c>
      <c r="Z245">
        <v>19.899999999999999</v>
      </c>
      <c r="AA245">
        <v>19.899999999999999</v>
      </c>
      <c r="AB245">
        <v>0</v>
      </c>
      <c r="AC245">
        <v>1550.8733333333332</v>
      </c>
      <c r="AD245" t="s">
        <v>557</v>
      </c>
      <c r="AE245">
        <v>2074</v>
      </c>
      <c r="AF245">
        <v>2072</v>
      </c>
      <c r="AG245">
        <f>679+958</f>
        <v>1637</v>
      </c>
      <c r="AH245" t="s">
        <v>21</v>
      </c>
      <c r="AI245">
        <f>5/2540</f>
        <v>1.968503937007874E-3</v>
      </c>
      <c r="AJ245">
        <v>1</v>
      </c>
      <c r="AK245">
        <v>3</v>
      </c>
      <c r="AL245">
        <v>225</v>
      </c>
      <c r="AM245">
        <f t="shared" si="39"/>
        <v>222</v>
      </c>
      <c r="AO245">
        <f t="shared" si="34"/>
        <v>0.90612244897959182</v>
      </c>
      <c r="AP245">
        <v>243</v>
      </c>
      <c r="AQ245">
        <f t="shared" si="35"/>
        <v>50.777559055118111</v>
      </c>
      <c r="AR245">
        <f t="shared" si="43"/>
        <v>3.2224409448818898</v>
      </c>
      <c r="AS245">
        <f t="shared" si="42"/>
        <v>0.8388779527559056</v>
      </c>
      <c r="AU245" t="s">
        <v>303</v>
      </c>
      <c r="AX245" s="13">
        <v>1</v>
      </c>
      <c r="AY245">
        <v>123</v>
      </c>
      <c r="AZ245" t="s">
        <v>55</v>
      </c>
      <c r="BA245" t="s">
        <v>0</v>
      </c>
    </row>
    <row r="246" spans="1:53" x14ac:dyDescent="0.35">
      <c r="A246" t="s">
        <v>54</v>
      </c>
      <c r="B246">
        <v>1</v>
      </c>
      <c r="C246" t="s">
        <v>5</v>
      </c>
      <c r="D246" t="s">
        <v>4</v>
      </c>
      <c r="E246" t="s">
        <v>3</v>
      </c>
      <c r="F246" s="1">
        <v>0.57999999999999996</v>
      </c>
      <c r="G246" t="s">
        <v>51</v>
      </c>
      <c r="H246">
        <v>5</v>
      </c>
      <c r="I246">
        <v>4</v>
      </c>
      <c r="J246">
        <v>3</v>
      </c>
      <c r="K246">
        <v>40</v>
      </c>
      <c r="L246">
        <v>7</v>
      </c>
      <c r="M246">
        <f t="shared" si="40"/>
        <v>47</v>
      </c>
      <c r="N246">
        <v>48</v>
      </c>
      <c r="O246">
        <v>1.58</v>
      </c>
      <c r="P246">
        <v>0.15</v>
      </c>
      <c r="Q246">
        <f t="shared" si="36"/>
        <v>1.1753974980053662E-2</v>
      </c>
      <c r="R246" s="6">
        <f>232/2</f>
        <v>116</v>
      </c>
      <c r="S246">
        <v>0.75</v>
      </c>
      <c r="T246">
        <f t="shared" si="37"/>
        <v>0.80499999999999994</v>
      </c>
      <c r="U246">
        <v>0.86</v>
      </c>
      <c r="V246">
        <v>1.1399999999999999</v>
      </c>
      <c r="W246">
        <f t="shared" si="41"/>
        <v>1.71</v>
      </c>
      <c r="X246">
        <f t="shared" si="38"/>
        <v>3.42</v>
      </c>
      <c r="Y246">
        <v>3.1</v>
      </c>
      <c r="Z246">
        <v>19.899999999999999</v>
      </c>
      <c r="AA246">
        <v>19.899999999999999</v>
      </c>
      <c r="AB246">
        <v>0</v>
      </c>
      <c r="AC246">
        <f>Z246/AH246</f>
        <v>1378.9529411764706</v>
      </c>
      <c r="AD246" t="s">
        <v>558</v>
      </c>
      <c r="AE246">
        <v>1617</v>
      </c>
      <c r="AF246">
        <v>1615</v>
      </c>
      <c r="AG246">
        <v>960</v>
      </c>
      <c r="AH246">
        <f>17/1178</f>
        <v>1.4431239388794566E-2</v>
      </c>
      <c r="AI246" t="s">
        <v>21</v>
      </c>
      <c r="AJ246">
        <v>1</v>
      </c>
      <c r="AK246">
        <v>12</v>
      </c>
      <c r="AL246">
        <v>291</v>
      </c>
      <c r="AM246">
        <f t="shared" si="39"/>
        <v>279</v>
      </c>
      <c r="AO246">
        <f t="shared" si="34"/>
        <v>1.2025862068965518</v>
      </c>
      <c r="AP246">
        <v>244</v>
      </c>
      <c r="AQ246" t="str">
        <f t="shared" si="35"/>
        <v>NA</v>
      </c>
      <c r="AR246" t="str">
        <f t="shared" si="43"/>
        <v>NA</v>
      </c>
      <c r="AS246" t="str">
        <f t="shared" si="42"/>
        <v>NA</v>
      </c>
      <c r="AU246" t="s">
        <v>303</v>
      </c>
      <c r="AW246" t="s">
        <v>312</v>
      </c>
      <c r="AX246" s="9" t="s">
        <v>452</v>
      </c>
      <c r="AY246">
        <v>124</v>
      </c>
      <c r="AZ246" t="s">
        <v>54</v>
      </c>
      <c r="BA246" t="s">
        <v>5</v>
      </c>
    </row>
    <row r="247" spans="1:53" x14ac:dyDescent="0.35">
      <c r="A247" t="s">
        <v>54</v>
      </c>
      <c r="B247">
        <v>1</v>
      </c>
      <c r="C247" t="s">
        <v>0</v>
      </c>
      <c r="D247" t="s">
        <v>4</v>
      </c>
      <c r="E247" t="s">
        <v>3</v>
      </c>
      <c r="F247" s="1">
        <v>0.57999999999999996</v>
      </c>
      <c r="G247" t="s">
        <v>51</v>
      </c>
      <c r="H247">
        <v>5</v>
      </c>
      <c r="I247">
        <v>4</v>
      </c>
      <c r="J247">
        <v>3</v>
      </c>
      <c r="K247">
        <v>40</v>
      </c>
      <c r="L247">
        <v>7</v>
      </c>
      <c r="M247">
        <f t="shared" si="40"/>
        <v>47</v>
      </c>
      <c r="N247">
        <v>48</v>
      </c>
      <c r="O247">
        <v>1.58</v>
      </c>
      <c r="P247">
        <v>0.15</v>
      </c>
      <c r="Q247">
        <f t="shared" si="36"/>
        <v>1.1753974980053662E-2</v>
      </c>
      <c r="R247" s="6">
        <f>232/2</f>
        <v>116</v>
      </c>
      <c r="S247">
        <v>0.75</v>
      </c>
      <c r="T247">
        <f t="shared" si="37"/>
        <v>0.80499999999999994</v>
      </c>
      <c r="U247">
        <v>0.86</v>
      </c>
      <c r="V247">
        <v>1.1399999999999999</v>
      </c>
      <c r="W247">
        <f t="shared" si="41"/>
        <v>1.71</v>
      </c>
      <c r="X247">
        <f t="shared" si="38"/>
        <v>3.42</v>
      </c>
      <c r="Y247">
        <v>3.1</v>
      </c>
      <c r="Z247">
        <v>19.899999999999999</v>
      </c>
      <c r="AA247">
        <v>19.899999999999999</v>
      </c>
      <c r="AB247">
        <v>0</v>
      </c>
      <c r="AC247">
        <v>1378.9529411764706</v>
      </c>
      <c r="AD247" t="s">
        <v>559</v>
      </c>
      <c r="AE247">
        <v>1617</v>
      </c>
      <c r="AF247">
        <v>1615</v>
      </c>
      <c r="AG247">
        <v>960</v>
      </c>
      <c r="AH247" t="s">
        <v>21</v>
      </c>
      <c r="AI247">
        <f>5/2513</f>
        <v>1.9896538002387586E-3</v>
      </c>
      <c r="AJ247">
        <v>1</v>
      </c>
      <c r="AK247">
        <v>7</v>
      </c>
      <c r="AL247">
        <f>AK247+AL246-AK246</f>
        <v>286</v>
      </c>
      <c r="AM247">
        <f t="shared" si="39"/>
        <v>279</v>
      </c>
      <c r="AO247">
        <f t="shared" si="34"/>
        <v>1.2025862068965518</v>
      </c>
      <c r="AP247">
        <v>245</v>
      </c>
      <c r="AQ247">
        <f t="shared" si="35"/>
        <v>45.089932351770791</v>
      </c>
      <c r="AR247">
        <f t="shared" si="43"/>
        <v>1.9100676482292083</v>
      </c>
      <c r="AS247">
        <f t="shared" si="42"/>
        <v>0.72713319311011304</v>
      </c>
      <c r="AU247" t="s">
        <v>303</v>
      </c>
      <c r="AW247" t="s">
        <v>312</v>
      </c>
      <c r="AX247" s="9" t="s">
        <v>452</v>
      </c>
      <c r="AY247">
        <v>124</v>
      </c>
      <c r="AZ247" t="s">
        <v>54</v>
      </c>
      <c r="BA247" t="s">
        <v>0</v>
      </c>
    </row>
    <row r="248" spans="1:53" x14ac:dyDescent="0.35">
      <c r="A248" t="s">
        <v>53</v>
      </c>
      <c r="B248">
        <v>1</v>
      </c>
      <c r="C248" t="s">
        <v>5</v>
      </c>
      <c r="D248" t="s">
        <v>4</v>
      </c>
      <c r="E248" t="s">
        <v>3</v>
      </c>
      <c r="F248" s="1">
        <v>0.57999999999999996</v>
      </c>
      <c r="G248" t="s">
        <v>51</v>
      </c>
      <c r="H248">
        <v>5</v>
      </c>
      <c r="I248">
        <v>4</v>
      </c>
      <c r="J248">
        <v>3</v>
      </c>
      <c r="K248">
        <v>40</v>
      </c>
      <c r="L248">
        <v>7</v>
      </c>
      <c r="M248">
        <f t="shared" si="40"/>
        <v>47</v>
      </c>
      <c r="N248">
        <v>48</v>
      </c>
      <c r="O248">
        <v>1.58</v>
      </c>
      <c r="P248">
        <v>0.15</v>
      </c>
      <c r="Q248">
        <f t="shared" si="36"/>
        <v>1.1753974980053662E-2</v>
      </c>
      <c r="R248" s="6">
        <f>232/2</f>
        <v>116</v>
      </c>
      <c r="S248">
        <v>0.75</v>
      </c>
      <c r="T248">
        <f t="shared" si="37"/>
        <v>0.80499999999999994</v>
      </c>
      <c r="U248">
        <v>0.86</v>
      </c>
      <c r="V248">
        <v>1.1399999999999999</v>
      </c>
      <c r="W248">
        <f t="shared" si="41"/>
        <v>1.71</v>
      </c>
      <c r="X248">
        <f t="shared" si="38"/>
        <v>3.42</v>
      </c>
      <c r="Y248">
        <v>3.1</v>
      </c>
      <c r="Z248">
        <v>19.899999999999999</v>
      </c>
      <c r="AA248">
        <v>19.899999999999999</v>
      </c>
      <c r="AB248">
        <v>0</v>
      </c>
      <c r="AC248">
        <f>Z248/AH248</f>
        <v>1378.9529411764706</v>
      </c>
      <c r="AD248" t="s">
        <v>560</v>
      </c>
      <c r="AE248">
        <v>1617</v>
      </c>
      <c r="AF248">
        <v>1615</v>
      </c>
      <c r="AG248">
        <f>642+500+1811</f>
        <v>2953</v>
      </c>
      <c r="AH248">
        <f>17/1178</f>
        <v>1.4431239388794566E-2</v>
      </c>
      <c r="AI248" t="s">
        <v>21</v>
      </c>
      <c r="AJ248">
        <v>1</v>
      </c>
      <c r="AK248">
        <v>11</v>
      </c>
      <c r="AL248">
        <v>234</v>
      </c>
      <c r="AM248">
        <f t="shared" si="39"/>
        <v>223</v>
      </c>
      <c r="AO248">
        <f t="shared" si="34"/>
        <v>0.96120689655172409</v>
      </c>
      <c r="AP248">
        <v>246</v>
      </c>
      <c r="AQ248" t="str">
        <f t="shared" si="35"/>
        <v>NA</v>
      </c>
      <c r="AR248" t="str">
        <f t="shared" si="43"/>
        <v>NA</v>
      </c>
      <c r="AS248" t="str">
        <f t="shared" si="42"/>
        <v>NA</v>
      </c>
      <c r="AU248" t="s">
        <v>303</v>
      </c>
      <c r="AV248" t="s">
        <v>432</v>
      </c>
      <c r="AX248" s="13">
        <v>1</v>
      </c>
      <c r="AY248">
        <v>125</v>
      </c>
      <c r="AZ248" t="s">
        <v>53</v>
      </c>
      <c r="BA248" t="s">
        <v>5</v>
      </c>
    </row>
    <row r="249" spans="1:53" x14ac:dyDescent="0.35">
      <c r="A249" t="s">
        <v>53</v>
      </c>
      <c r="B249">
        <v>1</v>
      </c>
      <c r="C249" t="s">
        <v>0</v>
      </c>
      <c r="D249" t="s">
        <v>4</v>
      </c>
      <c r="E249" t="s">
        <v>3</v>
      </c>
      <c r="F249" s="1">
        <v>0.57999999999999996</v>
      </c>
      <c r="G249" t="s">
        <v>51</v>
      </c>
      <c r="H249">
        <v>5</v>
      </c>
      <c r="I249">
        <v>4</v>
      </c>
      <c r="J249">
        <v>3</v>
      </c>
      <c r="K249">
        <v>40</v>
      </c>
      <c r="L249">
        <v>7</v>
      </c>
      <c r="M249">
        <f t="shared" si="40"/>
        <v>47</v>
      </c>
      <c r="N249">
        <v>48</v>
      </c>
      <c r="O249">
        <v>1.58</v>
      </c>
      <c r="P249">
        <v>0.15</v>
      </c>
      <c r="Q249">
        <f t="shared" si="36"/>
        <v>1.1753974980053662E-2</v>
      </c>
      <c r="R249" s="6">
        <f>232/2</f>
        <v>116</v>
      </c>
      <c r="S249">
        <v>0.75</v>
      </c>
      <c r="T249">
        <f t="shared" si="37"/>
        <v>0.80499999999999994</v>
      </c>
      <c r="U249">
        <v>0.86</v>
      </c>
      <c r="V249">
        <v>1.1399999999999999</v>
      </c>
      <c r="W249">
        <f t="shared" si="41"/>
        <v>1.71</v>
      </c>
      <c r="X249">
        <f t="shared" si="38"/>
        <v>3.42</v>
      </c>
      <c r="Y249">
        <v>3.1</v>
      </c>
      <c r="Z249">
        <v>19.899999999999999</v>
      </c>
      <c r="AA249">
        <v>19.899999999999999</v>
      </c>
      <c r="AB249">
        <v>0</v>
      </c>
      <c r="AC249">
        <v>1378.9529411764706</v>
      </c>
      <c r="AD249" t="s">
        <v>561</v>
      </c>
      <c r="AE249">
        <v>1617</v>
      </c>
      <c r="AF249">
        <v>1615</v>
      </c>
      <c r="AG249">
        <f>642+500+1811</f>
        <v>2953</v>
      </c>
      <c r="AH249" t="s">
        <v>21</v>
      </c>
      <c r="AI249">
        <f>5/2513</f>
        <v>1.9896538002387586E-3</v>
      </c>
      <c r="AJ249">
        <v>1</v>
      </c>
      <c r="AK249">
        <v>11</v>
      </c>
      <c r="AL249">
        <v>234</v>
      </c>
      <c r="AM249">
        <f t="shared" si="39"/>
        <v>223</v>
      </c>
      <c r="AO249">
        <f t="shared" si="34"/>
        <v>0.96120689655172409</v>
      </c>
      <c r="AP249">
        <v>247</v>
      </c>
      <c r="AQ249">
        <f t="shared" si="35"/>
        <v>41.124552327894946</v>
      </c>
      <c r="AR249">
        <f t="shared" si="43"/>
        <v>5.8754476721050537</v>
      </c>
      <c r="AS249">
        <f t="shared" si="42"/>
        <v>0.16065033255642089</v>
      </c>
      <c r="AU249" t="s">
        <v>303</v>
      </c>
      <c r="AV249" t="s">
        <v>432</v>
      </c>
      <c r="AX249" s="13">
        <v>1</v>
      </c>
      <c r="AY249">
        <v>125</v>
      </c>
      <c r="AZ249" t="s">
        <v>53</v>
      </c>
      <c r="BA249" t="s">
        <v>0</v>
      </c>
    </row>
    <row r="250" spans="1:53" x14ac:dyDescent="0.35">
      <c r="A250" t="s">
        <v>52</v>
      </c>
      <c r="B250">
        <v>1</v>
      </c>
      <c r="C250" t="s">
        <v>5</v>
      </c>
      <c r="D250" t="s">
        <v>4</v>
      </c>
      <c r="E250" t="s">
        <v>3</v>
      </c>
      <c r="F250" s="1">
        <v>0.57999999999999996</v>
      </c>
      <c r="G250" t="s">
        <v>51</v>
      </c>
      <c r="H250">
        <v>5</v>
      </c>
      <c r="I250">
        <v>6</v>
      </c>
      <c r="J250">
        <v>15</v>
      </c>
      <c r="K250">
        <v>44</v>
      </c>
      <c r="L250">
        <v>6</v>
      </c>
      <c r="M250">
        <f t="shared" si="40"/>
        <v>50</v>
      </c>
      <c r="N250">
        <v>53</v>
      </c>
      <c r="O250">
        <v>4.58</v>
      </c>
      <c r="P250">
        <v>0.18</v>
      </c>
      <c r="Q250">
        <f t="shared" si="36"/>
        <v>1.2867775165235877E-2</v>
      </c>
      <c r="R250" s="6">
        <f>205/2</f>
        <v>102.5</v>
      </c>
      <c r="S250">
        <v>0.85</v>
      </c>
      <c r="T250">
        <f t="shared" si="37"/>
        <v>0.88500000000000001</v>
      </c>
      <c r="U250">
        <v>0.92</v>
      </c>
      <c r="V250">
        <v>1.1000000000000001</v>
      </c>
      <c r="W250">
        <f t="shared" si="41"/>
        <v>1.6500000000000001</v>
      </c>
      <c r="X250">
        <f t="shared" si="38"/>
        <v>3.3000000000000003</v>
      </c>
      <c r="Y250">
        <v>3.1</v>
      </c>
      <c r="Z250">
        <v>19.899999999999999</v>
      </c>
      <c r="AA250">
        <v>19.899999999999999</v>
      </c>
      <c r="AB250">
        <v>0</v>
      </c>
      <c r="AC250">
        <f>Z250/AH250</f>
        <v>1517.7066666666665</v>
      </c>
      <c r="AD250" t="s">
        <v>562</v>
      </c>
      <c r="AE250">
        <v>1585</v>
      </c>
      <c r="AF250">
        <v>1583</v>
      </c>
      <c r="AG250">
        <f>961</f>
        <v>961</v>
      </c>
      <c r="AH250">
        <f>15/1144</f>
        <v>1.3111888111888112E-2</v>
      </c>
      <c r="AI250" t="s">
        <v>21</v>
      </c>
      <c r="AJ250">
        <v>1</v>
      </c>
      <c r="AK250">
        <v>19</v>
      </c>
      <c r="AL250">
        <v>273</v>
      </c>
      <c r="AM250">
        <f t="shared" si="39"/>
        <v>254</v>
      </c>
      <c r="AO250">
        <f t="shared" si="34"/>
        <v>1.2390243902439024</v>
      </c>
      <c r="AP250">
        <v>248</v>
      </c>
      <c r="AQ250" t="str">
        <f t="shared" si="35"/>
        <v>NA</v>
      </c>
      <c r="AR250" t="str">
        <f t="shared" si="43"/>
        <v>NA</v>
      </c>
      <c r="AS250" t="str">
        <f t="shared" si="42"/>
        <v>NA</v>
      </c>
      <c r="AU250" t="s">
        <v>303</v>
      </c>
      <c r="AW250" t="s">
        <v>313</v>
      </c>
      <c r="AX250" s="13">
        <v>1</v>
      </c>
      <c r="AY250">
        <v>126</v>
      </c>
      <c r="AZ250" t="s">
        <v>52</v>
      </c>
      <c r="BA250" t="s">
        <v>5</v>
      </c>
    </row>
    <row r="251" spans="1:53" x14ac:dyDescent="0.35">
      <c r="A251" t="s">
        <v>52</v>
      </c>
      <c r="B251">
        <v>1</v>
      </c>
      <c r="C251" t="s">
        <v>0</v>
      </c>
      <c r="D251" t="s">
        <v>4</v>
      </c>
      <c r="E251" t="s">
        <v>3</v>
      </c>
      <c r="F251" s="1">
        <v>0.57999999999999996</v>
      </c>
      <c r="G251" t="s">
        <v>51</v>
      </c>
      <c r="H251">
        <v>5</v>
      </c>
      <c r="I251">
        <v>6</v>
      </c>
      <c r="J251">
        <v>15</v>
      </c>
      <c r="K251">
        <v>44</v>
      </c>
      <c r="L251">
        <v>6</v>
      </c>
      <c r="M251">
        <f t="shared" si="40"/>
        <v>50</v>
      </c>
      <c r="N251">
        <v>53</v>
      </c>
      <c r="O251">
        <v>4.58</v>
      </c>
      <c r="P251">
        <v>0.18</v>
      </c>
      <c r="Q251">
        <f t="shared" si="36"/>
        <v>1.2867775165235877E-2</v>
      </c>
      <c r="R251" s="6">
        <f>205/2</f>
        <v>102.5</v>
      </c>
      <c r="S251">
        <v>0.85</v>
      </c>
      <c r="T251">
        <f t="shared" si="37"/>
        <v>0.88500000000000001</v>
      </c>
      <c r="U251">
        <v>0.92</v>
      </c>
      <c r="V251">
        <v>1.1000000000000001</v>
      </c>
      <c r="W251">
        <f t="shared" si="41"/>
        <v>1.6500000000000001</v>
      </c>
      <c r="X251">
        <f t="shared" si="38"/>
        <v>3.3000000000000003</v>
      </c>
      <c r="Y251">
        <v>3.1</v>
      </c>
      <c r="Z251">
        <v>19.899999999999999</v>
      </c>
      <c r="AA251">
        <v>19.899999999999999</v>
      </c>
      <c r="AB251">
        <v>0</v>
      </c>
      <c r="AC251">
        <v>1517.7066666666665</v>
      </c>
      <c r="AD251" t="s">
        <v>563</v>
      </c>
      <c r="AE251">
        <v>1585</v>
      </c>
      <c r="AF251">
        <v>1583</v>
      </c>
      <c r="AG251">
        <f>961</f>
        <v>961</v>
      </c>
      <c r="AH251" t="s">
        <v>21</v>
      </c>
      <c r="AI251">
        <f>5/2513</f>
        <v>1.9896538002387586E-3</v>
      </c>
      <c r="AJ251">
        <v>1</v>
      </c>
      <c r="AK251">
        <v>5</v>
      </c>
      <c r="AL251">
        <f>AK251+AL250-AK250</f>
        <v>259</v>
      </c>
      <c r="AM251">
        <f t="shared" si="39"/>
        <v>254</v>
      </c>
      <c r="AO251">
        <f t="shared" si="34"/>
        <v>1.2390243902439024</v>
      </c>
      <c r="AP251">
        <v>249</v>
      </c>
      <c r="AQ251">
        <f t="shared" si="35"/>
        <v>48.087942697970554</v>
      </c>
      <c r="AR251">
        <f t="shared" si="43"/>
        <v>1.9120573020294469</v>
      </c>
      <c r="AS251">
        <f t="shared" si="42"/>
        <v>0.68132378299509222</v>
      </c>
      <c r="AU251" t="s">
        <v>303</v>
      </c>
      <c r="AW251" t="s">
        <v>313</v>
      </c>
      <c r="AX251" s="13">
        <v>1</v>
      </c>
      <c r="AY251">
        <v>126</v>
      </c>
      <c r="AZ251" t="s">
        <v>52</v>
      </c>
      <c r="BA251" t="s">
        <v>0</v>
      </c>
    </row>
    <row r="252" spans="1:53" x14ac:dyDescent="0.35">
      <c r="A252" t="s">
        <v>50</v>
      </c>
      <c r="B252">
        <v>1</v>
      </c>
      <c r="C252" t="s">
        <v>5</v>
      </c>
      <c r="D252" t="s">
        <v>4</v>
      </c>
      <c r="E252" t="s">
        <v>3</v>
      </c>
      <c r="F252" s="1">
        <v>0.57999999999999996</v>
      </c>
      <c r="G252" t="s">
        <v>51</v>
      </c>
      <c r="H252">
        <v>5</v>
      </c>
      <c r="I252">
        <v>6</v>
      </c>
      <c r="J252">
        <v>15</v>
      </c>
      <c r="K252">
        <v>44</v>
      </c>
      <c r="L252">
        <v>6</v>
      </c>
      <c r="M252">
        <f t="shared" si="40"/>
        <v>50</v>
      </c>
      <c r="N252">
        <v>53</v>
      </c>
      <c r="O252">
        <v>4.58</v>
      </c>
      <c r="P252">
        <v>0.18</v>
      </c>
      <c r="Q252">
        <f t="shared" si="36"/>
        <v>1.2867775165235877E-2</v>
      </c>
      <c r="R252" s="6">
        <f>205/2</f>
        <v>102.5</v>
      </c>
      <c r="S252">
        <v>0.85</v>
      </c>
      <c r="T252">
        <f t="shared" si="37"/>
        <v>0.88500000000000001</v>
      </c>
      <c r="U252">
        <v>0.92</v>
      </c>
      <c r="V252">
        <v>1.1000000000000001</v>
      </c>
      <c r="W252">
        <f t="shared" si="41"/>
        <v>1.6500000000000001</v>
      </c>
      <c r="X252">
        <f t="shared" si="38"/>
        <v>3.3000000000000003</v>
      </c>
      <c r="Y252">
        <v>3.1</v>
      </c>
      <c r="Z252">
        <v>19.899999999999999</v>
      </c>
      <c r="AA252">
        <v>19.899999999999999</v>
      </c>
      <c r="AB252">
        <v>0</v>
      </c>
      <c r="AC252">
        <f>Z252/AH252</f>
        <v>1517.7066666666665</v>
      </c>
      <c r="AD252" t="s">
        <v>564</v>
      </c>
      <c r="AE252">
        <v>1585</v>
      </c>
      <c r="AF252">
        <v>1583</v>
      </c>
      <c r="AG252">
        <f>505+685+802+645</f>
        <v>2637</v>
      </c>
      <c r="AH252">
        <f>15/1144</f>
        <v>1.3111888111888112E-2</v>
      </c>
      <c r="AI252" t="s">
        <v>21</v>
      </c>
      <c r="AJ252">
        <v>1</v>
      </c>
      <c r="AK252">
        <v>13</v>
      </c>
      <c r="AL252">
        <v>118</v>
      </c>
      <c r="AM252">
        <f t="shared" si="39"/>
        <v>105</v>
      </c>
      <c r="AO252">
        <f t="shared" si="34"/>
        <v>0.51219512195121952</v>
      </c>
      <c r="AP252">
        <v>250</v>
      </c>
      <c r="AQ252" t="str">
        <f t="shared" si="35"/>
        <v>NA</v>
      </c>
      <c r="AR252" t="str">
        <f t="shared" si="43"/>
        <v>NA</v>
      </c>
      <c r="AS252" t="str">
        <f t="shared" si="42"/>
        <v>NA</v>
      </c>
      <c r="AU252" t="s">
        <v>303</v>
      </c>
      <c r="AV252" t="s">
        <v>432</v>
      </c>
      <c r="AX252" s="13">
        <v>1</v>
      </c>
      <c r="AY252">
        <v>127</v>
      </c>
      <c r="AZ252" t="s">
        <v>50</v>
      </c>
      <c r="BA252" t="s">
        <v>5</v>
      </c>
    </row>
    <row r="253" spans="1:53" x14ac:dyDescent="0.35">
      <c r="A253" t="s">
        <v>50</v>
      </c>
      <c r="B253">
        <v>1</v>
      </c>
      <c r="C253" t="s">
        <v>0</v>
      </c>
      <c r="D253" t="s">
        <v>4</v>
      </c>
      <c r="E253" t="s">
        <v>3</v>
      </c>
      <c r="F253" s="1">
        <v>0.57999999999999996</v>
      </c>
      <c r="G253" t="s">
        <v>51</v>
      </c>
      <c r="H253">
        <v>5</v>
      </c>
      <c r="I253">
        <v>6</v>
      </c>
      <c r="J253">
        <v>15</v>
      </c>
      <c r="K253">
        <v>44</v>
      </c>
      <c r="L253">
        <v>6</v>
      </c>
      <c r="M253">
        <f t="shared" si="40"/>
        <v>50</v>
      </c>
      <c r="N253">
        <v>53</v>
      </c>
      <c r="O253">
        <v>4.58</v>
      </c>
      <c r="P253">
        <v>0.18</v>
      </c>
      <c r="Q253">
        <f t="shared" si="36"/>
        <v>1.2867775165235877E-2</v>
      </c>
      <c r="R253" s="6">
        <f>205/2</f>
        <v>102.5</v>
      </c>
      <c r="S253">
        <v>0.85</v>
      </c>
      <c r="T253">
        <f t="shared" si="37"/>
        <v>0.88500000000000001</v>
      </c>
      <c r="U253">
        <v>0.92</v>
      </c>
      <c r="V253">
        <v>1.1000000000000001</v>
      </c>
      <c r="W253">
        <f t="shared" si="41"/>
        <v>1.6500000000000001</v>
      </c>
      <c r="X253">
        <f t="shared" si="38"/>
        <v>3.3000000000000003</v>
      </c>
      <c r="Y253">
        <v>3.1</v>
      </c>
      <c r="Z253">
        <v>19.899999999999999</v>
      </c>
      <c r="AA253">
        <v>19.899999999999999</v>
      </c>
      <c r="AB253">
        <v>0</v>
      </c>
      <c r="AC253">
        <v>1517.7066666666665</v>
      </c>
      <c r="AD253" t="s">
        <v>565</v>
      </c>
      <c r="AE253">
        <v>1585</v>
      </c>
      <c r="AF253">
        <v>1583</v>
      </c>
      <c r="AG253">
        <f>505+685+802+645</f>
        <v>2637</v>
      </c>
      <c r="AH253" t="s">
        <v>21</v>
      </c>
      <c r="AI253">
        <f>5/2513</f>
        <v>1.9896538002387586E-3</v>
      </c>
      <c r="AJ253">
        <v>1</v>
      </c>
      <c r="AK253">
        <v>9</v>
      </c>
      <c r="AL253">
        <f>AK253+AL252-AK252</f>
        <v>114</v>
      </c>
      <c r="AM253">
        <f t="shared" si="39"/>
        <v>105</v>
      </c>
      <c r="AO253">
        <f t="shared" si="34"/>
        <v>0.51219512195121952</v>
      </c>
      <c r="AP253">
        <v>251</v>
      </c>
      <c r="AQ253">
        <f t="shared" si="35"/>
        <v>44.753282928770396</v>
      </c>
      <c r="AR253">
        <f t="shared" si="43"/>
        <v>5.2467170712296065</v>
      </c>
      <c r="AS253">
        <f t="shared" si="42"/>
        <v>0.12554715479506559</v>
      </c>
      <c r="AU253" t="s">
        <v>303</v>
      </c>
      <c r="AV253" t="s">
        <v>432</v>
      </c>
      <c r="AX253" s="13">
        <v>1</v>
      </c>
      <c r="AY253">
        <v>127</v>
      </c>
      <c r="AZ253" t="s">
        <v>50</v>
      </c>
      <c r="BA253" t="s">
        <v>0</v>
      </c>
    </row>
    <row r="254" spans="1:53" x14ac:dyDescent="0.35">
      <c r="A254" t="s">
        <v>47</v>
      </c>
      <c r="B254">
        <v>1</v>
      </c>
      <c r="C254" t="s">
        <v>5</v>
      </c>
      <c r="D254" t="s">
        <v>4</v>
      </c>
      <c r="E254" t="s">
        <v>3</v>
      </c>
      <c r="F254" s="1">
        <v>0.61</v>
      </c>
      <c r="G254" t="s">
        <v>49</v>
      </c>
      <c r="H254">
        <v>7</v>
      </c>
      <c r="I254">
        <v>7</v>
      </c>
      <c r="J254">
        <v>11</v>
      </c>
      <c r="K254">
        <v>32</v>
      </c>
      <c r="L254">
        <v>16</v>
      </c>
      <c r="M254">
        <f t="shared" si="40"/>
        <v>48</v>
      </c>
      <c r="N254">
        <v>57</v>
      </c>
      <c r="O254">
        <v>3.62</v>
      </c>
      <c r="P254">
        <v>0.18</v>
      </c>
      <c r="Q254">
        <f t="shared" si="36"/>
        <v>1.3491279944213643E-2</v>
      </c>
      <c r="R254" s="6">
        <f>220/2</f>
        <v>110</v>
      </c>
      <c r="S254">
        <v>0.75</v>
      </c>
      <c r="T254">
        <f t="shared" si="37"/>
        <v>0.85</v>
      </c>
      <c r="U254">
        <v>0.95</v>
      </c>
      <c r="V254">
        <v>1.1000000000000001</v>
      </c>
      <c r="W254">
        <f t="shared" si="41"/>
        <v>1.6500000000000001</v>
      </c>
      <c r="X254">
        <f t="shared" si="38"/>
        <v>3.3000000000000003</v>
      </c>
      <c r="Y254">
        <v>3.1</v>
      </c>
      <c r="Z254">
        <v>19.899999999999999</v>
      </c>
      <c r="AA254">
        <v>19.899999999999999</v>
      </c>
      <c r="AB254">
        <v>0</v>
      </c>
      <c r="AC254">
        <f>Z254/AH254</f>
        <v>1519.0333333333333</v>
      </c>
      <c r="AD254" t="s">
        <v>566</v>
      </c>
      <c r="AE254">
        <v>2261</v>
      </c>
      <c r="AF254">
        <v>2255</v>
      </c>
      <c r="AG254">
        <f>256</f>
        <v>256</v>
      </c>
      <c r="AH254">
        <f>15/1145</f>
        <v>1.3100436681222707E-2</v>
      </c>
      <c r="AI254" t="s">
        <v>21</v>
      </c>
      <c r="AJ254">
        <v>1</v>
      </c>
      <c r="AK254">
        <v>16</v>
      </c>
      <c r="AL254">
        <v>420</v>
      </c>
      <c r="AM254">
        <f t="shared" si="39"/>
        <v>404</v>
      </c>
      <c r="AO254">
        <f t="shared" si="34"/>
        <v>1.8363636363636364</v>
      </c>
      <c r="AP254">
        <v>252</v>
      </c>
      <c r="AQ254" t="str">
        <f t="shared" si="35"/>
        <v>NA</v>
      </c>
      <c r="AR254" t="str">
        <f t="shared" si="43"/>
        <v>NA</v>
      </c>
      <c r="AS254" t="str">
        <f t="shared" si="42"/>
        <v>NA</v>
      </c>
      <c r="AT254" s="5" t="s">
        <v>411</v>
      </c>
      <c r="AU254" t="s">
        <v>303</v>
      </c>
      <c r="AW254" t="s">
        <v>312</v>
      </c>
      <c r="AX254" s="13">
        <v>1</v>
      </c>
      <c r="AY254">
        <v>128</v>
      </c>
      <c r="AZ254" t="s">
        <v>47</v>
      </c>
      <c r="BA254" t="s">
        <v>5</v>
      </c>
    </row>
    <row r="255" spans="1:53" x14ac:dyDescent="0.35">
      <c r="A255" t="s">
        <v>47</v>
      </c>
      <c r="B255">
        <v>1</v>
      </c>
      <c r="C255" t="s">
        <v>0</v>
      </c>
      <c r="D255" t="s">
        <v>4</v>
      </c>
      <c r="E255" t="s">
        <v>3</v>
      </c>
      <c r="F255" s="1">
        <v>0.61</v>
      </c>
      <c r="G255" t="s">
        <v>48</v>
      </c>
      <c r="H255">
        <v>7</v>
      </c>
      <c r="I255">
        <v>7</v>
      </c>
      <c r="J255">
        <v>11</v>
      </c>
      <c r="K255">
        <v>32</v>
      </c>
      <c r="L255">
        <v>16</v>
      </c>
      <c r="M255">
        <f t="shared" si="40"/>
        <v>48</v>
      </c>
      <c r="N255">
        <v>57</v>
      </c>
      <c r="O255">
        <v>3.62</v>
      </c>
      <c r="P255">
        <v>0.18</v>
      </c>
      <c r="Q255">
        <f t="shared" si="36"/>
        <v>1.3491279944213643E-2</v>
      </c>
      <c r="R255" s="6">
        <f>220/2</f>
        <v>110</v>
      </c>
      <c r="S255">
        <v>0.75</v>
      </c>
      <c r="T255">
        <f t="shared" si="37"/>
        <v>0.85</v>
      </c>
      <c r="U255">
        <v>0.95</v>
      </c>
      <c r="V255">
        <v>1.1000000000000001</v>
      </c>
      <c r="W255">
        <f t="shared" si="41"/>
        <v>1.6500000000000001</v>
      </c>
      <c r="X255">
        <f t="shared" si="38"/>
        <v>3.3000000000000003</v>
      </c>
      <c r="Y255">
        <v>0.86</v>
      </c>
      <c r="Z255">
        <v>19.899999999999999</v>
      </c>
      <c r="AA255">
        <v>19.899999999999999</v>
      </c>
      <c r="AB255">
        <v>0</v>
      </c>
      <c r="AC255">
        <v>1519.0333333333333</v>
      </c>
      <c r="AD255" t="s">
        <v>567</v>
      </c>
      <c r="AE255">
        <v>2261</v>
      </c>
      <c r="AF255">
        <v>2255</v>
      </c>
      <c r="AG255">
        <f>256</f>
        <v>256</v>
      </c>
      <c r="AH255" t="s">
        <v>21</v>
      </c>
      <c r="AI255">
        <f>4/2030</f>
        <v>1.9704433497536944E-3</v>
      </c>
      <c r="AJ255">
        <v>1</v>
      </c>
      <c r="AK255">
        <v>6</v>
      </c>
      <c r="AL255">
        <f>AK255+AL254-AK254</f>
        <v>410</v>
      </c>
      <c r="AM255">
        <f t="shared" si="39"/>
        <v>404</v>
      </c>
      <c r="AO255">
        <f t="shared" si="34"/>
        <v>1.8363636363636364</v>
      </c>
      <c r="AP255">
        <v>253</v>
      </c>
      <c r="AQ255">
        <f t="shared" si="35"/>
        <v>47.495566502463056</v>
      </c>
      <c r="AR255">
        <f t="shared" si="43"/>
        <v>0.50443349753694577</v>
      </c>
      <c r="AS255">
        <f t="shared" si="42"/>
        <v>0.9684729064039409</v>
      </c>
      <c r="AU255" t="s">
        <v>303</v>
      </c>
      <c r="AW255" t="s">
        <v>312</v>
      </c>
      <c r="AX255" s="13">
        <v>1</v>
      </c>
      <c r="AY255">
        <v>128</v>
      </c>
      <c r="AZ255" t="s">
        <v>47</v>
      </c>
      <c r="BA255" t="s">
        <v>0</v>
      </c>
    </row>
    <row r="256" spans="1:53" x14ac:dyDescent="0.35">
      <c r="A256" t="s">
        <v>44</v>
      </c>
      <c r="B256">
        <v>2</v>
      </c>
      <c r="C256" t="s">
        <v>5</v>
      </c>
      <c r="D256" t="s">
        <v>4</v>
      </c>
      <c r="E256" t="s">
        <v>3</v>
      </c>
      <c r="F256" s="1">
        <v>0.61</v>
      </c>
      <c r="G256" t="s">
        <v>46</v>
      </c>
      <c r="H256">
        <v>7</v>
      </c>
      <c r="I256">
        <v>7</v>
      </c>
      <c r="J256">
        <v>11</v>
      </c>
      <c r="K256">
        <v>32</v>
      </c>
      <c r="L256">
        <v>13</v>
      </c>
      <c r="M256">
        <f t="shared" si="40"/>
        <v>45</v>
      </c>
      <c r="N256">
        <v>51</v>
      </c>
      <c r="O256">
        <v>2.65</v>
      </c>
      <c r="P256">
        <v>0.18</v>
      </c>
      <c r="Q256">
        <f t="shared" si="36"/>
        <v>1.1669498615154627E-2</v>
      </c>
      <c r="R256" s="6">
        <v>107</v>
      </c>
      <c r="S256">
        <v>0.75</v>
      </c>
      <c r="T256">
        <f t="shared" si="37"/>
        <v>0.91</v>
      </c>
      <c r="U256">
        <v>1.07</v>
      </c>
      <c r="V256">
        <v>1.18</v>
      </c>
      <c r="W256">
        <f t="shared" si="41"/>
        <v>1.77</v>
      </c>
      <c r="X256">
        <f t="shared" si="38"/>
        <v>3.54</v>
      </c>
      <c r="Y256">
        <v>0.86</v>
      </c>
      <c r="Z256">
        <v>19.899999999999999</v>
      </c>
      <c r="AA256">
        <v>19.899999999999999</v>
      </c>
      <c r="AB256">
        <v>0</v>
      </c>
      <c r="AC256">
        <f>Z256/AH256</f>
        <v>1836.1066666666666</v>
      </c>
      <c r="AF256">
        <v>2518</v>
      </c>
      <c r="AG256">
        <f>424+2077</f>
        <v>2501</v>
      </c>
      <c r="AH256">
        <f>15/1384</f>
        <v>1.0838150289017341E-2</v>
      </c>
      <c r="AI256" t="s">
        <v>21</v>
      </c>
      <c r="AJ256">
        <v>1</v>
      </c>
      <c r="AK256">
        <v>0</v>
      </c>
      <c r="AL256">
        <f>AK256+AL257-AK257</f>
        <v>303</v>
      </c>
      <c r="AM256">
        <f t="shared" si="39"/>
        <v>303</v>
      </c>
      <c r="AO256">
        <f t="shared" si="34"/>
        <v>1.4158878504672898</v>
      </c>
      <c r="AP256">
        <v>254</v>
      </c>
      <c r="AQ256" t="str">
        <f t="shared" si="35"/>
        <v>NA</v>
      </c>
      <c r="AR256" t="str">
        <f t="shared" si="43"/>
        <v>NA</v>
      </c>
      <c r="AS256" t="str">
        <f t="shared" si="42"/>
        <v>NA</v>
      </c>
      <c r="AU256" t="s">
        <v>310</v>
      </c>
      <c r="AX256" s="14">
        <v>1</v>
      </c>
      <c r="AY256">
        <v>129</v>
      </c>
      <c r="AZ256" t="s">
        <v>44</v>
      </c>
      <c r="BA256" t="s">
        <v>5</v>
      </c>
    </row>
    <row r="257" spans="1:53" x14ac:dyDescent="0.35">
      <c r="A257" t="s">
        <v>44</v>
      </c>
      <c r="B257">
        <v>2</v>
      </c>
      <c r="C257" t="s">
        <v>0</v>
      </c>
      <c r="D257" t="s">
        <v>4</v>
      </c>
      <c r="E257" t="s">
        <v>3</v>
      </c>
      <c r="F257" s="1">
        <v>0.61</v>
      </c>
      <c r="G257" t="s">
        <v>45</v>
      </c>
      <c r="H257">
        <v>7</v>
      </c>
      <c r="I257">
        <v>7</v>
      </c>
      <c r="J257">
        <v>11</v>
      </c>
      <c r="K257">
        <v>32</v>
      </c>
      <c r="L257">
        <v>13</v>
      </c>
      <c r="M257">
        <f t="shared" si="40"/>
        <v>45</v>
      </c>
      <c r="N257">
        <v>51</v>
      </c>
      <c r="O257">
        <v>2.65</v>
      </c>
      <c r="P257">
        <v>0.18</v>
      </c>
      <c r="Q257">
        <f t="shared" si="36"/>
        <v>1.1669498615154627E-2</v>
      </c>
      <c r="R257" s="6">
        <v>107</v>
      </c>
      <c r="S257">
        <v>0.75</v>
      </c>
      <c r="T257">
        <f t="shared" si="37"/>
        <v>0.91</v>
      </c>
      <c r="U257">
        <v>1.07</v>
      </c>
      <c r="V257">
        <v>1.18</v>
      </c>
      <c r="W257">
        <f t="shared" si="41"/>
        <v>1.77</v>
      </c>
      <c r="X257">
        <f t="shared" si="38"/>
        <v>3.54</v>
      </c>
      <c r="Y257">
        <v>3.1</v>
      </c>
      <c r="Z257">
        <v>19.899999999999999</v>
      </c>
      <c r="AA257">
        <v>19.899999999999999</v>
      </c>
      <c r="AB257">
        <v>0</v>
      </c>
      <c r="AC257">
        <v>1836.1066666666666</v>
      </c>
      <c r="AF257">
        <v>2518</v>
      </c>
      <c r="AG257">
        <f>424+2077</f>
        <v>2501</v>
      </c>
      <c r="AH257" t="s">
        <v>21</v>
      </c>
      <c r="AI257">
        <f>3.5/1736</f>
        <v>2.0161290322580645E-3</v>
      </c>
      <c r="AJ257">
        <v>1</v>
      </c>
      <c r="AK257">
        <v>7</v>
      </c>
      <c r="AL257">
        <v>310</v>
      </c>
      <c r="AM257">
        <f t="shared" si="39"/>
        <v>303</v>
      </c>
      <c r="AO257">
        <f t="shared" si="34"/>
        <v>1.4158878504672898</v>
      </c>
      <c r="AP257">
        <v>255</v>
      </c>
      <c r="AQ257">
        <f t="shared" si="35"/>
        <v>39.957661290322584</v>
      </c>
      <c r="AR257">
        <f t="shared" si="43"/>
        <v>5.042338709677419</v>
      </c>
      <c r="AS257">
        <f t="shared" si="42"/>
        <v>0.61212779156327546</v>
      </c>
      <c r="AU257" t="s">
        <v>310</v>
      </c>
      <c r="AX257" s="14">
        <v>1</v>
      </c>
      <c r="AY257">
        <v>129</v>
      </c>
      <c r="AZ257" t="s">
        <v>44</v>
      </c>
      <c r="BA257" t="s">
        <v>0</v>
      </c>
    </row>
    <row r="258" spans="1:53" x14ac:dyDescent="0.35">
      <c r="A258" t="s">
        <v>41</v>
      </c>
      <c r="B258">
        <v>2</v>
      </c>
      <c r="C258" t="s">
        <v>5</v>
      </c>
      <c r="D258" t="s">
        <v>4</v>
      </c>
      <c r="E258" t="s">
        <v>3</v>
      </c>
      <c r="F258" s="1">
        <v>0.61</v>
      </c>
      <c r="G258" t="s">
        <v>43</v>
      </c>
      <c r="H258">
        <v>7</v>
      </c>
      <c r="I258">
        <v>7</v>
      </c>
      <c r="J258">
        <v>16</v>
      </c>
      <c r="K258">
        <v>45</v>
      </c>
      <c r="L258">
        <v>18</v>
      </c>
      <c r="M258">
        <f t="shared" si="40"/>
        <v>63</v>
      </c>
      <c r="N258">
        <v>73</v>
      </c>
      <c r="O258">
        <v>4.67</v>
      </c>
      <c r="P258">
        <v>0.16</v>
      </c>
      <c r="Q258">
        <f t="shared" si="36"/>
        <v>1.1892401670018524E-2</v>
      </c>
      <c r="R258" s="6">
        <f>218/2</f>
        <v>109</v>
      </c>
      <c r="S258">
        <v>0.73</v>
      </c>
      <c r="T258">
        <f t="shared" si="37"/>
        <v>0.86499999999999999</v>
      </c>
      <c r="U258">
        <v>1</v>
      </c>
      <c r="V258">
        <v>1.07</v>
      </c>
      <c r="W258">
        <f t="shared" si="41"/>
        <v>1.605</v>
      </c>
      <c r="X258">
        <f t="shared" si="38"/>
        <v>3.21</v>
      </c>
      <c r="Y258">
        <v>3.1</v>
      </c>
      <c r="Z258">
        <v>19.899999999999999</v>
      </c>
      <c r="AA258">
        <v>19.899999999999999</v>
      </c>
      <c r="AB258">
        <v>0</v>
      </c>
      <c r="AC258">
        <f>Z258/AH258</f>
        <v>1724.6666666666665</v>
      </c>
      <c r="AD258" t="s">
        <v>568</v>
      </c>
      <c r="AE258">
        <v>2027</v>
      </c>
      <c r="AF258">
        <v>2027</v>
      </c>
      <c r="AG258">
        <f>1724</f>
        <v>1724</v>
      </c>
      <c r="AH258">
        <f>15/1300</f>
        <v>1.1538461538461539E-2</v>
      </c>
      <c r="AI258" t="s">
        <v>21</v>
      </c>
      <c r="AJ258">
        <v>1</v>
      </c>
      <c r="AK258">
        <v>17</v>
      </c>
      <c r="AL258">
        <v>173</v>
      </c>
      <c r="AM258">
        <f t="shared" si="39"/>
        <v>156</v>
      </c>
      <c r="AO258">
        <f t="shared" ref="AO258:AO305" si="44">(AL258-AK258)/(2*R258)</f>
        <v>0.7155963302752294</v>
      </c>
      <c r="AP258">
        <v>256</v>
      </c>
      <c r="AQ258" t="str">
        <f t="shared" ref="AQ258:AQ321" si="45">IF(AI258&lt;&gt;"NA",K258+L258-AG258*AI258,"NA")</f>
        <v>NA</v>
      </c>
      <c r="AR258" t="str">
        <f t="shared" si="43"/>
        <v>NA</v>
      </c>
      <c r="AS258" t="str">
        <f t="shared" si="42"/>
        <v>NA</v>
      </c>
      <c r="AT258" s="5" t="s">
        <v>410</v>
      </c>
      <c r="AU258" t="s">
        <v>303</v>
      </c>
      <c r="AX258" s="13">
        <v>1</v>
      </c>
      <c r="AY258">
        <v>130</v>
      </c>
      <c r="AZ258" t="s">
        <v>41</v>
      </c>
      <c r="BA258" t="s">
        <v>5</v>
      </c>
    </row>
    <row r="259" spans="1:53" x14ac:dyDescent="0.35">
      <c r="A259" t="s">
        <v>41</v>
      </c>
      <c r="B259">
        <v>2</v>
      </c>
      <c r="C259" t="s">
        <v>0</v>
      </c>
      <c r="D259" t="s">
        <v>4</v>
      </c>
      <c r="E259" t="s">
        <v>3</v>
      </c>
      <c r="F259" s="1">
        <v>0.61</v>
      </c>
      <c r="G259" t="s">
        <v>42</v>
      </c>
      <c r="H259">
        <v>7</v>
      </c>
      <c r="I259">
        <v>7</v>
      </c>
      <c r="J259">
        <v>16</v>
      </c>
      <c r="K259">
        <v>45</v>
      </c>
      <c r="L259">
        <v>18</v>
      </c>
      <c r="M259">
        <f t="shared" si="40"/>
        <v>63</v>
      </c>
      <c r="N259">
        <v>73</v>
      </c>
      <c r="O259">
        <v>4.67</v>
      </c>
      <c r="P259">
        <v>0.16</v>
      </c>
      <c r="Q259">
        <f t="shared" ref="Q259:Q322" si="46">P259/(PI()*(5*(S259/2)^2+5*(T259/2)^2+5*(U259/2)^2+5*(V259/2)^2))</f>
        <v>1.1892401670018524E-2</v>
      </c>
      <c r="R259" s="6">
        <f>218/2</f>
        <v>109</v>
      </c>
      <c r="S259">
        <v>0.73</v>
      </c>
      <c r="T259">
        <f t="shared" ref="T259:T299" si="47">AVERAGE(S259,U259)</f>
        <v>0.86499999999999999</v>
      </c>
      <c r="U259">
        <v>1</v>
      </c>
      <c r="V259">
        <v>1.07</v>
      </c>
      <c r="W259">
        <f t="shared" si="41"/>
        <v>1.605</v>
      </c>
      <c r="X259">
        <f t="shared" ref="X259:X322" si="48">W259*2</f>
        <v>3.21</v>
      </c>
      <c r="Y259">
        <v>3.1</v>
      </c>
      <c r="Z259">
        <v>19.899999999999999</v>
      </c>
      <c r="AA259">
        <v>19.899999999999999</v>
      </c>
      <c r="AB259">
        <v>0</v>
      </c>
      <c r="AC259">
        <v>1724.6666666666665</v>
      </c>
      <c r="AD259" t="s">
        <v>569</v>
      </c>
      <c r="AE259">
        <v>2027</v>
      </c>
      <c r="AF259">
        <v>2027</v>
      </c>
      <c r="AG259">
        <f>1724</f>
        <v>1724</v>
      </c>
      <c r="AH259" t="s">
        <v>21</v>
      </c>
      <c r="AI259">
        <f>5/2510</f>
        <v>1.9920318725099601E-3</v>
      </c>
      <c r="AJ259">
        <v>1</v>
      </c>
      <c r="AK259">
        <v>5</v>
      </c>
      <c r="AL259">
        <f>AK259+AL258-AK258</f>
        <v>161</v>
      </c>
      <c r="AM259">
        <f t="shared" ref="AM259:AM322" si="49">AL259-AK259</f>
        <v>156</v>
      </c>
      <c r="AO259">
        <f t="shared" si="44"/>
        <v>0.7155963302752294</v>
      </c>
      <c r="AP259">
        <v>257</v>
      </c>
      <c r="AQ259">
        <f t="shared" si="45"/>
        <v>59.56573705179283</v>
      </c>
      <c r="AR259">
        <f t="shared" si="43"/>
        <v>3.4342629482071714</v>
      </c>
      <c r="AS259">
        <f t="shared" si="42"/>
        <v>0.8092076139884905</v>
      </c>
      <c r="AU259" t="s">
        <v>303</v>
      </c>
      <c r="AX259" s="13">
        <v>1</v>
      </c>
      <c r="AY259">
        <v>130</v>
      </c>
      <c r="AZ259" t="s">
        <v>41</v>
      </c>
      <c r="BA259" t="s">
        <v>0</v>
      </c>
    </row>
    <row r="260" spans="1:53" ht="14" customHeight="1" x14ac:dyDescent="0.35">
      <c r="A260" t="s">
        <v>40</v>
      </c>
      <c r="B260">
        <v>1</v>
      </c>
      <c r="C260" t="s">
        <v>5</v>
      </c>
      <c r="D260" t="s">
        <v>4</v>
      </c>
      <c r="E260" t="s">
        <v>3</v>
      </c>
      <c r="F260" s="1">
        <v>0.63</v>
      </c>
      <c r="G260" t="s">
        <v>35</v>
      </c>
      <c r="H260">
        <v>11</v>
      </c>
      <c r="I260">
        <v>5</v>
      </c>
      <c r="J260">
        <v>12</v>
      </c>
      <c r="K260">
        <v>40</v>
      </c>
      <c r="L260">
        <v>20</v>
      </c>
      <c r="M260">
        <f t="shared" ref="M260:M323" si="50">K260+L260</f>
        <v>60</v>
      </c>
      <c r="N260">
        <v>59</v>
      </c>
      <c r="O260">
        <v>1.87</v>
      </c>
      <c r="P260">
        <v>0.11</v>
      </c>
      <c r="Q260">
        <f t="shared" si="46"/>
        <v>1.048669380286343E-2</v>
      </c>
      <c r="R260" s="6">
        <v>108.3</v>
      </c>
      <c r="S260">
        <v>0.69</v>
      </c>
      <c r="T260">
        <f t="shared" si="47"/>
        <v>0.745</v>
      </c>
      <c r="U260">
        <v>0.8</v>
      </c>
      <c r="V260">
        <v>1</v>
      </c>
      <c r="W260">
        <f t="shared" ref="W260:W323" si="51">V260*1.5</f>
        <v>1.5</v>
      </c>
      <c r="X260">
        <f t="shared" si="48"/>
        <v>3</v>
      </c>
      <c r="Y260">
        <v>3.1</v>
      </c>
      <c r="Z260">
        <v>19.899999999999999</v>
      </c>
      <c r="AA260">
        <v>19.899999999999999</v>
      </c>
      <c r="AB260">
        <v>0</v>
      </c>
      <c r="AC260">
        <f>Z260/AH260</f>
        <v>1521.6866666666667</v>
      </c>
      <c r="AD260" t="s">
        <v>570</v>
      </c>
      <c r="AE260">
        <v>1800</v>
      </c>
      <c r="AF260">
        <v>1800</v>
      </c>
      <c r="AG260">
        <f>293+441+767</f>
        <v>1501</v>
      </c>
      <c r="AH260">
        <f>15/1147</f>
        <v>1.3077593722755012E-2</v>
      </c>
      <c r="AI260" t="s">
        <v>21</v>
      </c>
      <c r="AJ260">
        <v>1</v>
      </c>
      <c r="AK260">
        <v>111</v>
      </c>
      <c r="AL260">
        <v>302</v>
      </c>
      <c r="AM260">
        <f t="shared" si="49"/>
        <v>191</v>
      </c>
      <c r="AO260">
        <f t="shared" si="44"/>
        <v>0.88180978762696216</v>
      </c>
      <c r="AP260">
        <v>258</v>
      </c>
      <c r="AQ260" t="str">
        <f t="shared" si="45"/>
        <v>NA</v>
      </c>
      <c r="AR260" t="str">
        <f t="shared" si="43"/>
        <v>NA</v>
      </c>
      <c r="AS260" t="str">
        <f t="shared" si="42"/>
        <v>NA</v>
      </c>
      <c r="AT260" s="5" t="s">
        <v>409</v>
      </c>
      <c r="AU260" t="s">
        <v>303</v>
      </c>
      <c r="AX260" s="13">
        <v>1</v>
      </c>
      <c r="AY260">
        <v>131</v>
      </c>
      <c r="AZ260" t="s">
        <v>40</v>
      </c>
      <c r="BA260" t="s">
        <v>5</v>
      </c>
    </row>
    <row r="261" spans="1:53" x14ac:dyDescent="0.35">
      <c r="A261" t="s">
        <v>40</v>
      </c>
      <c r="B261">
        <v>1</v>
      </c>
      <c r="C261" t="s">
        <v>0</v>
      </c>
      <c r="D261" t="s">
        <v>4</v>
      </c>
      <c r="E261" t="s">
        <v>3</v>
      </c>
      <c r="F261" s="1">
        <v>0.63</v>
      </c>
      <c r="G261" t="s">
        <v>35</v>
      </c>
      <c r="H261">
        <v>11</v>
      </c>
      <c r="I261">
        <v>5</v>
      </c>
      <c r="J261">
        <v>12</v>
      </c>
      <c r="K261">
        <v>40</v>
      </c>
      <c r="L261">
        <v>20</v>
      </c>
      <c r="M261">
        <f t="shared" si="50"/>
        <v>60</v>
      </c>
      <c r="N261">
        <v>59</v>
      </c>
      <c r="O261">
        <v>1.87</v>
      </c>
      <c r="P261">
        <v>0.11</v>
      </c>
      <c r="Q261">
        <f t="shared" si="46"/>
        <v>1.048669380286343E-2</v>
      </c>
      <c r="R261" s="6">
        <v>108.3</v>
      </c>
      <c r="S261">
        <v>0.69</v>
      </c>
      <c r="T261">
        <f t="shared" si="47"/>
        <v>0.745</v>
      </c>
      <c r="U261">
        <v>0.8</v>
      </c>
      <c r="V261">
        <v>1</v>
      </c>
      <c r="W261">
        <f t="shared" si="51"/>
        <v>1.5</v>
      </c>
      <c r="X261">
        <f t="shared" si="48"/>
        <v>3</v>
      </c>
      <c r="Y261">
        <v>3.1</v>
      </c>
      <c r="Z261">
        <v>19.899999999999999</v>
      </c>
      <c r="AA261">
        <v>19.899999999999999</v>
      </c>
      <c r="AB261">
        <v>0</v>
      </c>
      <c r="AC261">
        <v>1521.6866666666667</v>
      </c>
      <c r="AD261" t="s">
        <v>571</v>
      </c>
      <c r="AE261">
        <v>1800</v>
      </c>
      <c r="AF261">
        <v>1800</v>
      </c>
      <c r="AG261">
        <f>293+441+767</f>
        <v>1501</v>
      </c>
      <c r="AH261" t="s">
        <v>21</v>
      </c>
      <c r="AI261">
        <f>4.5/2278</f>
        <v>1.9754170324846358E-3</v>
      </c>
      <c r="AJ261">
        <v>1</v>
      </c>
      <c r="AK261">
        <v>13</v>
      </c>
      <c r="AL261">
        <f>AK261+AL260-AK260</f>
        <v>204</v>
      </c>
      <c r="AM261">
        <f t="shared" si="49"/>
        <v>191</v>
      </c>
      <c r="AO261">
        <f t="shared" si="44"/>
        <v>0.88180978762696216</v>
      </c>
      <c r="AP261">
        <v>259</v>
      </c>
      <c r="AQ261">
        <f t="shared" si="45"/>
        <v>57.03489903424056</v>
      </c>
      <c r="AR261">
        <f t="shared" si="43"/>
        <v>2.9651009657594383</v>
      </c>
      <c r="AS261">
        <f t="shared" si="42"/>
        <v>0.85174495171202802</v>
      </c>
      <c r="AU261" t="s">
        <v>303</v>
      </c>
      <c r="AX261" s="13">
        <v>1</v>
      </c>
      <c r="AY261">
        <v>131</v>
      </c>
      <c r="AZ261" t="s">
        <v>40</v>
      </c>
      <c r="BA261" t="s">
        <v>0</v>
      </c>
    </row>
    <row r="262" spans="1:53" x14ac:dyDescent="0.35">
      <c r="A262" t="s">
        <v>39</v>
      </c>
      <c r="B262">
        <v>2</v>
      </c>
      <c r="C262" t="s">
        <v>5</v>
      </c>
      <c r="D262" t="s">
        <v>4</v>
      </c>
      <c r="E262" t="s">
        <v>3</v>
      </c>
      <c r="F262" s="1">
        <v>0.64</v>
      </c>
      <c r="G262" t="s">
        <v>23</v>
      </c>
      <c r="H262">
        <v>6</v>
      </c>
      <c r="I262">
        <v>6</v>
      </c>
      <c r="J262">
        <v>6</v>
      </c>
      <c r="K262">
        <v>43</v>
      </c>
      <c r="L262">
        <v>7</v>
      </c>
      <c r="M262">
        <f t="shared" si="50"/>
        <v>50</v>
      </c>
      <c r="N262">
        <v>64</v>
      </c>
      <c r="O262">
        <v>2.2999999999999998</v>
      </c>
      <c r="P262">
        <v>0.19</v>
      </c>
      <c r="Q262">
        <f t="shared" si="46"/>
        <v>1.0320352528982521E-2</v>
      </c>
      <c r="R262" s="6">
        <v>93</v>
      </c>
      <c r="S262">
        <v>1</v>
      </c>
      <c r="T262">
        <f t="shared" si="47"/>
        <v>1.075</v>
      </c>
      <c r="U262">
        <v>1.1499999999999999</v>
      </c>
      <c r="V262">
        <v>1.1000000000000001</v>
      </c>
      <c r="W262">
        <f t="shared" si="51"/>
        <v>1.6500000000000001</v>
      </c>
      <c r="X262">
        <f t="shared" si="48"/>
        <v>3.3000000000000003</v>
      </c>
      <c r="Y262">
        <v>0.86</v>
      </c>
      <c r="Z262">
        <v>19.899999999999999</v>
      </c>
      <c r="AA262">
        <v>19.899999999999999</v>
      </c>
      <c r="AB262">
        <v>0</v>
      </c>
      <c r="AC262">
        <f>Z262/AH262</f>
        <v>1814.8799999999999</v>
      </c>
      <c r="AD262" t="s">
        <v>572</v>
      </c>
      <c r="AE262">
        <v>2695</v>
      </c>
      <c r="AF262">
        <v>2697</v>
      </c>
      <c r="AG262">
        <f>742+874+970+201</f>
        <v>2787</v>
      </c>
      <c r="AH262">
        <f>15/1368</f>
        <v>1.0964912280701754E-2</v>
      </c>
      <c r="AI262" t="s">
        <v>21</v>
      </c>
      <c r="AJ262">
        <v>0</v>
      </c>
      <c r="AK262">
        <v>60</v>
      </c>
      <c r="AL262">
        <v>116</v>
      </c>
      <c r="AM262">
        <f t="shared" si="49"/>
        <v>56</v>
      </c>
      <c r="AO262">
        <f t="shared" si="44"/>
        <v>0.30107526881720431</v>
      </c>
      <c r="AP262">
        <v>260</v>
      </c>
      <c r="AQ262" t="str">
        <f t="shared" si="45"/>
        <v>NA</v>
      </c>
      <c r="AR262" t="str">
        <f t="shared" si="43"/>
        <v>NA</v>
      </c>
      <c r="AS262" t="str">
        <f t="shared" si="42"/>
        <v>NA</v>
      </c>
      <c r="AT262" s="5" t="s">
        <v>408</v>
      </c>
      <c r="AU262" t="s">
        <v>303</v>
      </c>
      <c r="AX262" s="12">
        <v>0</v>
      </c>
      <c r="AY262">
        <v>132</v>
      </c>
      <c r="AZ262" t="s">
        <v>39</v>
      </c>
      <c r="BA262" t="s">
        <v>5</v>
      </c>
    </row>
    <row r="263" spans="1:53" x14ac:dyDescent="0.35">
      <c r="A263" t="s">
        <v>39</v>
      </c>
      <c r="B263">
        <v>2</v>
      </c>
      <c r="C263" t="s">
        <v>0</v>
      </c>
      <c r="D263" t="s">
        <v>4</v>
      </c>
      <c r="E263" t="s">
        <v>3</v>
      </c>
      <c r="F263" s="1">
        <v>0.64</v>
      </c>
      <c r="G263" t="s">
        <v>23</v>
      </c>
      <c r="H263">
        <v>6</v>
      </c>
      <c r="I263">
        <v>6</v>
      </c>
      <c r="J263">
        <v>6</v>
      </c>
      <c r="K263">
        <v>43</v>
      </c>
      <c r="L263">
        <v>7</v>
      </c>
      <c r="M263">
        <f t="shared" si="50"/>
        <v>50</v>
      </c>
      <c r="N263">
        <v>64</v>
      </c>
      <c r="O263">
        <v>2.2999999999999998</v>
      </c>
      <c r="P263">
        <v>0.19</v>
      </c>
      <c r="Q263">
        <f t="shared" si="46"/>
        <v>1.0320352528982521E-2</v>
      </c>
      <c r="R263" s="6">
        <v>93</v>
      </c>
      <c r="S263">
        <v>1</v>
      </c>
      <c r="T263">
        <f t="shared" si="47"/>
        <v>1.075</v>
      </c>
      <c r="U263">
        <v>1.1499999999999999</v>
      </c>
      <c r="V263">
        <v>1.1000000000000001</v>
      </c>
      <c r="W263">
        <f t="shared" si="51"/>
        <v>1.6500000000000001</v>
      </c>
      <c r="X263">
        <f t="shared" si="48"/>
        <v>3.3000000000000003</v>
      </c>
      <c r="Y263">
        <v>0.86</v>
      </c>
      <c r="Z263">
        <v>19.899999999999999</v>
      </c>
      <c r="AA263">
        <v>19.899999999999999</v>
      </c>
      <c r="AB263">
        <v>0</v>
      </c>
      <c r="AC263">
        <v>1814.8799999999999</v>
      </c>
      <c r="AD263" t="s">
        <v>573</v>
      </c>
      <c r="AE263">
        <v>2695</v>
      </c>
      <c r="AF263">
        <v>2697</v>
      </c>
      <c r="AG263">
        <f>742+874+970+201</f>
        <v>2787</v>
      </c>
      <c r="AH263" t="s">
        <v>21</v>
      </c>
      <c r="AI263">
        <f>5/2475</f>
        <v>2.0202020202020202E-3</v>
      </c>
      <c r="AJ263">
        <v>0</v>
      </c>
      <c r="AK263">
        <v>60</v>
      </c>
      <c r="AL263">
        <f>AK263+AL262-AK262</f>
        <v>116</v>
      </c>
      <c r="AM263">
        <f t="shared" si="49"/>
        <v>56</v>
      </c>
      <c r="AO263">
        <f t="shared" si="44"/>
        <v>0.30107526881720431</v>
      </c>
      <c r="AP263">
        <v>261</v>
      </c>
      <c r="AQ263">
        <f t="shared" si="45"/>
        <v>44.369696969696967</v>
      </c>
      <c r="AR263">
        <f t="shared" si="43"/>
        <v>5.6303030303030299</v>
      </c>
      <c r="AS263">
        <f t="shared" si="42"/>
        <v>0.19567099567099572</v>
      </c>
      <c r="AU263" t="s">
        <v>303</v>
      </c>
      <c r="AX263" s="12">
        <v>0</v>
      </c>
      <c r="AY263">
        <v>132</v>
      </c>
      <c r="AZ263" t="s">
        <v>39</v>
      </c>
      <c r="BA263" t="s">
        <v>0</v>
      </c>
    </row>
    <row r="264" spans="1:53" x14ac:dyDescent="0.35">
      <c r="A264" t="s">
        <v>38</v>
      </c>
      <c r="B264">
        <v>2</v>
      </c>
      <c r="C264" t="s">
        <v>5</v>
      </c>
      <c r="D264" t="s">
        <v>4</v>
      </c>
      <c r="E264" t="s">
        <v>3</v>
      </c>
      <c r="F264" s="1">
        <v>0.64</v>
      </c>
      <c r="G264" t="s">
        <v>23</v>
      </c>
      <c r="H264">
        <v>6</v>
      </c>
      <c r="I264">
        <v>6</v>
      </c>
      <c r="J264">
        <v>6</v>
      </c>
      <c r="K264">
        <v>43</v>
      </c>
      <c r="L264">
        <v>7</v>
      </c>
      <c r="M264">
        <f t="shared" si="50"/>
        <v>50</v>
      </c>
      <c r="N264">
        <v>64</v>
      </c>
      <c r="O264">
        <v>2.2999999999999998</v>
      </c>
      <c r="P264">
        <v>0.19</v>
      </c>
      <c r="Q264">
        <f t="shared" si="46"/>
        <v>1.0320352528982521E-2</v>
      </c>
      <c r="R264" s="6">
        <v>93</v>
      </c>
      <c r="S264">
        <v>1</v>
      </c>
      <c r="T264">
        <f t="shared" si="47"/>
        <v>1.075</v>
      </c>
      <c r="U264">
        <v>1.1499999999999999</v>
      </c>
      <c r="V264">
        <v>1.1000000000000001</v>
      </c>
      <c r="W264">
        <f t="shared" si="51"/>
        <v>1.6500000000000001</v>
      </c>
      <c r="X264">
        <f t="shared" si="48"/>
        <v>3.3000000000000003</v>
      </c>
      <c r="Y264">
        <v>0.86</v>
      </c>
      <c r="Z264">
        <v>19.899999999999999</v>
      </c>
      <c r="AA264">
        <v>19.899999999999999</v>
      </c>
      <c r="AB264">
        <v>0</v>
      </c>
      <c r="AC264">
        <f>Z264/AH264</f>
        <v>1814.8799999999999</v>
      </c>
      <c r="AF264">
        <v>2697</v>
      </c>
      <c r="AG264">
        <v>331</v>
      </c>
      <c r="AH264">
        <f>15/1368</f>
        <v>1.0964912280701754E-2</v>
      </c>
      <c r="AI264" t="s">
        <v>21</v>
      </c>
      <c r="AJ264">
        <v>0</v>
      </c>
      <c r="AK264">
        <v>10</v>
      </c>
      <c r="AL264">
        <v>167</v>
      </c>
      <c r="AM264">
        <f t="shared" si="49"/>
        <v>157</v>
      </c>
      <c r="AO264">
        <f t="shared" si="44"/>
        <v>0.84408602150537637</v>
      </c>
      <c r="AP264">
        <v>262</v>
      </c>
      <c r="AQ264" t="str">
        <f t="shared" si="45"/>
        <v>NA</v>
      </c>
      <c r="AR264" t="str">
        <f t="shared" si="43"/>
        <v>NA</v>
      </c>
      <c r="AS264" t="str">
        <f t="shared" ref="AS264:AS327" si="52">IF(AR264&lt;&gt;"NA",(L264-AR264)/L264,"NA")</f>
        <v>NA</v>
      </c>
      <c r="AU264" t="s">
        <v>303</v>
      </c>
      <c r="AX264" s="12">
        <v>0</v>
      </c>
      <c r="AY264">
        <v>133</v>
      </c>
      <c r="AZ264" t="s">
        <v>38</v>
      </c>
      <c r="BA264" t="s">
        <v>5</v>
      </c>
    </row>
    <row r="265" spans="1:53" x14ac:dyDescent="0.35">
      <c r="A265" t="s">
        <v>38</v>
      </c>
      <c r="B265">
        <v>2</v>
      </c>
      <c r="C265" t="s">
        <v>0</v>
      </c>
      <c r="D265" t="s">
        <v>4</v>
      </c>
      <c r="E265" t="s">
        <v>3</v>
      </c>
      <c r="F265" s="1">
        <v>0.64</v>
      </c>
      <c r="G265" t="s">
        <v>23</v>
      </c>
      <c r="H265">
        <v>6</v>
      </c>
      <c r="I265">
        <v>6</v>
      </c>
      <c r="J265">
        <v>6</v>
      </c>
      <c r="K265">
        <v>43</v>
      </c>
      <c r="L265">
        <v>7</v>
      </c>
      <c r="M265">
        <f t="shared" si="50"/>
        <v>50</v>
      </c>
      <c r="N265">
        <v>64</v>
      </c>
      <c r="O265">
        <v>2.2999999999999998</v>
      </c>
      <c r="P265">
        <v>0.19</v>
      </c>
      <c r="Q265">
        <f t="shared" si="46"/>
        <v>1.0320352528982521E-2</v>
      </c>
      <c r="R265" s="6">
        <v>93</v>
      </c>
      <c r="S265">
        <v>1</v>
      </c>
      <c r="T265">
        <f t="shared" si="47"/>
        <v>1.075</v>
      </c>
      <c r="U265">
        <v>1.1499999999999999</v>
      </c>
      <c r="V265">
        <v>1.1000000000000001</v>
      </c>
      <c r="W265">
        <f t="shared" si="51"/>
        <v>1.6500000000000001</v>
      </c>
      <c r="X265">
        <f t="shared" si="48"/>
        <v>3.3000000000000003</v>
      </c>
      <c r="Y265">
        <v>0.86</v>
      </c>
      <c r="Z265">
        <v>19.899999999999999</v>
      </c>
      <c r="AA265">
        <v>19.899999999999999</v>
      </c>
      <c r="AB265">
        <v>0</v>
      </c>
      <c r="AC265">
        <v>1814.8799999999999</v>
      </c>
      <c r="AF265">
        <v>2697</v>
      </c>
      <c r="AG265">
        <v>331</v>
      </c>
      <c r="AH265" t="s">
        <v>21</v>
      </c>
      <c r="AI265">
        <f>5/2475</f>
        <v>2.0202020202020202E-3</v>
      </c>
      <c r="AJ265">
        <v>0</v>
      </c>
      <c r="AK265">
        <v>5</v>
      </c>
      <c r="AL265">
        <f>AK265+AL264-AK264</f>
        <v>162</v>
      </c>
      <c r="AM265">
        <f t="shared" si="49"/>
        <v>157</v>
      </c>
      <c r="AO265">
        <f t="shared" si="44"/>
        <v>0.84408602150537637</v>
      </c>
      <c r="AP265">
        <v>263</v>
      </c>
      <c r="AQ265">
        <f t="shared" si="45"/>
        <v>49.331313131313131</v>
      </c>
      <c r="AR265">
        <f t="shared" si="43"/>
        <v>0.66868686868686866</v>
      </c>
      <c r="AS265">
        <f t="shared" si="52"/>
        <v>0.90447330447330454</v>
      </c>
      <c r="AU265" t="s">
        <v>303</v>
      </c>
      <c r="AX265" s="12">
        <v>0</v>
      </c>
      <c r="AY265">
        <v>133</v>
      </c>
      <c r="AZ265" t="s">
        <v>38</v>
      </c>
      <c r="BA265" t="s">
        <v>0</v>
      </c>
    </row>
    <row r="266" spans="1:53" x14ac:dyDescent="0.35">
      <c r="A266" t="s">
        <v>37</v>
      </c>
      <c r="B266">
        <v>2</v>
      </c>
      <c r="C266" t="s">
        <v>5</v>
      </c>
      <c r="D266" t="s">
        <v>4</v>
      </c>
      <c r="E266" t="s">
        <v>3</v>
      </c>
      <c r="F266" s="1">
        <v>0.64</v>
      </c>
      <c r="G266" t="s">
        <v>23</v>
      </c>
      <c r="H266">
        <v>6</v>
      </c>
      <c r="I266">
        <v>6</v>
      </c>
      <c r="J266">
        <v>6</v>
      </c>
      <c r="K266">
        <v>43</v>
      </c>
      <c r="L266">
        <v>7</v>
      </c>
      <c r="M266">
        <f t="shared" si="50"/>
        <v>50</v>
      </c>
      <c r="N266">
        <v>64</v>
      </c>
      <c r="O266">
        <v>2.2999999999999998</v>
      </c>
      <c r="P266">
        <v>0.19</v>
      </c>
      <c r="Q266">
        <f t="shared" si="46"/>
        <v>1.0320352528982521E-2</v>
      </c>
      <c r="R266" s="6">
        <v>93</v>
      </c>
      <c r="S266">
        <v>1</v>
      </c>
      <c r="T266">
        <f t="shared" si="47"/>
        <v>1.075</v>
      </c>
      <c r="U266">
        <v>1.1499999999999999</v>
      </c>
      <c r="V266">
        <v>1.1000000000000001</v>
      </c>
      <c r="W266">
        <f t="shared" si="51"/>
        <v>1.6500000000000001</v>
      </c>
      <c r="X266">
        <f t="shared" si="48"/>
        <v>3.3000000000000003</v>
      </c>
      <c r="Y266">
        <v>0.86</v>
      </c>
      <c r="Z266">
        <v>19.899999999999999</v>
      </c>
      <c r="AA266">
        <v>19.899999999999999</v>
      </c>
      <c r="AB266">
        <v>0</v>
      </c>
      <c r="AC266">
        <f>Z266/AH266</f>
        <v>1814.8799999999999</v>
      </c>
      <c r="AD266" t="s">
        <v>574</v>
      </c>
      <c r="AE266">
        <v>2695</v>
      </c>
      <c r="AF266">
        <v>2697</v>
      </c>
      <c r="AG266">
        <f>273+660</f>
        <v>933</v>
      </c>
      <c r="AH266">
        <f>15/1368</f>
        <v>1.0964912280701754E-2</v>
      </c>
      <c r="AI266" t="s">
        <v>21</v>
      </c>
      <c r="AJ266">
        <v>1</v>
      </c>
      <c r="AK266">
        <v>16</v>
      </c>
      <c r="AL266">
        <v>374</v>
      </c>
      <c r="AM266">
        <f t="shared" si="49"/>
        <v>358</v>
      </c>
      <c r="AO266">
        <f t="shared" si="44"/>
        <v>1.924731182795699</v>
      </c>
      <c r="AP266">
        <v>264</v>
      </c>
      <c r="AQ266" t="str">
        <f t="shared" si="45"/>
        <v>NA</v>
      </c>
      <c r="AR266" t="str">
        <f t="shared" si="43"/>
        <v>NA</v>
      </c>
      <c r="AS266" t="str">
        <f t="shared" si="52"/>
        <v>NA</v>
      </c>
      <c r="AU266" t="s">
        <v>303</v>
      </c>
      <c r="AW266" t="s">
        <v>312</v>
      </c>
      <c r="AX266" s="13">
        <v>1</v>
      </c>
      <c r="AY266">
        <v>134</v>
      </c>
      <c r="AZ266" t="s">
        <v>37</v>
      </c>
      <c r="BA266" t="s">
        <v>5</v>
      </c>
    </row>
    <row r="267" spans="1:53" x14ac:dyDescent="0.35">
      <c r="A267" t="s">
        <v>37</v>
      </c>
      <c r="B267">
        <v>2</v>
      </c>
      <c r="C267" t="s">
        <v>0</v>
      </c>
      <c r="D267" t="s">
        <v>4</v>
      </c>
      <c r="E267" t="s">
        <v>3</v>
      </c>
      <c r="F267" s="1">
        <v>0.64</v>
      </c>
      <c r="G267" t="s">
        <v>23</v>
      </c>
      <c r="H267">
        <v>6</v>
      </c>
      <c r="I267">
        <v>6</v>
      </c>
      <c r="J267">
        <v>6</v>
      </c>
      <c r="K267">
        <v>43</v>
      </c>
      <c r="L267">
        <v>7</v>
      </c>
      <c r="M267">
        <f t="shared" si="50"/>
        <v>50</v>
      </c>
      <c r="N267">
        <v>64</v>
      </c>
      <c r="O267">
        <v>2.2999999999999998</v>
      </c>
      <c r="P267">
        <v>0.19</v>
      </c>
      <c r="Q267">
        <f t="shared" si="46"/>
        <v>1.0320352528982521E-2</v>
      </c>
      <c r="R267" s="6">
        <v>93</v>
      </c>
      <c r="S267">
        <v>1</v>
      </c>
      <c r="T267">
        <f t="shared" si="47"/>
        <v>1.075</v>
      </c>
      <c r="U267">
        <v>1.1499999999999999</v>
      </c>
      <c r="V267">
        <v>1.1000000000000001</v>
      </c>
      <c r="W267">
        <f t="shared" si="51"/>
        <v>1.6500000000000001</v>
      </c>
      <c r="X267">
        <f t="shared" si="48"/>
        <v>3.3000000000000003</v>
      </c>
      <c r="Y267">
        <v>0.86</v>
      </c>
      <c r="Z267">
        <v>19.899999999999999</v>
      </c>
      <c r="AA267">
        <v>19.899999999999999</v>
      </c>
      <c r="AB267">
        <v>0</v>
      </c>
      <c r="AC267">
        <v>1814.8799999999999</v>
      </c>
      <c r="AD267" t="s">
        <v>575</v>
      </c>
      <c r="AE267">
        <v>2695</v>
      </c>
      <c r="AF267">
        <v>2697</v>
      </c>
      <c r="AG267">
        <f>273+660</f>
        <v>933</v>
      </c>
      <c r="AH267" t="s">
        <v>21</v>
      </c>
      <c r="AI267">
        <f>5/2475</f>
        <v>2.0202020202020202E-3</v>
      </c>
      <c r="AJ267">
        <v>1</v>
      </c>
      <c r="AK267">
        <v>5</v>
      </c>
      <c r="AL267">
        <f>AK267+AL266-AK266</f>
        <v>363</v>
      </c>
      <c r="AM267">
        <f t="shared" si="49"/>
        <v>358</v>
      </c>
      <c r="AO267">
        <f t="shared" si="44"/>
        <v>1.924731182795699</v>
      </c>
      <c r="AP267">
        <v>265</v>
      </c>
      <c r="AQ267">
        <f t="shared" si="45"/>
        <v>48.115151515151517</v>
      </c>
      <c r="AR267">
        <f t="shared" si="43"/>
        <v>1.8848484848484848</v>
      </c>
      <c r="AS267">
        <f t="shared" si="52"/>
        <v>0.73073593073593079</v>
      </c>
      <c r="AU267" t="s">
        <v>303</v>
      </c>
      <c r="AW267" t="s">
        <v>312</v>
      </c>
      <c r="AX267" s="13">
        <v>1</v>
      </c>
      <c r="AY267">
        <v>134</v>
      </c>
      <c r="AZ267" t="s">
        <v>37</v>
      </c>
      <c r="BA267" t="s">
        <v>0</v>
      </c>
    </row>
    <row r="268" spans="1:53" x14ac:dyDescent="0.35">
      <c r="A268" t="s">
        <v>36</v>
      </c>
      <c r="B268">
        <v>1</v>
      </c>
      <c r="C268" t="s">
        <v>5</v>
      </c>
      <c r="D268" t="s">
        <v>4</v>
      </c>
      <c r="E268" t="s">
        <v>3</v>
      </c>
      <c r="F268" s="1">
        <v>0.64</v>
      </c>
      <c r="G268" t="s">
        <v>23</v>
      </c>
      <c r="H268">
        <v>6</v>
      </c>
      <c r="I268">
        <v>6</v>
      </c>
      <c r="J268">
        <v>8</v>
      </c>
      <c r="K268">
        <v>44</v>
      </c>
      <c r="L268">
        <v>8</v>
      </c>
      <c r="M268">
        <f t="shared" si="50"/>
        <v>52</v>
      </c>
      <c r="N268">
        <v>60</v>
      </c>
      <c r="O268">
        <v>2.31</v>
      </c>
      <c r="P268">
        <v>0.15</v>
      </c>
      <c r="Q268">
        <f t="shared" si="46"/>
        <v>1.0288804401900305E-2</v>
      </c>
      <c r="R268" s="6">
        <f>AT268/2</f>
        <v>91</v>
      </c>
      <c r="S268">
        <v>0.9</v>
      </c>
      <c r="T268">
        <f t="shared" si="47"/>
        <v>0.95</v>
      </c>
      <c r="U268">
        <v>1</v>
      </c>
      <c r="V268">
        <v>1</v>
      </c>
      <c r="W268">
        <f t="shared" si="51"/>
        <v>1.5</v>
      </c>
      <c r="X268">
        <f t="shared" si="48"/>
        <v>3</v>
      </c>
      <c r="Y268">
        <v>3.1</v>
      </c>
      <c r="Z268">
        <v>19.899999999999999</v>
      </c>
      <c r="AA268">
        <v>19.899999999999999</v>
      </c>
      <c r="AB268">
        <v>0</v>
      </c>
      <c r="AC268">
        <v>1492</v>
      </c>
      <c r="AD268" t="s">
        <v>576</v>
      </c>
      <c r="AE268">
        <v>2127</v>
      </c>
      <c r="AF268">
        <v>2127</v>
      </c>
      <c r="AG268">
        <f>571+872</f>
        <v>1443</v>
      </c>
      <c r="AH268">
        <f>19/1492</f>
        <v>1.2734584450402145E-2</v>
      </c>
      <c r="AI268" t="s">
        <v>21</v>
      </c>
      <c r="AJ268">
        <v>1</v>
      </c>
      <c r="AK268">
        <v>16</v>
      </c>
      <c r="AL268">
        <v>295</v>
      </c>
      <c r="AM268">
        <f t="shared" si="49"/>
        <v>279</v>
      </c>
      <c r="AO268">
        <f t="shared" si="44"/>
        <v>1.5329670329670331</v>
      </c>
      <c r="AP268">
        <v>266</v>
      </c>
      <c r="AQ268" t="str">
        <f t="shared" si="45"/>
        <v>NA</v>
      </c>
      <c r="AR268" t="str">
        <f t="shared" ref="AR268:AR331" si="53">IF(AI268&lt;&gt;"NA",AG268*AI268,"NA")</f>
        <v>NA</v>
      </c>
      <c r="AS268" t="str">
        <f t="shared" si="52"/>
        <v>NA</v>
      </c>
      <c r="AT268" s="5" t="s">
        <v>407</v>
      </c>
      <c r="AU268" t="s">
        <v>303</v>
      </c>
      <c r="AW268" t="s">
        <v>314</v>
      </c>
      <c r="AX268" s="9" t="s">
        <v>454</v>
      </c>
      <c r="AY268">
        <v>135</v>
      </c>
      <c r="AZ268" t="s">
        <v>36</v>
      </c>
      <c r="BA268" t="s">
        <v>5</v>
      </c>
    </row>
    <row r="269" spans="1:53" x14ac:dyDescent="0.35">
      <c r="A269" t="s">
        <v>36</v>
      </c>
      <c r="B269">
        <v>1</v>
      </c>
      <c r="C269" t="s">
        <v>0</v>
      </c>
      <c r="D269" t="s">
        <v>4</v>
      </c>
      <c r="E269" t="s">
        <v>3</v>
      </c>
      <c r="F269" s="1">
        <v>0.64</v>
      </c>
      <c r="G269" t="s">
        <v>23</v>
      </c>
      <c r="H269">
        <v>6</v>
      </c>
      <c r="I269">
        <v>6</v>
      </c>
      <c r="J269">
        <v>8</v>
      </c>
      <c r="K269">
        <v>44</v>
      </c>
      <c r="L269">
        <v>8</v>
      </c>
      <c r="M269">
        <f t="shared" si="50"/>
        <v>52</v>
      </c>
      <c r="N269">
        <v>60</v>
      </c>
      <c r="O269">
        <v>2.31</v>
      </c>
      <c r="P269">
        <v>0.15</v>
      </c>
      <c r="Q269">
        <f t="shared" si="46"/>
        <v>1.0288804401900305E-2</v>
      </c>
      <c r="R269" s="6">
        <v>91</v>
      </c>
      <c r="S269">
        <v>0.9</v>
      </c>
      <c r="T269">
        <f t="shared" si="47"/>
        <v>0.95</v>
      </c>
      <c r="U269">
        <v>1</v>
      </c>
      <c r="V269">
        <v>1</v>
      </c>
      <c r="W269">
        <f t="shared" si="51"/>
        <v>1.5</v>
      </c>
      <c r="X269">
        <f t="shared" si="48"/>
        <v>3</v>
      </c>
      <c r="Y269">
        <v>3.1</v>
      </c>
      <c r="Z269">
        <v>19.899999999999999</v>
      </c>
      <c r="AA269">
        <v>19.899999999999999</v>
      </c>
      <c r="AB269">
        <v>0</v>
      </c>
      <c r="AC269">
        <v>1492</v>
      </c>
      <c r="AD269" t="s">
        <v>577</v>
      </c>
      <c r="AE269">
        <v>2127</v>
      </c>
      <c r="AF269">
        <v>2127</v>
      </c>
      <c r="AG269">
        <f>571+872</f>
        <v>1443</v>
      </c>
      <c r="AH269" t="s">
        <v>21</v>
      </c>
      <c r="AI269">
        <f>5/2524</f>
        <v>1.9809825673534074E-3</v>
      </c>
      <c r="AJ269">
        <v>1</v>
      </c>
      <c r="AK269">
        <v>9</v>
      </c>
      <c r="AL269">
        <f>AK269+AL268-AK268</f>
        <v>288</v>
      </c>
      <c r="AM269">
        <f t="shared" si="49"/>
        <v>279</v>
      </c>
      <c r="AO269">
        <f t="shared" si="44"/>
        <v>1.5329670329670331</v>
      </c>
      <c r="AP269">
        <v>267</v>
      </c>
      <c r="AQ269">
        <f t="shared" si="45"/>
        <v>49.141442155309036</v>
      </c>
      <c r="AR269">
        <f t="shared" si="53"/>
        <v>2.8585578446909667</v>
      </c>
      <c r="AS269">
        <f t="shared" si="52"/>
        <v>0.6426802694136291</v>
      </c>
      <c r="AU269" t="s">
        <v>303</v>
      </c>
      <c r="AW269" t="s">
        <v>314</v>
      </c>
      <c r="AX269" s="9" t="s">
        <v>454</v>
      </c>
      <c r="AY269">
        <v>135</v>
      </c>
      <c r="AZ269" t="s">
        <v>36</v>
      </c>
      <c r="BA269" t="s">
        <v>0</v>
      </c>
    </row>
    <row r="270" spans="1:53" x14ac:dyDescent="0.35">
      <c r="A270" t="s">
        <v>34</v>
      </c>
      <c r="B270">
        <v>2</v>
      </c>
      <c r="C270" t="s">
        <v>5</v>
      </c>
      <c r="D270" t="s">
        <v>4</v>
      </c>
      <c r="E270" t="s">
        <v>3</v>
      </c>
      <c r="F270" s="1">
        <v>0.63</v>
      </c>
      <c r="G270" t="s">
        <v>35</v>
      </c>
      <c r="H270">
        <v>11</v>
      </c>
      <c r="I270">
        <v>5</v>
      </c>
      <c r="J270">
        <v>14</v>
      </c>
      <c r="K270">
        <v>40</v>
      </c>
      <c r="L270">
        <v>19</v>
      </c>
      <c r="M270">
        <f t="shared" si="50"/>
        <v>59</v>
      </c>
      <c r="N270">
        <v>59</v>
      </c>
      <c r="O270">
        <v>2.74</v>
      </c>
      <c r="P270">
        <v>0.14000000000000001</v>
      </c>
      <c r="Q270">
        <f t="shared" si="46"/>
        <v>1.1864881895209898E-2</v>
      </c>
      <c r="R270" s="6">
        <f>AT270/2</f>
        <v>102</v>
      </c>
      <c r="S270">
        <v>0.79</v>
      </c>
      <c r="T270">
        <f t="shared" si="47"/>
        <v>0.82499999999999996</v>
      </c>
      <c r="U270">
        <v>0.86</v>
      </c>
      <c r="V270">
        <v>0.98</v>
      </c>
      <c r="W270">
        <f t="shared" si="51"/>
        <v>1.47</v>
      </c>
      <c r="X270">
        <f t="shared" si="48"/>
        <v>2.94</v>
      </c>
      <c r="Y270">
        <v>0.86</v>
      </c>
      <c r="Z270">
        <v>19.899999999999999</v>
      </c>
      <c r="AA270">
        <v>19.899999999999999</v>
      </c>
      <c r="AB270">
        <v>0</v>
      </c>
      <c r="AC270">
        <f>Z270/AH270</f>
        <v>1854.6799999999998</v>
      </c>
      <c r="AD270" t="s">
        <v>578</v>
      </c>
      <c r="AE270">
        <v>3159</v>
      </c>
      <c r="AF270">
        <v>3163</v>
      </c>
      <c r="AG270">
        <f>383+442</f>
        <v>825</v>
      </c>
      <c r="AH270">
        <f>15/1398</f>
        <v>1.0729613733905579E-2</v>
      </c>
      <c r="AI270" t="s">
        <v>21</v>
      </c>
      <c r="AJ270">
        <v>1</v>
      </c>
      <c r="AK270">
        <v>9</v>
      </c>
      <c r="AL270">
        <v>266</v>
      </c>
      <c r="AM270">
        <f t="shared" si="49"/>
        <v>257</v>
      </c>
      <c r="AO270">
        <f t="shared" si="44"/>
        <v>1.2598039215686274</v>
      </c>
      <c r="AP270">
        <v>268</v>
      </c>
      <c r="AQ270" t="str">
        <f t="shared" si="45"/>
        <v>NA</v>
      </c>
      <c r="AR270" t="str">
        <f t="shared" si="53"/>
        <v>NA</v>
      </c>
      <c r="AS270" t="str">
        <f t="shared" si="52"/>
        <v>NA</v>
      </c>
      <c r="AT270" s="5" t="s">
        <v>390</v>
      </c>
      <c r="AU270" t="s">
        <v>303</v>
      </c>
      <c r="AX270" s="13">
        <v>1</v>
      </c>
      <c r="AY270">
        <v>136</v>
      </c>
      <c r="AZ270" t="s">
        <v>34</v>
      </c>
      <c r="BA270" t="s">
        <v>5</v>
      </c>
    </row>
    <row r="271" spans="1:53" x14ac:dyDescent="0.35">
      <c r="A271" t="s">
        <v>34</v>
      </c>
      <c r="B271">
        <v>2</v>
      </c>
      <c r="C271" t="s">
        <v>0</v>
      </c>
      <c r="D271" t="s">
        <v>4</v>
      </c>
      <c r="E271" t="s">
        <v>3</v>
      </c>
      <c r="F271" s="1">
        <v>0.63</v>
      </c>
      <c r="G271" t="s">
        <v>35</v>
      </c>
      <c r="H271">
        <v>11</v>
      </c>
      <c r="I271">
        <v>5</v>
      </c>
      <c r="J271">
        <v>14</v>
      </c>
      <c r="K271">
        <v>40</v>
      </c>
      <c r="L271">
        <v>19</v>
      </c>
      <c r="M271">
        <f t="shared" si="50"/>
        <v>59</v>
      </c>
      <c r="N271">
        <v>59</v>
      </c>
      <c r="O271">
        <v>2.74</v>
      </c>
      <c r="P271">
        <v>0.14000000000000001</v>
      </c>
      <c r="Q271">
        <f t="shared" si="46"/>
        <v>1.1864881895209898E-2</v>
      </c>
      <c r="R271" s="6">
        <v>102</v>
      </c>
      <c r="S271">
        <v>0.79</v>
      </c>
      <c r="T271">
        <f t="shared" si="47"/>
        <v>0.82499999999999996</v>
      </c>
      <c r="U271">
        <v>0.86</v>
      </c>
      <c r="V271">
        <v>0.98</v>
      </c>
      <c r="W271">
        <f t="shared" si="51"/>
        <v>1.47</v>
      </c>
      <c r="X271">
        <f t="shared" si="48"/>
        <v>2.94</v>
      </c>
      <c r="Y271">
        <v>0.86</v>
      </c>
      <c r="Z271">
        <v>19.899999999999999</v>
      </c>
      <c r="AA271">
        <v>19.899999999999999</v>
      </c>
      <c r="AB271">
        <v>0</v>
      </c>
      <c r="AC271">
        <v>1854.6799999999998</v>
      </c>
      <c r="AD271" t="s">
        <v>579</v>
      </c>
      <c r="AE271">
        <v>3159</v>
      </c>
      <c r="AF271">
        <v>3163</v>
      </c>
      <c r="AG271">
        <f>383+442</f>
        <v>825</v>
      </c>
      <c r="AH271" t="s">
        <v>21</v>
      </c>
      <c r="AI271">
        <f>5/2500</f>
        <v>2E-3</v>
      </c>
      <c r="AJ271">
        <v>1</v>
      </c>
      <c r="AK271">
        <v>5</v>
      </c>
      <c r="AL271">
        <f>AK271+AL270-AK270</f>
        <v>262</v>
      </c>
      <c r="AM271">
        <f t="shared" si="49"/>
        <v>257</v>
      </c>
      <c r="AO271">
        <f t="shared" si="44"/>
        <v>1.2598039215686274</v>
      </c>
      <c r="AP271">
        <v>269</v>
      </c>
      <c r="AQ271">
        <f t="shared" si="45"/>
        <v>57.35</v>
      </c>
      <c r="AR271">
        <f t="shared" si="53"/>
        <v>1.6500000000000001</v>
      </c>
      <c r="AS271">
        <f t="shared" si="52"/>
        <v>0.91315789473684217</v>
      </c>
      <c r="AU271" t="s">
        <v>303</v>
      </c>
      <c r="AX271" s="13">
        <v>1</v>
      </c>
      <c r="AY271">
        <v>136</v>
      </c>
      <c r="AZ271" t="s">
        <v>34</v>
      </c>
      <c r="BA271" t="s">
        <v>0</v>
      </c>
    </row>
    <row r="272" spans="1:53" x14ac:dyDescent="0.35">
      <c r="A272" t="s">
        <v>33</v>
      </c>
      <c r="B272">
        <v>2</v>
      </c>
      <c r="C272" t="s">
        <v>5</v>
      </c>
      <c r="D272" t="s">
        <v>4</v>
      </c>
      <c r="E272" t="s">
        <v>3</v>
      </c>
      <c r="F272" s="1">
        <v>0.65</v>
      </c>
      <c r="G272" t="s">
        <v>23</v>
      </c>
      <c r="H272">
        <v>16</v>
      </c>
      <c r="I272">
        <v>2</v>
      </c>
      <c r="J272">
        <v>6</v>
      </c>
      <c r="K272">
        <v>32</v>
      </c>
      <c r="L272">
        <v>10</v>
      </c>
      <c r="M272">
        <f t="shared" si="50"/>
        <v>42</v>
      </c>
      <c r="N272">
        <v>47</v>
      </c>
      <c r="O272">
        <v>2.08</v>
      </c>
      <c r="P272">
        <v>0.15</v>
      </c>
      <c r="Q272">
        <f t="shared" si="46"/>
        <v>9.6396684774901903E-3</v>
      </c>
      <c r="R272" s="6">
        <v>100</v>
      </c>
      <c r="S272">
        <v>0.8</v>
      </c>
      <c r="T272">
        <f t="shared" si="47"/>
        <v>0.95000000000000007</v>
      </c>
      <c r="U272">
        <v>1.1000000000000001</v>
      </c>
      <c r="V272">
        <v>1.1000000000000001</v>
      </c>
      <c r="W272">
        <f t="shared" si="51"/>
        <v>1.6500000000000001</v>
      </c>
      <c r="X272">
        <f t="shared" si="48"/>
        <v>3.3000000000000003</v>
      </c>
      <c r="Y272">
        <v>0.86</v>
      </c>
      <c r="Z272">
        <v>19.899999999999999</v>
      </c>
      <c r="AA272">
        <v>19.899999999999999</v>
      </c>
      <c r="AB272">
        <v>0</v>
      </c>
      <c r="AC272">
        <v>1854.6799999999998</v>
      </c>
      <c r="AF272">
        <v>3654</v>
      </c>
      <c r="AG272">
        <f>676</f>
        <v>676</v>
      </c>
      <c r="AH272">
        <f>15/1416</f>
        <v>1.059322033898305E-2</v>
      </c>
      <c r="AI272" t="s">
        <v>21</v>
      </c>
      <c r="AJ272">
        <v>1</v>
      </c>
      <c r="AK272">
        <v>4</v>
      </c>
      <c r="AL272">
        <v>288</v>
      </c>
      <c r="AM272">
        <f t="shared" si="49"/>
        <v>284</v>
      </c>
      <c r="AO272">
        <f t="shared" si="44"/>
        <v>1.42</v>
      </c>
      <c r="AP272">
        <v>270</v>
      </c>
      <c r="AQ272" t="str">
        <f t="shared" si="45"/>
        <v>NA</v>
      </c>
      <c r="AR272" t="str">
        <f t="shared" si="53"/>
        <v>NA</v>
      </c>
      <c r="AS272" t="str">
        <f t="shared" si="52"/>
        <v>NA</v>
      </c>
      <c r="AT272" s="5" t="s">
        <v>406</v>
      </c>
      <c r="AU272" t="s">
        <v>303</v>
      </c>
      <c r="AV272" t="s">
        <v>432</v>
      </c>
      <c r="AX272" s="9" t="s">
        <v>452</v>
      </c>
      <c r="AY272">
        <v>137</v>
      </c>
      <c r="AZ272" t="s">
        <v>33</v>
      </c>
      <c r="BA272" t="s">
        <v>5</v>
      </c>
    </row>
    <row r="273" spans="1:53" x14ac:dyDescent="0.35">
      <c r="A273" t="s">
        <v>33</v>
      </c>
      <c r="B273">
        <v>2</v>
      </c>
      <c r="C273" t="s">
        <v>0</v>
      </c>
      <c r="D273" t="s">
        <v>4</v>
      </c>
      <c r="E273" t="s">
        <v>3</v>
      </c>
      <c r="F273" s="1">
        <v>0.65</v>
      </c>
      <c r="G273" t="s">
        <v>23</v>
      </c>
      <c r="H273">
        <v>16</v>
      </c>
      <c r="I273">
        <v>2</v>
      </c>
      <c r="J273">
        <v>6</v>
      </c>
      <c r="K273">
        <v>32</v>
      </c>
      <c r="L273">
        <v>10</v>
      </c>
      <c r="M273">
        <f t="shared" si="50"/>
        <v>42</v>
      </c>
      <c r="N273">
        <v>47</v>
      </c>
      <c r="O273">
        <v>2.08</v>
      </c>
      <c r="P273">
        <v>0.15</v>
      </c>
      <c r="Q273">
        <f t="shared" si="46"/>
        <v>9.6396684774901903E-3</v>
      </c>
      <c r="R273" s="6">
        <v>100</v>
      </c>
      <c r="S273">
        <v>0.8</v>
      </c>
      <c r="T273">
        <f t="shared" si="47"/>
        <v>0.95000000000000007</v>
      </c>
      <c r="U273">
        <v>1.1000000000000001</v>
      </c>
      <c r="V273">
        <v>1.1000000000000001</v>
      </c>
      <c r="W273">
        <f t="shared" si="51"/>
        <v>1.6500000000000001</v>
      </c>
      <c r="X273">
        <f t="shared" si="48"/>
        <v>3.3000000000000003</v>
      </c>
      <c r="Y273">
        <v>0.86</v>
      </c>
      <c r="Z273">
        <v>19.899999999999999</v>
      </c>
      <c r="AA273">
        <v>19.899999999999999</v>
      </c>
      <c r="AB273">
        <v>0</v>
      </c>
      <c r="AC273">
        <v>1854.6799999999998</v>
      </c>
      <c r="AF273">
        <v>3654</v>
      </c>
      <c r="AG273">
        <f>676</f>
        <v>676</v>
      </c>
      <c r="AH273" t="s">
        <v>21</v>
      </c>
      <c r="AI273">
        <f>4.5/2265</f>
        <v>1.9867549668874172E-3</v>
      </c>
      <c r="AJ273">
        <v>1</v>
      </c>
      <c r="AK273">
        <v>10</v>
      </c>
      <c r="AL273">
        <f>AK273+AL272-AK272</f>
        <v>294</v>
      </c>
      <c r="AM273">
        <f t="shared" si="49"/>
        <v>284</v>
      </c>
      <c r="AO273">
        <f t="shared" si="44"/>
        <v>1.42</v>
      </c>
      <c r="AP273">
        <v>271</v>
      </c>
      <c r="AQ273">
        <f t="shared" si="45"/>
        <v>40.656953642384103</v>
      </c>
      <c r="AR273">
        <f t="shared" si="53"/>
        <v>1.343046357615894</v>
      </c>
      <c r="AS273">
        <f t="shared" si="52"/>
        <v>0.86569536423841065</v>
      </c>
      <c r="AU273" t="s">
        <v>303</v>
      </c>
      <c r="AV273" t="s">
        <v>432</v>
      </c>
      <c r="AX273" s="9" t="s">
        <v>452</v>
      </c>
      <c r="AY273">
        <v>137</v>
      </c>
      <c r="AZ273" t="s">
        <v>33</v>
      </c>
      <c r="BA273" t="s">
        <v>0</v>
      </c>
    </row>
    <row r="274" spans="1:53" x14ac:dyDescent="0.35">
      <c r="A274" t="s">
        <v>32</v>
      </c>
      <c r="B274">
        <v>2</v>
      </c>
      <c r="C274" t="s">
        <v>5</v>
      </c>
      <c r="D274" t="s">
        <v>4</v>
      </c>
      <c r="E274" t="s">
        <v>3</v>
      </c>
      <c r="F274" s="1">
        <v>0.65</v>
      </c>
      <c r="G274" t="s">
        <v>23</v>
      </c>
      <c r="H274">
        <v>16</v>
      </c>
      <c r="I274">
        <v>2</v>
      </c>
      <c r="J274">
        <v>6</v>
      </c>
      <c r="K274">
        <v>32</v>
      </c>
      <c r="L274">
        <v>10</v>
      </c>
      <c r="M274">
        <f t="shared" si="50"/>
        <v>42</v>
      </c>
      <c r="N274">
        <v>47</v>
      </c>
      <c r="O274">
        <v>2.08</v>
      </c>
      <c r="P274">
        <v>0.15</v>
      </c>
      <c r="Q274">
        <f t="shared" si="46"/>
        <v>9.6396684774901903E-3</v>
      </c>
      <c r="R274" s="6">
        <v>100</v>
      </c>
      <c r="S274">
        <v>0.8</v>
      </c>
      <c r="T274">
        <f t="shared" si="47"/>
        <v>0.95000000000000007</v>
      </c>
      <c r="U274">
        <v>1.1000000000000001</v>
      </c>
      <c r="V274">
        <v>1.1000000000000001</v>
      </c>
      <c r="W274">
        <f t="shared" si="51"/>
        <v>1.6500000000000001</v>
      </c>
      <c r="X274">
        <f t="shared" si="48"/>
        <v>3.3000000000000003</v>
      </c>
      <c r="Y274">
        <v>0.86</v>
      </c>
      <c r="Z274">
        <v>19.899999999999999</v>
      </c>
      <c r="AA274">
        <v>19.899999999999999</v>
      </c>
      <c r="AB274">
        <v>0</v>
      </c>
      <c r="AC274">
        <v>1854.6799999999998</v>
      </c>
      <c r="AF274">
        <v>3654</v>
      </c>
      <c r="AG274">
        <f>539+1386</f>
        <v>1925</v>
      </c>
      <c r="AH274">
        <f>15/1416</f>
        <v>1.059322033898305E-2</v>
      </c>
      <c r="AI274" t="s">
        <v>21</v>
      </c>
      <c r="AJ274">
        <v>1</v>
      </c>
      <c r="AK274">
        <v>30</v>
      </c>
      <c r="AL274">
        <v>155</v>
      </c>
      <c r="AM274">
        <f t="shared" si="49"/>
        <v>125</v>
      </c>
      <c r="AO274">
        <f t="shared" si="44"/>
        <v>0.625</v>
      </c>
      <c r="AP274">
        <v>272</v>
      </c>
      <c r="AQ274" t="str">
        <f t="shared" si="45"/>
        <v>NA</v>
      </c>
      <c r="AR274" t="str">
        <f t="shared" si="53"/>
        <v>NA</v>
      </c>
      <c r="AS274" t="str">
        <f t="shared" si="52"/>
        <v>NA</v>
      </c>
      <c r="AU274" t="s">
        <v>303</v>
      </c>
      <c r="AV274" t="s">
        <v>432</v>
      </c>
      <c r="AX274" s="13">
        <v>1</v>
      </c>
      <c r="AY274">
        <v>137</v>
      </c>
      <c r="AZ274" t="s">
        <v>32</v>
      </c>
      <c r="BA274" t="s">
        <v>5</v>
      </c>
    </row>
    <row r="275" spans="1:53" x14ac:dyDescent="0.35">
      <c r="A275" t="s">
        <v>32</v>
      </c>
      <c r="B275">
        <v>2</v>
      </c>
      <c r="C275" t="s">
        <v>0</v>
      </c>
      <c r="D275" t="s">
        <v>4</v>
      </c>
      <c r="E275" t="s">
        <v>3</v>
      </c>
      <c r="F275" s="1">
        <v>0.65</v>
      </c>
      <c r="G275" t="s">
        <v>23</v>
      </c>
      <c r="H275">
        <v>16</v>
      </c>
      <c r="I275">
        <v>2</v>
      </c>
      <c r="J275">
        <v>6</v>
      </c>
      <c r="K275">
        <v>32</v>
      </c>
      <c r="L275">
        <v>10</v>
      </c>
      <c r="M275">
        <f t="shared" si="50"/>
        <v>42</v>
      </c>
      <c r="N275">
        <v>47</v>
      </c>
      <c r="O275">
        <v>2.08</v>
      </c>
      <c r="P275">
        <v>0.15</v>
      </c>
      <c r="Q275">
        <f t="shared" si="46"/>
        <v>9.6396684774901903E-3</v>
      </c>
      <c r="R275" s="6">
        <v>100</v>
      </c>
      <c r="S275">
        <v>0.8</v>
      </c>
      <c r="T275">
        <f t="shared" si="47"/>
        <v>0.95000000000000007</v>
      </c>
      <c r="U275">
        <v>1.1000000000000001</v>
      </c>
      <c r="V275">
        <v>1.1000000000000001</v>
      </c>
      <c r="W275">
        <f t="shared" si="51"/>
        <v>1.6500000000000001</v>
      </c>
      <c r="X275">
        <f t="shared" si="48"/>
        <v>3.3000000000000003</v>
      </c>
      <c r="Y275">
        <v>0.86</v>
      </c>
      <c r="Z275">
        <v>19.899999999999999</v>
      </c>
      <c r="AA275">
        <v>19.899999999999999</v>
      </c>
      <c r="AB275">
        <v>0</v>
      </c>
      <c r="AC275">
        <v>1854.6799999999998</v>
      </c>
      <c r="AF275">
        <v>3654</v>
      </c>
      <c r="AG275">
        <f>539+1386</f>
        <v>1925</v>
      </c>
      <c r="AH275" t="s">
        <v>21</v>
      </c>
      <c r="AI275">
        <f>4.5/2265</f>
        <v>1.9867549668874172E-3</v>
      </c>
      <c r="AJ275">
        <v>1</v>
      </c>
      <c r="AK275">
        <v>7</v>
      </c>
      <c r="AL275">
        <f>AK275+AL274-AK274</f>
        <v>132</v>
      </c>
      <c r="AM275">
        <f t="shared" si="49"/>
        <v>125</v>
      </c>
      <c r="AO275">
        <f t="shared" si="44"/>
        <v>0.625</v>
      </c>
      <c r="AP275">
        <v>273</v>
      </c>
      <c r="AQ275">
        <f t="shared" si="45"/>
        <v>38.175496688741724</v>
      </c>
      <c r="AR275">
        <f t="shared" si="53"/>
        <v>3.8245033112582782</v>
      </c>
      <c r="AS275">
        <f t="shared" si="52"/>
        <v>0.61754966887417218</v>
      </c>
      <c r="AU275" t="s">
        <v>303</v>
      </c>
      <c r="AV275" t="s">
        <v>432</v>
      </c>
      <c r="AX275" s="13">
        <v>1</v>
      </c>
      <c r="AY275">
        <v>137</v>
      </c>
      <c r="AZ275" t="s">
        <v>32</v>
      </c>
      <c r="BA275" t="s">
        <v>0</v>
      </c>
    </row>
    <row r="276" spans="1:53" x14ac:dyDescent="0.35">
      <c r="A276" t="s">
        <v>30</v>
      </c>
      <c r="B276">
        <v>1</v>
      </c>
      <c r="C276" t="s">
        <v>5</v>
      </c>
      <c r="D276" t="s">
        <v>4</v>
      </c>
      <c r="E276" t="s">
        <v>3</v>
      </c>
      <c r="F276" s="1">
        <v>0.62</v>
      </c>
      <c r="G276" t="s">
        <v>31</v>
      </c>
      <c r="H276">
        <v>7</v>
      </c>
      <c r="I276">
        <v>15</v>
      </c>
      <c r="J276">
        <v>15</v>
      </c>
      <c r="K276">
        <v>40</v>
      </c>
      <c r="L276">
        <v>24</v>
      </c>
      <c r="M276">
        <f t="shared" si="50"/>
        <v>64</v>
      </c>
      <c r="N276">
        <v>62</v>
      </c>
      <c r="O276">
        <v>3.58</v>
      </c>
      <c r="P276">
        <v>0.15</v>
      </c>
      <c r="Q276">
        <f t="shared" si="46"/>
        <v>1.04161124428687E-2</v>
      </c>
      <c r="R276" s="6">
        <f>AT276/2</f>
        <v>101</v>
      </c>
      <c r="S276">
        <v>0.89</v>
      </c>
      <c r="T276">
        <f t="shared" si="47"/>
        <v>0.93500000000000005</v>
      </c>
      <c r="U276">
        <v>0.98</v>
      </c>
      <c r="V276">
        <v>1.02</v>
      </c>
      <c r="W276">
        <f t="shared" si="51"/>
        <v>1.53</v>
      </c>
      <c r="X276">
        <f t="shared" si="48"/>
        <v>3.06</v>
      </c>
      <c r="Y276">
        <v>3.1</v>
      </c>
      <c r="Z276">
        <v>19.899999999999999</v>
      </c>
      <c r="AA276">
        <v>19.899999999999999</v>
      </c>
      <c r="AB276">
        <v>0</v>
      </c>
      <c r="AC276">
        <f>Z276/AH276</f>
        <v>1504.44</v>
      </c>
      <c r="AD276" t="s">
        <v>580</v>
      </c>
      <c r="AE276">
        <v>2126</v>
      </c>
      <c r="AF276">
        <v>2129</v>
      </c>
      <c r="AG276">
        <f>581+270</f>
        <v>851</v>
      </c>
      <c r="AH276">
        <f>15/1134</f>
        <v>1.3227513227513227E-2</v>
      </c>
      <c r="AI276" t="s">
        <v>21</v>
      </c>
      <c r="AJ276">
        <v>1</v>
      </c>
      <c r="AK276">
        <v>14</v>
      </c>
      <c r="AL276">
        <v>214</v>
      </c>
      <c r="AM276">
        <f t="shared" si="49"/>
        <v>200</v>
      </c>
      <c r="AO276">
        <f t="shared" si="44"/>
        <v>0.99009900990099009</v>
      </c>
      <c r="AP276">
        <v>274</v>
      </c>
      <c r="AQ276" t="str">
        <f t="shared" si="45"/>
        <v>NA</v>
      </c>
      <c r="AR276" t="str">
        <f t="shared" si="53"/>
        <v>NA</v>
      </c>
      <c r="AS276" t="str">
        <f t="shared" si="52"/>
        <v>NA</v>
      </c>
      <c r="AT276" s="5" t="s">
        <v>389</v>
      </c>
      <c r="AU276" t="s">
        <v>303</v>
      </c>
      <c r="AX276" s="13">
        <v>1</v>
      </c>
      <c r="AY276">
        <v>138</v>
      </c>
      <c r="AZ276" t="s">
        <v>30</v>
      </c>
      <c r="BA276" t="s">
        <v>5</v>
      </c>
    </row>
    <row r="277" spans="1:53" x14ac:dyDescent="0.35">
      <c r="A277" t="s">
        <v>30</v>
      </c>
      <c r="B277">
        <v>1</v>
      </c>
      <c r="C277" t="s">
        <v>0</v>
      </c>
      <c r="D277" t="s">
        <v>4</v>
      </c>
      <c r="E277" t="s">
        <v>3</v>
      </c>
      <c r="F277" s="1">
        <v>0.62</v>
      </c>
      <c r="G277" t="s">
        <v>31</v>
      </c>
      <c r="H277">
        <v>7</v>
      </c>
      <c r="I277">
        <v>15</v>
      </c>
      <c r="J277">
        <v>15</v>
      </c>
      <c r="K277">
        <v>40</v>
      </c>
      <c r="L277">
        <v>24</v>
      </c>
      <c r="M277">
        <f t="shared" si="50"/>
        <v>64</v>
      </c>
      <c r="N277">
        <v>62</v>
      </c>
      <c r="O277">
        <v>3.58</v>
      </c>
      <c r="P277">
        <v>0.15</v>
      </c>
      <c r="Q277">
        <f t="shared" si="46"/>
        <v>1.04161124428687E-2</v>
      </c>
      <c r="R277" s="6">
        <v>101</v>
      </c>
      <c r="S277">
        <v>0.89</v>
      </c>
      <c r="T277">
        <f t="shared" si="47"/>
        <v>0.93500000000000005</v>
      </c>
      <c r="U277">
        <v>0.98</v>
      </c>
      <c r="V277">
        <v>1.02</v>
      </c>
      <c r="W277">
        <f t="shared" si="51"/>
        <v>1.53</v>
      </c>
      <c r="X277">
        <f t="shared" si="48"/>
        <v>3.06</v>
      </c>
      <c r="Y277">
        <v>3.1</v>
      </c>
      <c r="Z277">
        <v>19.899999999999999</v>
      </c>
      <c r="AA277">
        <v>19.899999999999999</v>
      </c>
      <c r="AB277">
        <v>0</v>
      </c>
      <c r="AC277">
        <v>1504.44</v>
      </c>
      <c r="AD277" t="s">
        <v>581</v>
      </c>
      <c r="AE277">
        <v>2126</v>
      </c>
      <c r="AF277">
        <v>2129</v>
      </c>
      <c r="AG277">
        <f>581+270</f>
        <v>851</v>
      </c>
      <c r="AH277" t="s">
        <v>21</v>
      </c>
      <c r="AI277">
        <f>4.5/2265</f>
        <v>1.9867549668874172E-3</v>
      </c>
      <c r="AJ277">
        <v>1</v>
      </c>
      <c r="AK277">
        <v>7</v>
      </c>
      <c r="AL277">
        <f>AK277+AL276-AK276</f>
        <v>207</v>
      </c>
      <c r="AM277">
        <f t="shared" si="49"/>
        <v>200</v>
      </c>
      <c r="AO277">
        <f t="shared" si="44"/>
        <v>0.99009900990099009</v>
      </c>
      <c r="AP277">
        <v>275</v>
      </c>
      <c r="AQ277">
        <f t="shared" si="45"/>
        <v>62.309271523178808</v>
      </c>
      <c r="AR277">
        <f t="shared" si="53"/>
        <v>1.6907284768211921</v>
      </c>
      <c r="AS277">
        <f t="shared" si="52"/>
        <v>0.92955298013245036</v>
      </c>
      <c r="AU277" t="s">
        <v>303</v>
      </c>
      <c r="AX277" s="13">
        <v>1</v>
      </c>
      <c r="AY277">
        <v>138</v>
      </c>
      <c r="AZ277" t="s">
        <v>30</v>
      </c>
      <c r="BA277" t="s">
        <v>0</v>
      </c>
    </row>
    <row r="278" spans="1:53" x14ac:dyDescent="0.35">
      <c r="A278" t="s">
        <v>29</v>
      </c>
      <c r="B278">
        <v>1</v>
      </c>
      <c r="C278" t="s">
        <v>5</v>
      </c>
      <c r="D278" t="s">
        <v>4</v>
      </c>
      <c r="E278" t="s">
        <v>3</v>
      </c>
      <c r="F278" s="1">
        <v>0.64</v>
      </c>
      <c r="G278" t="s">
        <v>23</v>
      </c>
      <c r="H278">
        <v>5</v>
      </c>
      <c r="I278">
        <v>6</v>
      </c>
      <c r="J278">
        <v>13</v>
      </c>
      <c r="K278">
        <v>38</v>
      </c>
      <c r="L278">
        <v>14</v>
      </c>
      <c r="M278">
        <f t="shared" si="50"/>
        <v>52</v>
      </c>
      <c r="N278">
        <v>57</v>
      </c>
      <c r="O278">
        <v>2.71</v>
      </c>
      <c r="P278">
        <v>0.17</v>
      </c>
      <c r="Q278">
        <f t="shared" si="46"/>
        <v>1.0715050777140691E-2</v>
      </c>
      <c r="R278" s="6">
        <f>AT278/2</f>
        <v>101.5</v>
      </c>
      <c r="S278">
        <v>0.83</v>
      </c>
      <c r="T278">
        <f t="shared" si="47"/>
        <v>0.96500000000000008</v>
      </c>
      <c r="U278">
        <v>1.1000000000000001</v>
      </c>
      <c r="V278">
        <v>1.1000000000000001</v>
      </c>
      <c r="W278">
        <f t="shared" si="51"/>
        <v>1.6500000000000001</v>
      </c>
      <c r="X278">
        <f t="shared" si="48"/>
        <v>3.3000000000000003</v>
      </c>
      <c r="Y278">
        <v>3.1</v>
      </c>
      <c r="Z278">
        <v>19.899999999999999</v>
      </c>
      <c r="AA278">
        <v>19.899999999999999</v>
      </c>
      <c r="AB278">
        <v>0</v>
      </c>
      <c r="AC278">
        <f>Z278/AH278</f>
        <v>1483.2133333333334</v>
      </c>
      <c r="AD278" t="s">
        <v>582</v>
      </c>
      <c r="AE278">
        <v>1715</v>
      </c>
      <c r="AF278">
        <v>1714</v>
      </c>
      <c r="AG278">
        <f>600+2158</f>
        <v>2758</v>
      </c>
      <c r="AH278">
        <f>15/1118</f>
        <v>1.3416815742397137E-2</v>
      </c>
      <c r="AI278" t="s">
        <v>21</v>
      </c>
      <c r="AJ278">
        <v>1</v>
      </c>
      <c r="AK278">
        <v>15</v>
      </c>
      <c r="AL278">
        <v>248</v>
      </c>
      <c r="AM278">
        <f t="shared" si="49"/>
        <v>233</v>
      </c>
      <c r="AO278">
        <f t="shared" si="44"/>
        <v>1.1477832512315271</v>
      </c>
      <c r="AP278">
        <v>276</v>
      </c>
      <c r="AQ278" t="str">
        <f t="shared" si="45"/>
        <v>NA</v>
      </c>
      <c r="AR278" t="str">
        <f t="shared" si="53"/>
        <v>NA</v>
      </c>
      <c r="AS278" t="str">
        <f t="shared" si="52"/>
        <v>NA</v>
      </c>
      <c r="AT278" s="5" t="s">
        <v>405</v>
      </c>
      <c r="AU278" t="s">
        <v>303</v>
      </c>
      <c r="AX278" s="9" t="s">
        <v>455</v>
      </c>
      <c r="AY278">
        <v>139</v>
      </c>
      <c r="AZ278" t="s">
        <v>29</v>
      </c>
      <c r="BA278" t="s">
        <v>5</v>
      </c>
    </row>
    <row r="279" spans="1:53" x14ac:dyDescent="0.35">
      <c r="A279" t="s">
        <v>29</v>
      </c>
      <c r="B279">
        <v>1</v>
      </c>
      <c r="C279" t="s">
        <v>0</v>
      </c>
      <c r="D279" t="s">
        <v>4</v>
      </c>
      <c r="E279" t="s">
        <v>3</v>
      </c>
      <c r="F279" s="1">
        <v>0.64</v>
      </c>
      <c r="G279" t="s">
        <v>23</v>
      </c>
      <c r="H279">
        <v>5</v>
      </c>
      <c r="I279">
        <v>6</v>
      </c>
      <c r="J279">
        <v>13</v>
      </c>
      <c r="K279">
        <v>38</v>
      </c>
      <c r="L279">
        <v>14</v>
      </c>
      <c r="M279">
        <f t="shared" si="50"/>
        <v>52</v>
      </c>
      <c r="N279">
        <v>57</v>
      </c>
      <c r="O279">
        <v>2.71</v>
      </c>
      <c r="P279">
        <v>0.17</v>
      </c>
      <c r="Q279">
        <f t="shared" si="46"/>
        <v>1.0715050777140691E-2</v>
      </c>
      <c r="R279" s="6">
        <v>101.5</v>
      </c>
      <c r="S279">
        <v>0.83</v>
      </c>
      <c r="T279">
        <f t="shared" si="47"/>
        <v>0.96500000000000008</v>
      </c>
      <c r="U279">
        <v>1.1000000000000001</v>
      </c>
      <c r="V279">
        <v>1.1000000000000001</v>
      </c>
      <c r="W279">
        <f t="shared" si="51"/>
        <v>1.6500000000000001</v>
      </c>
      <c r="X279">
        <f t="shared" si="48"/>
        <v>3.3000000000000003</v>
      </c>
      <c r="Y279">
        <v>3.1</v>
      </c>
      <c r="Z279">
        <v>19.899999999999999</v>
      </c>
      <c r="AA279">
        <v>19.899999999999999</v>
      </c>
      <c r="AB279">
        <v>0</v>
      </c>
      <c r="AC279">
        <v>1483.2133333333334</v>
      </c>
      <c r="AD279" t="s">
        <v>583</v>
      </c>
      <c r="AE279">
        <v>1715</v>
      </c>
      <c r="AF279">
        <v>1714</v>
      </c>
      <c r="AG279">
        <f>600+2158</f>
        <v>2758</v>
      </c>
      <c r="AH279" t="s">
        <v>21</v>
      </c>
      <c r="AI279">
        <f>4/2006</f>
        <v>1.9940179461615153E-3</v>
      </c>
      <c r="AJ279">
        <v>1</v>
      </c>
      <c r="AK279">
        <v>16</v>
      </c>
      <c r="AL279">
        <f>AK279+AL278-AK278</f>
        <v>249</v>
      </c>
      <c r="AM279">
        <f t="shared" si="49"/>
        <v>233</v>
      </c>
      <c r="AO279">
        <f t="shared" si="44"/>
        <v>1.1477832512315271</v>
      </c>
      <c r="AP279">
        <v>277</v>
      </c>
      <c r="AQ279">
        <f t="shared" si="45"/>
        <v>46.500498504486544</v>
      </c>
      <c r="AR279">
        <f t="shared" si="53"/>
        <v>5.4995014955134591</v>
      </c>
      <c r="AS279">
        <f t="shared" si="52"/>
        <v>0.60717846460618141</v>
      </c>
      <c r="AU279" t="s">
        <v>303</v>
      </c>
      <c r="AX279" s="9" t="s">
        <v>455</v>
      </c>
      <c r="AY279">
        <v>139</v>
      </c>
      <c r="AZ279" t="s">
        <v>29</v>
      </c>
      <c r="BA279" t="s">
        <v>0</v>
      </c>
    </row>
    <row r="280" spans="1:53" x14ac:dyDescent="0.35">
      <c r="A280" t="s">
        <v>28</v>
      </c>
      <c r="B280">
        <v>1</v>
      </c>
      <c r="C280" t="s">
        <v>5</v>
      </c>
      <c r="D280" t="s">
        <v>4</v>
      </c>
      <c r="E280" t="s">
        <v>3</v>
      </c>
      <c r="F280" s="1">
        <v>0.64</v>
      </c>
      <c r="G280" t="s">
        <v>23</v>
      </c>
      <c r="H280">
        <v>5</v>
      </c>
      <c r="I280">
        <v>6</v>
      </c>
      <c r="J280">
        <v>13</v>
      </c>
      <c r="K280">
        <v>38</v>
      </c>
      <c r="L280">
        <v>14</v>
      </c>
      <c r="M280">
        <f t="shared" si="50"/>
        <v>52</v>
      </c>
      <c r="N280">
        <v>57</v>
      </c>
      <c r="O280">
        <v>2.71</v>
      </c>
      <c r="P280">
        <v>0.17</v>
      </c>
      <c r="Q280">
        <f t="shared" si="46"/>
        <v>1.0715050777140691E-2</v>
      </c>
      <c r="R280" s="6">
        <f>(205/2)</f>
        <v>102.5</v>
      </c>
      <c r="S280">
        <v>0.83</v>
      </c>
      <c r="T280">
        <f t="shared" si="47"/>
        <v>0.96500000000000008</v>
      </c>
      <c r="U280">
        <v>1.1000000000000001</v>
      </c>
      <c r="V280">
        <v>1.1000000000000001</v>
      </c>
      <c r="W280">
        <f t="shared" si="51"/>
        <v>1.6500000000000001</v>
      </c>
      <c r="X280">
        <f t="shared" si="48"/>
        <v>3.3000000000000003</v>
      </c>
      <c r="Y280">
        <v>3.1</v>
      </c>
      <c r="Z280">
        <v>19.899999999999999</v>
      </c>
      <c r="AA280">
        <v>19.899999999999999</v>
      </c>
      <c r="AB280">
        <v>0</v>
      </c>
      <c r="AC280">
        <v>1483.2133333333334</v>
      </c>
      <c r="AD280" t="s">
        <v>584</v>
      </c>
      <c r="AE280">
        <v>1715</v>
      </c>
      <c r="AF280">
        <v>1714</v>
      </c>
      <c r="AG280">
        <f>833+393+529+904</f>
        <v>2659</v>
      </c>
      <c r="AH280">
        <f>15/1118</f>
        <v>1.3416815742397137E-2</v>
      </c>
      <c r="AI280" t="s">
        <v>21</v>
      </c>
      <c r="AJ280">
        <v>1</v>
      </c>
      <c r="AK280">
        <v>21</v>
      </c>
      <c r="AL280">
        <f>AK280+AM280</f>
        <v>121</v>
      </c>
      <c r="AM280">
        <v>100</v>
      </c>
      <c r="AO280">
        <f t="shared" si="44"/>
        <v>0.48780487804878048</v>
      </c>
      <c r="AP280">
        <v>278</v>
      </c>
      <c r="AQ280" t="str">
        <f t="shared" si="45"/>
        <v>NA</v>
      </c>
      <c r="AR280" t="str">
        <f t="shared" si="53"/>
        <v>NA</v>
      </c>
      <c r="AS280" t="str">
        <f t="shared" si="52"/>
        <v>NA</v>
      </c>
      <c r="AU280" t="s">
        <v>303</v>
      </c>
      <c r="AV280" t="s">
        <v>432</v>
      </c>
      <c r="AX280" s="9" t="s">
        <v>452</v>
      </c>
      <c r="AY280">
        <v>139</v>
      </c>
      <c r="AZ280" t="s">
        <v>28</v>
      </c>
      <c r="BA280" t="s">
        <v>5</v>
      </c>
    </row>
    <row r="281" spans="1:53" x14ac:dyDescent="0.35">
      <c r="A281" t="s">
        <v>28</v>
      </c>
      <c r="B281">
        <v>1</v>
      </c>
      <c r="C281" t="s">
        <v>0</v>
      </c>
      <c r="D281" t="s">
        <v>4</v>
      </c>
      <c r="E281" t="s">
        <v>3</v>
      </c>
      <c r="F281" s="1">
        <v>0.64</v>
      </c>
      <c r="G281" t="s">
        <v>23</v>
      </c>
      <c r="H281">
        <v>5</v>
      </c>
      <c r="I281">
        <v>6</v>
      </c>
      <c r="J281">
        <v>13</v>
      </c>
      <c r="K281">
        <v>38</v>
      </c>
      <c r="L281">
        <v>14</v>
      </c>
      <c r="M281">
        <f t="shared" si="50"/>
        <v>52</v>
      </c>
      <c r="N281">
        <v>57</v>
      </c>
      <c r="O281">
        <v>2.71</v>
      </c>
      <c r="P281">
        <v>0.17</v>
      </c>
      <c r="Q281">
        <f t="shared" si="46"/>
        <v>1.0715050777140691E-2</v>
      </c>
      <c r="R281" s="6">
        <f>(205/2)</f>
        <v>102.5</v>
      </c>
      <c r="S281">
        <v>0.83</v>
      </c>
      <c r="T281">
        <f t="shared" si="47"/>
        <v>0.96500000000000008</v>
      </c>
      <c r="U281">
        <v>1.1000000000000001</v>
      </c>
      <c r="V281">
        <v>1.1000000000000001</v>
      </c>
      <c r="W281">
        <f t="shared" si="51"/>
        <v>1.6500000000000001</v>
      </c>
      <c r="X281">
        <f t="shared" si="48"/>
        <v>3.3000000000000003</v>
      </c>
      <c r="Y281">
        <v>3.1</v>
      </c>
      <c r="Z281">
        <v>19.899999999999999</v>
      </c>
      <c r="AA281">
        <v>19.899999999999999</v>
      </c>
      <c r="AB281">
        <v>0</v>
      </c>
      <c r="AC281">
        <v>1483.2133333333334</v>
      </c>
      <c r="AD281" t="s">
        <v>585</v>
      </c>
      <c r="AE281">
        <v>1715</v>
      </c>
      <c r="AF281">
        <v>1714</v>
      </c>
      <c r="AG281">
        <f>833+393+529+904</f>
        <v>2659</v>
      </c>
      <c r="AH281" t="s">
        <v>21</v>
      </c>
      <c r="AI281">
        <f>4/2006</f>
        <v>1.9940179461615153E-3</v>
      </c>
      <c r="AJ281">
        <v>1</v>
      </c>
      <c r="AK281">
        <v>7</v>
      </c>
      <c r="AL281">
        <f>AK281+AL280-AK280</f>
        <v>107</v>
      </c>
      <c r="AM281">
        <f t="shared" si="49"/>
        <v>100</v>
      </c>
      <c r="AO281">
        <f t="shared" si="44"/>
        <v>0.48780487804878048</v>
      </c>
      <c r="AP281">
        <v>279</v>
      </c>
      <c r="AQ281">
        <f t="shared" si="45"/>
        <v>46.697906281156534</v>
      </c>
      <c r="AR281">
        <f t="shared" si="53"/>
        <v>5.3020937188434694</v>
      </c>
      <c r="AS281">
        <f t="shared" si="52"/>
        <v>0.62127902008260938</v>
      </c>
      <c r="AU281" t="s">
        <v>303</v>
      </c>
      <c r="AV281" t="s">
        <v>432</v>
      </c>
      <c r="AX281" s="9" t="s">
        <v>452</v>
      </c>
      <c r="AY281">
        <v>139</v>
      </c>
      <c r="AZ281" t="s">
        <v>28</v>
      </c>
      <c r="BA281" t="s">
        <v>0</v>
      </c>
    </row>
    <row r="282" spans="1:53" x14ac:dyDescent="0.35">
      <c r="A282" t="s">
        <v>27</v>
      </c>
      <c r="B282">
        <v>1</v>
      </c>
      <c r="C282" t="s">
        <v>5</v>
      </c>
      <c r="D282" t="s">
        <v>4</v>
      </c>
      <c r="E282" t="s">
        <v>3</v>
      </c>
      <c r="F282" s="1">
        <v>0.64</v>
      </c>
      <c r="G282" t="s">
        <v>23</v>
      </c>
      <c r="H282">
        <v>5</v>
      </c>
      <c r="I282">
        <v>6</v>
      </c>
      <c r="J282">
        <v>13</v>
      </c>
      <c r="K282">
        <v>38</v>
      </c>
      <c r="L282">
        <v>14</v>
      </c>
      <c r="M282">
        <f t="shared" si="50"/>
        <v>52</v>
      </c>
      <c r="N282">
        <v>57</v>
      </c>
      <c r="O282">
        <v>2.71</v>
      </c>
      <c r="P282">
        <v>0.17</v>
      </c>
      <c r="Q282">
        <f t="shared" si="46"/>
        <v>1.0715050777140691E-2</v>
      </c>
      <c r="R282" s="6">
        <f>(205/2)</f>
        <v>102.5</v>
      </c>
      <c r="S282">
        <v>0.83</v>
      </c>
      <c r="T282">
        <f t="shared" si="47"/>
        <v>0.96500000000000008</v>
      </c>
      <c r="U282">
        <v>1.1000000000000001</v>
      </c>
      <c r="V282">
        <v>1.1000000000000001</v>
      </c>
      <c r="W282">
        <f t="shared" si="51"/>
        <v>1.6500000000000001</v>
      </c>
      <c r="X282">
        <f t="shared" si="48"/>
        <v>3.3000000000000003</v>
      </c>
      <c r="Y282">
        <v>3.1</v>
      </c>
      <c r="Z282">
        <v>19.899999999999999</v>
      </c>
      <c r="AA282">
        <v>19.899999999999999</v>
      </c>
      <c r="AB282">
        <v>0</v>
      </c>
      <c r="AC282">
        <v>1483.2133333333334</v>
      </c>
      <c r="AF282">
        <v>1714</v>
      </c>
      <c r="AG282">
        <f>326+3112</f>
        <v>3438</v>
      </c>
      <c r="AH282">
        <f>15/1118</f>
        <v>1.3416815742397137E-2</v>
      </c>
      <c r="AI282" t="s">
        <v>21</v>
      </c>
      <c r="AJ282">
        <v>1</v>
      </c>
      <c r="AK282">
        <v>94</v>
      </c>
      <c r="AL282">
        <f>AK282+AL283-AK283</f>
        <v>245</v>
      </c>
      <c r="AM282">
        <f t="shared" si="49"/>
        <v>151</v>
      </c>
      <c r="AO282">
        <f t="shared" si="44"/>
        <v>0.73658536585365852</v>
      </c>
      <c r="AP282">
        <v>280</v>
      </c>
      <c r="AQ282" t="str">
        <f t="shared" si="45"/>
        <v>NA</v>
      </c>
      <c r="AR282" t="str">
        <f t="shared" si="53"/>
        <v>NA</v>
      </c>
      <c r="AS282" t="str">
        <f t="shared" si="52"/>
        <v>NA</v>
      </c>
      <c r="AU282" t="s">
        <v>303</v>
      </c>
      <c r="AV282" t="s">
        <v>432</v>
      </c>
      <c r="AX282" s="13">
        <v>1</v>
      </c>
      <c r="AY282">
        <v>139</v>
      </c>
      <c r="AZ282" t="s">
        <v>27</v>
      </c>
      <c r="BA282" t="s">
        <v>5</v>
      </c>
    </row>
    <row r="283" spans="1:53" x14ac:dyDescent="0.35">
      <c r="A283" t="s">
        <v>27</v>
      </c>
      <c r="B283">
        <v>1</v>
      </c>
      <c r="C283" t="s">
        <v>0</v>
      </c>
      <c r="D283" t="s">
        <v>4</v>
      </c>
      <c r="E283" t="s">
        <v>3</v>
      </c>
      <c r="F283" s="1">
        <v>0.64</v>
      </c>
      <c r="G283" t="s">
        <v>23</v>
      </c>
      <c r="H283">
        <v>5</v>
      </c>
      <c r="I283">
        <v>6</v>
      </c>
      <c r="J283">
        <v>13</v>
      </c>
      <c r="K283">
        <v>38</v>
      </c>
      <c r="L283">
        <v>14</v>
      </c>
      <c r="M283">
        <f t="shared" si="50"/>
        <v>52</v>
      </c>
      <c r="N283">
        <v>57</v>
      </c>
      <c r="O283">
        <v>2.71</v>
      </c>
      <c r="P283">
        <v>0.17</v>
      </c>
      <c r="Q283">
        <f t="shared" si="46"/>
        <v>1.0715050777140691E-2</v>
      </c>
      <c r="R283" s="6">
        <f>(205/2)</f>
        <v>102.5</v>
      </c>
      <c r="S283">
        <v>0.83</v>
      </c>
      <c r="T283">
        <f t="shared" si="47"/>
        <v>0.96500000000000008</v>
      </c>
      <c r="U283">
        <v>1.1000000000000001</v>
      </c>
      <c r="V283">
        <v>1.1000000000000001</v>
      </c>
      <c r="W283">
        <f t="shared" si="51"/>
        <v>1.6500000000000001</v>
      </c>
      <c r="X283">
        <f t="shared" si="48"/>
        <v>3.3000000000000003</v>
      </c>
      <c r="Y283">
        <v>3.1</v>
      </c>
      <c r="Z283">
        <v>19.899999999999999</v>
      </c>
      <c r="AA283">
        <v>19.899999999999999</v>
      </c>
      <c r="AB283">
        <v>0</v>
      </c>
      <c r="AC283">
        <v>1483.2133333333334</v>
      </c>
      <c r="AF283">
        <v>1714</v>
      </c>
      <c r="AG283">
        <f>326+3112</f>
        <v>3438</v>
      </c>
      <c r="AH283" t="s">
        <v>21</v>
      </c>
      <c r="AI283">
        <f>4/2006</f>
        <v>1.9940179461615153E-3</v>
      </c>
      <c r="AJ283">
        <v>1</v>
      </c>
      <c r="AK283">
        <v>5</v>
      </c>
      <c r="AL283">
        <v>156</v>
      </c>
      <c r="AM283">
        <f t="shared" si="49"/>
        <v>151</v>
      </c>
      <c r="AO283">
        <f t="shared" si="44"/>
        <v>0.73658536585365852</v>
      </c>
      <c r="AP283">
        <v>281</v>
      </c>
      <c r="AQ283">
        <f t="shared" si="45"/>
        <v>45.14456630109671</v>
      </c>
      <c r="AR283">
        <f t="shared" si="53"/>
        <v>6.8554336989032896</v>
      </c>
      <c r="AS283">
        <f t="shared" si="52"/>
        <v>0.51032616436405076</v>
      </c>
      <c r="AU283" t="s">
        <v>303</v>
      </c>
      <c r="AV283" t="s">
        <v>432</v>
      </c>
      <c r="AX283" s="13">
        <v>1</v>
      </c>
      <c r="AY283">
        <v>139</v>
      </c>
      <c r="AZ283" t="s">
        <v>27</v>
      </c>
      <c r="BA283" t="s">
        <v>0</v>
      </c>
    </row>
    <row r="284" spans="1:53" x14ac:dyDescent="0.35">
      <c r="A284" t="s">
        <v>26</v>
      </c>
      <c r="B284">
        <v>2</v>
      </c>
      <c r="C284" t="s">
        <v>5</v>
      </c>
      <c r="D284" t="s">
        <v>4</v>
      </c>
      <c r="E284" t="s">
        <v>3</v>
      </c>
      <c r="F284" s="1">
        <v>0.65</v>
      </c>
      <c r="G284" t="s">
        <v>23</v>
      </c>
      <c r="H284">
        <v>12</v>
      </c>
      <c r="I284">
        <v>7</v>
      </c>
      <c r="J284">
        <v>7</v>
      </c>
      <c r="K284">
        <v>37</v>
      </c>
      <c r="L284">
        <v>10</v>
      </c>
      <c r="M284">
        <f t="shared" si="50"/>
        <v>47</v>
      </c>
      <c r="N284">
        <v>50</v>
      </c>
      <c r="O284">
        <v>1.68</v>
      </c>
      <c r="P284">
        <v>0.14000000000000001</v>
      </c>
      <c r="Q284">
        <f t="shared" si="46"/>
        <v>1.083608123178862E-2</v>
      </c>
      <c r="R284" s="6">
        <v>102.6</v>
      </c>
      <c r="S284">
        <v>0.75</v>
      </c>
      <c r="T284">
        <f t="shared" si="47"/>
        <v>0.85</v>
      </c>
      <c r="U284">
        <v>0.95</v>
      </c>
      <c r="V284">
        <v>1.05</v>
      </c>
      <c r="W284">
        <f t="shared" si="51"/>
        <v>1.5750000000000002</v>
      </c>
      <c r="X284">
        <f t="shared" si="48"/>
        <v>3.1500000000000004</v>
      </c>
      <c r="Y284">
        <v>0.86</v>
      </c>
      <c r="Z284">
        <v>19.899999999999999</v>
      </c>
      <c r="AA284">
        <v>19.899999999999999</v>
      </c>
      <c r="AB284">
        <v>0</v>
      </c>
      <c r="AC284">
        <v>1915</v>
      </c>
      <c r="AD284" t="s">
        <v>586</v>
      </c>
      <c r="AE284">
        <v>3091</v>
      </c>
      <c r="AF284">
        <v>3092</v>
      </c>
      <c r="AG284">
        <f>275+217</f>
        <v>492</v>
      </c>
      <c r="AH284">
        <f>15/1413</f>
        <v>1.0615711252653927E-2</v>
      </c>
      <c r="AI284" t="s">
        <v>21</v>
      </c>
      <c r="AJ284">
        <v>0</v>
      </c>
      <c r="AK284">
        <v>5</v>
      </c>
      <c r="AL284">
        <v>34</v>
      </c>
      <c r="AM284">
        <f t="shared" si="49"/>
        <v>29</v>
      </c>
      <c r="AO284">
        <f t="shared" si="44"/>
        <v>0.14132553606237819</v>
      </c>
      <c r="AP284">
        <v>282</v>
      </c>
      <c r="AQ284" t="str">
        <f t="shared" si="45"/>
        <v>NA</v>
      </c>
      <c r="AR284" t="str">
        <f t="shared" si="53"/>
        <v>NA</v>
      </c>
      <c r="AS284" t="str">
        <f t="shared" si="52"/>
        <v>NA</v>
      </c>
      <c r="AU284" t="s">
        <v>303</v>
      </c>
      <c r="AX284" s="12">
        <v>0</v>
      </c>
      <c r="AY284">
        <f>140</f>
        <v>140</v>
      </c>
      <c r="AZ284" t="s">
        <v>26</v>
      </c>
      <c r="BA284" t="s">
        <v>5</v>
      </c>
    </row>
    <row r="285" spans="1:53" x14ac:dyDescent="0.35">
      <c r="A285" t="s">
        <v>26</v>
      </c>
      <c r="B285">
        <v>2</v>
      </c>
      <c r="C285" t="s">
        <v>0</v>
      </c>
      <c r="D285" t="s">
        <v>4</v>
      </c>
      <c r="E285" t="s">
        <v>3</v>
      </c>
      <c r="F285" s="1">
        <v>0.65</v>
      </c>
      <c r="G285" t="s">
        <v>23</v>
      </c>
      <c r="H285">
        <v>12</v>
      </c>
      <c r="I285">
        <v>7</v>
      </c>
      <c r="J285">
        <v>7</v>
      </c>
      <c r="K285">
        <v>37</v>
      </c>
      <c r="L285">
        <v>10</v>
      </c>
      <c r="M285">
        <f t="shared" si="50"/>
        <v>47</v>
      </c>
      <c r="N285">
        <v>50</v>
      </c>
      <c r="O285">
        <v>1.68</v>
      </c>
      <c r="P285">
        <v>0.14000000000000001</v>
      </c>
      <c r="Q285">
        <f t="shared" si="46"/>
        <v>1.083608123178862E-2</v>
      </c>
      <c r="R285" s="6">
        <v>102.6</v>
      </c>
      <c r="S285">
        <v>0.75</v>
      </c>
      <c r="T285">
        <f t="shared" si="47"/>
        <v>0.85</v>
      </c>
      <c r="U285">
        <v>0.95</v>
      </c>
      <c r="V285">
        <v>1.05</v>
      </c>
      <c r="W285">
        <f t="shared" si="51"/>
        <v>1.5750000000000002</v>
      </c>
      <c r="X285">
        <f t="shared" si="48"/>
        <v>3.1500000000000004</v>
      </c>
      <c r="Y285">
        <v>0.86</v>
      </c>
      <c r="Z285">
        <v>19.899999999999999</v>
      </c>
      <c r="AA285">
        <v>19.899999999999999</v>
      </c>
      <c r="AB285">
        <v>0</v>
      </c>
      <c r="AC285">
        <v>1915</v>
      </c>
      <c r="AD285" t="s">
        <v>587</v>
      </c>
      <c r="AE285">
        <v>3091</v>
      </c>
      <c r="AF285">
        <v>3092</v>
      </c>
      <c r="AG285">
        <f>275+217</f>
        <v>492</v>
      </c>
      <c r="AH285" t="s">
        <v>21</v>
      </c>
      <c r="AI285">
        <f>AVERAGE(2/1030,3/1456)</f>
        <v>2.0010935666275472E-3</v>
      </c>
      <c r="AJ285">
        <v>0</v>
      </c>
      <c r="AK285">
        <v>5</v>
      </c>
      <c r="AL285">
        <v>34</v>
      </c>
      <c r="AM285">
        <f t="shared" si="49"/>
        <v>29</v>
      </c>
      <c r="AO285">
        <f t="shared" si="44"/>
        <v>0.14132553606237819</v>
      </c>
      <c r="AP285">
        <v>283</v>
      </c>
      <c r="AQ285">
        <f t="shared" si="45"/>
        <v>46.015461965219245</v>
      </c>
      <c r="AR285">
        <f t="shared" si="53"/>
        <v>0.98453803478075319</v>
      </c>
      <c r="AS285">
        <f t="shared" si="52"/>
        <v>0.90154619652192469</v>
      </c>
      <c r="AT285" s="5" t="s">
        <v>404</v>
      </c>
      <c r="AU285" t="s">
        <v>303</v>
      </c>
      <c r="AX285" s="12">
        <v>0</v>
      </c>
      <c r="AY285">
        <v>140</v>
      </c>
      <c r="AZ285" t="s">
        <v>26</v>
      </c>
      <c r="BA285" t="s">
        <v>0</v>
      </c>
    </row>
    <row r="286" spans="1:53" x14ac:dyDescent="0.35">
      <c r="A286" t="s">
        <v>25</v>
      </c>
      <c r="B286">
        <v>2</v>
      </c>
      <c r="C286" t="s">
        <v>5</v>
      </c>
      <c r="D286" t="s">
        <v>4</v>
      </c>
      <c r="E286" t="s">
        <v>3</v>
      </c>
      <c r="F286" s="1">
        <v>0.65</v>
      </c>
      <c r="G286" t="s">
        <v>23</v>
      </c>
      <c r="H286">
        <v>12</v>
      </c>
      <c r="I286">
        <v>7</v>
      </c>
      <c r="J286">
        <v>7</v>
      </c>
      <c r="K286">
        <v>37</v>
      </c>
      <c r="L286">
        <v>10</v>
      </c>
      <c r="M286">
        <f t="shared" si="50"/>
        <v>47</v>
      </c>
      <c r="N286">
        <v>50</v>
      </c>
      <c r="O286">
        <v>1.68</v>
      </c>
      <c r="P286">
        <v>0.14000000000000001</v>
      </c>
      <c r="Q286">
        <f t="shared" si="46"/>
        <v>1.083608123178862E-2</v>
      </c>
      <c r="R286" s="6">
        <v>102.6</v>
      </c>
      <c r="S286">
        <v>0.75</v>
      </c>
      <c r="T286">
        <f t="shared" si="47"/>
        <v>0.85</v>
      </c>
      <c r="U286">
        <v>0.95</v>
      </c>
      <c r="V286">
        <v>1.05</v>
      </c>
      <c r="W286">
        <f t="shared" si="51"/>
        <v>1.5750000000000002</v>
      </c>
      <c r="X286">
        <f t="shared" si="48"/>
        <v>3.1500000000000004</v>
      </c>
      <c r="Y286">
        <v>0.86</v>
      </c>
      <c r="Z286">
        <v>19.899999999999999</v>
      </c>
      <c r="AA286">
        <v>19.899999999999999</v>
      </c>
      <c r="AB286">
        <v>0</v>
      </c>
      <c r="AC286">
        <v>1915</v>
      </c>
      <c r="AD286" t="s">
        <v>588</v>
      </c>
      <c r="AE286">
        <v>3091</v>
      </c>
      <c r="AF286">
        <v>3092</v>
      </c>
      <c r="AG286">
        <f>612+540</f>
        <v>1152</v>
      </c>
      <c r="AH286">
        <f>15/1413</f>
        <v>1.0615711252653927E-2</v>
      </c>
      <c r="AI286" t="s">
        <v>21</v>
      </c>
      <c r="AJ286">
        <v>1</v>
      </c>
      <c r="AK286">
        <v>10</v>
      </c>
      <c r="AL286">
        <v>333</v>
      </c>
      <c r="AM286">
        <f t="shared" si="49"/>
        <v>323</v>
      </c>
      <c r="AO286">
        <f t="shared" si="44"/>
        <v>1.5740740740740742</v>
      </c>
      <c r="AP286">
        <v>284</v>
      </c>
      <c r="AQ286" t="str">
        <f t="shared" si="45"/>
        <v>NA</v>
      </c>
      <c r="AR286" t="str">
        <f t="shared" si="53"/>
        <v>NA</v>
      </c>
      <c r="AS286" t="str">
        <f t="shared" si="52"/>
        <v>NA</v>
      </c>
      <c r="AU286" t="s">
        <v>303</v>
      </c>
      <c r="AX286" s="13">
        <v>1</v>
      </c>
      <c r="AY286">
        <v>141</v>
      </c>
      <c r="AZ286" t="s">
        <v>25</v>
      </c>
      <c r="BA286" t="s">
        <v>5</v>
      </c>
    </row>
    <row r="287" spans="1:53" x14ac:dyDescent="0.35">
      <c r="A287" t="s">
        <v>25</v>
      </c>
      <c r="B287">
        <v>2</v>
      </c>
      <c r="C287" t="s">
        <v>0</v>
      </c>
      <c r="D287" t="s">
        <v>4</v>
      </c>
      <c r="E287" t="s">
        <v>3</v>
      </c>
      <c r="F287" s="1">
        <v>0.65</v>
      </c>
      <c r="G287" t="s">
        <v>23</v>
      </c>
      <c r="H287">
        <v>12</v>
      </c>
      <c r="I287">
        <v>7</v>
      </c>
      <c r="J287">
        <v>7</v>
      </c>
      <c r="K287">
        <v>37</v>
      </c>
      <c r="L287">
        <v>10</v>
      </c>
      <c r="M287">
        <f t="shared" si="50"/>
        <v>47</v>
      </c>
      <c r="N287">
        <v>50</v>
      </c>
      <c r="O287">
        <v>1.68</v>
      </c>
      <c r="P287">
        <v>0.14000000000000001</v>
      </c>
      <c r="Q287">
        <f t="shared" si="46"/>
        <v>1.083608123178862E-2</v>
      </c>
      <c r="R287" s="6">
        <v>102.6</v>
      </c>
      <c r="S287">
        <v>0.75</v>
      </c>
      <c r="T287">
        <f t="shared" si="47"/>
        <v>0.85</v>
      </c>
      <c r="U287">
        <v>0.95</v>
      </c>
      <c r="V287">
        <v>1.05</v>
      </c>
      <c r="W287">
        <f t="shared" si="51"/>
        <v>1.5750000000000002</v>
      </c>
      <c r="X287">
        <f t="shared" si="48"/>
        <v>3.1500000000000004</v>
      </c>
      <c r="Y287">
        <v>0.86</v>
      </c>
      <c r="Z287">
        <v>19.899999999999999</v>
      </c>
      <c r="AA287">
        <v>19.899999999999999</v>
      </c>
      <c r="AB287">
        <v>0</v>
      </c>
      <c r="AC287">
        <v>1915</v>
      </c>
      <c r="AD287" t="s">
        <v>589</v>
      </c>
      <c r="AE287">
        <v>3091</v>
      </c>
      <c r="AF287">
        <v>3092</v>
      </c>
      <c r="AG287">
        <f>612+540</f>
        <v>1152</v>
      </c>
      <c r="AH287" t="s">
        <v>21</v>
      </c>
      <c r="AI287">
        <f>AVERAGE(2/1030,3/1456)</f>
        <v>2.0010935666275472E-3</v>
      </c>
      <c r="AJ287">
        <v>1</v>
      </c>
      <c r="AK287">
        <v>6</v>
      </c>
      <c r="AL287">
        <f>AK287+AL286-AK286</f>
        <v>329</v>
      </c>
      <c r="AM287">
        <f t="shared" si="49"/>
        <v>323</v>
      </c>
      <c r="AO287">
        <f t="shared" si="44"/>
        <v>1.5740740740740742</v>
      </c>
      <c r="AP287">
        <v>285</v>
      </c>
      <c r="AQ287">
        <f t="shared" si="45"/>
        <v>44.694740211245069</v>
      </c>
      <c r="AR287">
        <f t="shared" si="53"/>
        <v>2.3052597887549342</v>
      </c>
      <c r="AS287">
        <f t="shared" si="52"/>
        <v>0.76947402112450658</v>
      </c>
      <c r="AU287" t="s">
        <v>303</v>
      </c>
      <c r="AX287" s="13">
        <v>1</v>
      </c>
      <c r="AY287">
        <v>141</v>
      </c>
      <c r="AZ287" t="s">
        <v>25</v>
      </c>
      <c r="BA287" t="s">
        <v>0</v>
      </c>
    </row>
    <row r="288" spans="1:53" x14ac:dyDescent="0.35">
      <c r="A288" t="s">
        <v>24</v>
      </c>
      <c r="B288">
        <v>1</v>
      </c>
      <c r="C288" t="s">
        <v>5</v>
      </c>
      <c r="D288" t="s">
        <v>4</v>
      </c>
      <c r="E288" t="s">
        <v>3</v>
      </c>
      <c r="F288" s="1">
        <v>0.65</v>
      </c>
      <c r="G288" t="s">
        <v>23</v>
      </c>
      <c r="H288">
        <v>12</v>
      </c>
      <c r="I288">
        <v>8</v>
      </c>
      <c r="J288">
        <v>6</v>
      </c>
      <c r="K288">
        <v>41</v>
      </c>
      <c r="L288">
        <v>17</v>
      </c>
      <c r="M288">
        <f t="shared" si="50"/>
        <v>58</v>
      </c>
      <c r="N288">
        <v>60</v>
      </c>
      <c r="O288">
        <v>2.35</v>
      </c>
      <c r="P288">
        <v>0.13</v>
      </c>
      <c r="Q288">
        <f t="shared" si="46"/>
        <v>9.0067278365159095E-3</v>
      </c>
      <c r="R288" s="6">
        <f>AT288/2</f>
        <v>114.5</v>
      </c>
      <c r="S288">
        <v>0.79</v>
      </c>
      <c r="T288">
        <f t="shared" si="47"/>
        <v>0.92</v>
      </c>
      <c r="U288">
        <v>1.05</v>
      </c>
      <c r="V288">
        <v>1.05</v>
      </c>
      <c r="W288">
        <f t="shared" si="51"/>
        <v>1.5750000000000002</v>
      </c>
      <c r="X288">
        <f t="shared" si="48"/>
        <v>3.1500000000000004</v>
      </c>
      <c r="Y288">
        <v>3.1</v>
      </c>
      <c r="Z288">
        <v>19.899999999999999</v>
      </c>
      <c r="AA288">
        <v>19.899999999999999</v>
      </c>
      <c r="AB288">
        <v>0</v>
      </c>
      <c r="AC288">
        <f>1441</f>
        <v>1441</v>
      </c>
      <c r="AD288" t="s">
        <v>590</v>
      </c>
      <c r="AE288">
        <v>1717</v>
      </c>
      <c r="AF288">
        <v>1712</v>
      </c>
      <c r="AG288">
        <f>480+513+410</f>
        <v>1403</v>
      </c>
      <c r="AH288">
        <f>15/1094</f>
        <v>1.3711151736745886E-2</v>
      </c>
      <c r="AI288" t="s">
        <v>21</v>
      </c>
      <c r="AJ288">
        <v>1</v>
      </c>
      <c r="AK288">
        <v>71</v>
      </c>
      <c r="AL288">
        <f>AK288+AM288</f>
        <v>337</v>
      </c>
      <c r="AM288">
        <v>266</v>
      </c>
      <c r="AO288">
        <f t="shared" si="44"/>
        <v>1.1615720524017468</v>
      </c>
      <c r="AP288">
        <v>286</v>
      </c>
      <c r="AQ288" t="str">
        <f t="shared" si="45"/>
        <v>NA</v>
      </c>
      <c r="AR288" t="str">
        <f t="shared" si="53"/>
        <v>NA</v>
      </c>
      <c r="AS288" t="str">
        <f t="shared" si="52"/>
        <v>NA</v>
      </c>
      <c r="AT288" s="5" t="s">
        <v>403</v>
      </c>
      <c r="AU288" t="s">
        <v>303</v>
      </c>
      <c r="AW288" t="s">
        <v>312</v>
      </c>
      <c r="AX288" s="9" t="s">
        <v>454</v>
      </c>
      <c r="AY288">
        <v>142</v>
      </c>
      <c r="AZ288" t="s">
        <v>24</v>
      </c>
      <c r="BA288" t="s">
        <v>5</v>
      </c>
    </row>
    <row r="289" spans="1:53" x14ac:dyDescent="0.35">
      <c r="A289" t="s">
        <v>24</v>
      </c>
      <c r="B289">
        <v>1</v>
      </c>
      <c r="C289" t="s">
        <v>0</v>
      </c>
      <c r="D289" t="s">
        <v>4</v>
      </c>
      <c r="E289" t="s">
        <v>3</v>
      </c>
      <c r="F289" s="1">
        <v>0.65</v>
      </c>
      <c r="G289" t="s">
        <v>23</v>
      </c>
      <c r="H289">
        <v>12</v>
      </c>
      <c r="I289">
        <v>8</v>
      </c>
      <c r="J289">
        <v>6</v>
      </c>
      <c r="K289">
        <v>41</v>
      </c>
      <c r="L289">
        <v>17</v>
      </c>
      <c r="M289">
        <f t="shared" si="50"/>
        <v>58</v>
      </c>
      <c r="N289">
        <v>60</v>
      </c>
      <c r="O289">
        <v>2.35</v>
      </c>
      <c r="P289">
        <v>0.13</v>
      </c>
      <c r="Q289">
        <f t="shared" si="46"/>
        <v>9.0067278365159095E-3</v>
      </c>
      <c r="R289" s="6">
        <v>114.5</v>
      </c>
      <c r="S289">
        <v>0.79</v>
      </c>
      <c r="T289">
        <f t="shared" si="47"/>
        <v>0.92</v>
      </c>
      <c r="U289">
        <v>1.05</v>
      </c>
      <c r="V289">
        <v>1.05</v>
      </c>
      <c r="W289">
        <f t="shared" si="51"/>
        <v>1.5750000000000002</v>
      </c>
      <c r="X289">
        <f t="shared" si="48"/>
        <v>3.1500000000000004</v>
      </c>
      <c r="Y289">
        <v>3.1</v>
      </c>
      <c r="Z289">
        <v>19.899999999999999</v>
      </c>
      <c r="AA289">
        <v>19.899999999999999</v>
      </c>
      <c r="AB289">
        <v>0</v>
      </c>
      <c r="AC289">
        <f>1441</f>
        <v>1441</v>
      </c>
      <c r="AD289" t="s">
        <v>591</v>
      </c>
      <c r="AE289">
        <v>1717</v>
      </c>
      <c r="AF289">
        <v>1712</v>
      </c>
      <c r="AG289">
        <f>480+513+410</f>
        <v>1403</v>
      </c>
      <c r="AH289" t="s">
        <v>21</v>
      </c>
      <c r="AI289">
        <f>4/2005</f>
        <v>1.99501246882793E-3</v>
      </c>
      <c r="AJ289">
        <v>1</v>
      </c>
      <c r="AK289">
        <v>5</v>
      </c>
      <c r="AL289">
        <f>AK289+AL288-AK288</f>
        <v>271</v>
      </c>
      <c r="AM289">
        <f t="shared" si="49"/>
        <v>266</v>
      </c>
      <c r="AO289">
        <f t="shared" si="44"/>
        <v>1.1615720524017468</v>
      </c>
      <c r="AP289">
        <v>287</v>
      </c>
      <c r="AQ289">
        <f t="shared" si="45"/>
        <v>55.200997506234415</v>
      </c>
      <c r="AR289">
        <f t="shared" si="53"/>
        <v>2.799002493765586</v>
      </c>
      <c r="AS289">
        <f t="shared" si="52"/>
        <v>0.83535279448437727</v>
      </c>
      <c r="AU289" t="s">
        <v>303</v>
      </c>
      <c r="AW289" t="s">
        <v>312</v>
      </c>
      <c r="AX289" s="9" t="s">
        <v>454</v>
      </c>
      <c r="AY289">
        <v>142</v>
      </c>
      <c r="AZ289" t="s">
        <v>24</v>
      </c>
      <c r="BA289" t="s">
        <v>0</v>
      </c>
    </row>
    <row r="290" spans="1:53" x14ac:dyDescent="0.35">
      <c r="A290" t="s">
        <v>22</v>
      </c>
      <c r="B290">
        <v>2</v>
      </c>
      <c r="C290" t="s">
        <v>5</v>
      </c>
      <c r="D290" t="s">
        <v>4</v>
      </c>
      <c r="E290" t="s">
        <v>3</v>
      </c>
      <c r="F290" s="1">
        <v>0.65</v>
      </c>
      <c r="G290" t="s">
        <v>23</v>
      </c>
      <c r="H290">
        <v>12</v>
      </c>
      <c r="I290">
        <v>7</v>
      </c>
      <c r="J290">
        <v>9</v>
      </c>
      <c r="K290">
        <v>35</v>
      </c>
      <c r="L290">
        <v>16</v>
      </c>
      <c r="M290">
        <f t="shared" si="50"/>
        <v>51</v>
      </c>
      <c r="N290">
        <v>55</v>
      </c>
      <c r="O290">
        <v>3.3</v>
      </c>
      <c r="P290">
        <v>0.16</v>
      </c>
      <c r="Q290">
        <f t="shared" si="46"/>
        <v>1.0447093700391078E-2</v>
      </c>
      <c r="R290" s="6">
        <v>104.5</v>
      </c>
      <c r="S290">
        <v>0.8</v>
      </c>
      <c r="T290">
        <f t="shared" si="47"/>
        <v>0.94000000000000006</v>
      </c>
      <c r="U290">
        <v>1.08</v>
      </c>
      <c r="V290">
        <v>1.1000000000000001</v>
      </c>
      <c r="W290">
        <f t="shared" si="51"/>
        <v>1.6500000000000001</v>
      </c>
      <c r="X290">
        <f t="shared" si="48"/>
        <v>3.3000000000000003</v>
      </c>
      <c r="Y290">
        <v>0.86</v>
      </c>
      <c r="Z290">
        <v>19.899999999999999</v>
      </c>
      <c r="AA290">
        <v>19.899999999999999</v>
      </c>
      <c r="AB290">
        <v>0</v>
      </c>
      <c r="AC290">
        <f>1903</f>
        <v>1903</v>
      </c>
      <c r="AD290" t="s">
        <v>592</v>
      </c>
      <c r="AE290">
        <v>3071</v>
      </c>
      <c r="AF290">
        <v>3067</v>
      </c>
      <c r="AG290">
        <f>1118+280</f>
        <v>1398</v>
      </c>
      <c r="AH290">
        <f>15/1426</f>
        <v>1.0518934081346423E-2</v>
      </c>
      <c r="AI290" t="s">
        <v>21</v>
      </c>
      <c r="AJ290">
        <v>1</v>
      </c>
      <c r="AK290">
        <v>9</v>
      </c>
      <c r="AL290">
        <v>379</v>
      </c>
      <c r="AM290">
        <f t="shared" si="49"/>
        <v>370</v>
      </c>
      <c r="AO290">
        <f t="shared" si="44"/>
        <v>1.770334928229665</v>
      </c>
      <c r="AP290">
        <v>288</v>
      </c>
      <c r="AQ290" t="str">
        <f t="shared" si="45"/>
        <v>NA</v>
      </c>
      <c r="AR290" t="str">
        <f t="shared" si="53"/>
        <v>NA</v>
      </c>
      <c r="AS290" t="str">
        <f t="shared" si="52"/>
        <v>NA</v>
      </c>
      <c r="AT290" s="5" t="s">
        <v>402</v>
      </c>
      <c r="AU290" t="s">
        <v>303</v>
      </c>
      <c r="AW290" t="s">
        <v>312</v>
      </c>
      <c r="AX290" s="13">
        <v>1</v>
      </c>
      <c r="AY290">
        <v>143</v>
      </c>
      <c r="AZ290" t="s">
        <v>22</v>
      </c>
      <c r="BA290" t="s">
        <v>5</v>
      </c>
    </row>
    <row r="291" spans="1:53" x14ac:dyDescent="0.35">
      <c r="A291" t="s">
        <v>22</v>
      </c>
      <c r="B291">
        <v>2</v>
      </c>
      <c r="C291" t="s">
        <v>0</v>
      </c>
      <c r="D291" t="s">
        <v>4</v>
      </c>
      <c r="E291" t="s">
        <v>3</v>
      </c>
      <c r="F291" s="1">
        <v>0.65</v>
      </c>
      <c r="G291" t="s">
        <v>23</v>
      </c>
      <c r="H291">
        <v>12</v>
      </c>
      <c r="I291">
        <v>7</v>
      </c>
      <c r="J291">
        <v>9</v>
      </c>
      <c r="K291">
        <v>35</v>
      </c>
      <c r="L291">
        <v>16</v>
      </c>
      <c r="M291">
        <f t="shared" si="50"/>
        <v>51</v>
      </c>
      <c r="N291">
        <v>55</v>
      </c>
      <c r="O291">
        <v>3.3</v>
      </c>
      <c r="P291">
        <v>0.16</v>
      </c>
      <c r="Q291">
        <f t="shared" si="46"/>
        <v>1.0447093700391078E-2</v>
      </c>
      <c r="R291" s="6">
        <v>104.5</v>
      </c>
      <c r="S291">
        <v>0.8</v>
      </c>
      <c r="T291">
        <f t="shared" si="47"/>
        <v>0.94000000000000006</v>
      </c>
      <c r="U291">
        <v>1.08</v>
      </c>
      <c r="V291">
        <v>1.1000000000000001</v>
      </c>
      <c r="W291">
        <f t="shared" si="51"/>
        <v>1.6500000000000001</v>
      </c>
      <c r="X291">
        <f t="shared" si="48"/>
        <v>3.3000000000000003</v>
      </c>
      <c r="Y291">
        <v>0.86</v>
      </c>
      <c r="Z291">
        <v>19.899999999999999</v>
      </c>
      <c r="AA291">
        <v>19.899999999999999</v>
      </c>
      <c r="AB291">
        <v>0</v>
      </c>
      <c r="AC291">
        <v>1903</v>
      </c>
      <c r="AD291" t="s">
        <v>593</v>
      </c>
      <c r="AE291">
        <v>3071</v>
      </c>
      <c r="AF291">
        <v>3067</v>
      </c>
      <c r="AG291">
        <f>1118+280</f>
        <v>1398</v>
      </c>
      <c r="AH291" t="s">
        <v>21</v>
      </c>
      <c r="AI291">
        <f>5.5/2728</f>
        <v>2.0161290322580645E-3</v>
      </c>
      <c r="AJ291">
        <v>1</v>
      </c>
      <c r="AK291">
        <v>8</v>
      </c>
      <c r="AL291">
        <f>AK291+AL290-AK290</f>
        <v>378</v>
      </c>
      <c r="AM291">
        <f t="shared" si="49"/>
        <v>370</v>
      </c>
      <c r="AO291">
        <f t="shared" si="44"/>
        <v>1.770334928229665</v>
      </c>
      <c r="AP291">
        <v>289</v>
      </c>
      <c r="AQ291">
        <f t="shared" si="45"/>
        <v>48.181451612903224</v>
      </c>
      <c r="AR291">
        <f t="shared" si="53"/>
        <v>2.818548387096774</v>
      </c>
      <c r="AS291">
        <f t="shared" si="52"/>
        <v>0.82384072580645162</v>
      </c>
      <c r="AU291" t="s">
        <v>303</v>
      </c>
      <c r="AW291" t="s">
        <v>312</v>
      </c>
      <c r="AX291" s="13">
        <v>1</v>
      </c>
      <c r="AY291">
        <v>143</v>
      </c>
      <c r="AZ291" t="s">
        <v>22</v>
      </c>
      <c r="BA291" t="s">
        <v>0</v>
      </c>
    </row>
    <row r="292" spans="1:53" x14ac:dyDescent="0.35">
      <c r="A292" t="s">
        <v>20</v>
      </c>
      <c r="B292">
        <v>1</v>
      </c>
      <c r="C292" t="s">
        <v>5</v>
      </c>
      <c r="D292" t="s">
        <v>4</v>
      </c>
      <c r="E292" t="s">
        <v>3</v>
      </c>
      <c r="F292" s="1">
        <v>0.66</v>
      </c>
      <c r="G292" t="s">
        <v>2</v>
      </c>
      <c r="H292">
        <v>6</v>
      </c>
      <c r="I292">
        <v>4</v>
      </c>
      <c r="J292">
        <v>7</v>
      </c>
      <c r="K292">
        <v>40</v>
      </c>
      <c r="L292">
        <v>11</v>
      </c>
      <c r="M292">
        <f t="shared" si="50"/>
        <v>51</v>
      </c>
      <c r="N292">
        <v>70</v>
      </c>
      <c r="O292">
        <v>2.2999999999999998</v>
      </c>
      <c r="P292">
        <v>0.15</v>
      </c>
      <c r="Q292">
        <f t="shared" si="46"/>
        <v>9.2327851689409622E-3</v>
      </c>
      <c r="R292" s="6">
        <f>AT292/2</f>
        <v>96</v>
      </c>
      <c r="S292">
        <v>0.85</v>
      </c>
      <c r="T292">
        <f t="shared" si="47"/>
        <v>0.94500000000000006</v>
      </c>
      <c r="U292">
        <v>1.04</v>
      </c>
      <c r="V292">
        <v>1.2</v>
      </c>
      <c r="W292">
        <f t="shared" si="51"/>
        <v>1.7999999999999998</v>
      </c>
      <c r="X292">
        <f t="shared" si="48"/>
        <v>3.5999999999999996</v>
      </c>
      <c r="Y292">
        <v>3.1</v>
      </c>
      <c r="Z292">
        <v>19.899999999999999</v>
      </c>
      <c r="AA292">
        <v>19.899999999999999</v>
      </c>
      <c r="AB292">
        <v>0</v>
      </c>
      <c r="AC292">
        <v>1450</v>
      </c>
      <c r="AD292" t="s">
        <v>594</v>
      </c>
      <c r="AE292">
        <v>1783</v>
      </c>
      <c r="AF292">
        <v>1781</v>
      </c>
      <c r="AG292">
        <f>825+320</f>
        <v>1145</v>
      </c>
      <c r="AH292">
        <f>15/1091</f>
        <v>1.3748854262144821E-2</v>
      </c>
      <c r="AI292">
        <f>5/2539</f>
        <v>1.9692792437967705E-3</v>
      </c>
      <c r="AJ292">
        <v>1</v>
      </c>
      <c r="AK292">
        <v>10</v>
      </c>
      <c r="AL292">
        <v>278</v>
      </c>
      <c r="AM292">
        <f t="shared" si="49"/>
        <v>268</v>
      </c>
      <c r="AO292">
        <f t="shared" si="44"/>
        <v>1.3958333333333333</v>
      </c>
      <c r="AP292">
        <v>290</v>
      </c>
      <c r="AQ292">
        <f t="shared" si="45"/>
        <v>48.745175265852694</v>
      </c>
      <c r="AR292">
        <f t="shared" si="53"/>
        <v>2.2548247341473022</v>
      </c>
      <c r="AS292">
        <f t="shared" si="52"/>
        <v>0.79501593325933617</v>
      </c>
      <c r="AT292" s="5" t="s">
        <v>401</v>
      </c>
      <c r="AU292" t="s">
        <v>303</v>
      </c>
      <c r="AW292" t="s">
        <v>312</v>
      </c>
      <c r="AX292" s="13">
        <v>1</v>
      </c>
      <c r="AY292">
        <v>144</v>
      </c>
      <c r="AZ292" t="s">
        <v>20</v>
      </c>
      <c r="BA292" t="s">
        <v>5</v>
      </c>
    </row>
    <row r="293" spans="1:53" x14ac:dyDescent="0.35">
      <c r="A293" t="s">
        <v>20</v>
      </c>
      <c r="B293">
        <v>1</v>
      </c>
      <c r="C293" t="s">
        <v>0</v>
      </c>
      <c r="D293" t="s">
        <v>4</v>
      </c>
      <c r="E293" t="s">
        <v>3</v>
      </c>
      <c r="F293" s="1">
        <v>0.66</v>
      </c>
      <c r="G293" t="s">
        <v>2</v>
      </c>
      <c r="H293">
        <v>6</v>
      </c>
      <c r="I293">
        <v>4</v>
      </c>
      <c r="J293">
        <v>7</v>
      </c>
      <c r="K293">
        <v>40</v>
      </c>
      <c r="L293">
        <v>11</v>
      </c>
      <c r="M293">
        <f t="shared" si="50"/>
        <v>51</v>
      </c>
      <c r="N293">
        <v>70</v>
      </c>
      <c r="O293">
        <v>2.2999999999999998</v>
      </c>
      <c r="P293">
        <v>0.15</v>
      </c>
      <c r="Q293">
        <f t="shared" si="46"/>
        <v>9.2327851689409622E-3</v>
      </c>
      <c r="R293" s="6">
        <v>96</v>
      </c>
      <c r="S293">
        <v>0.85</v>
      </c>
      <c r="T293">
        <f t="shared" si="47"/>
        <v>0.94500000000000006</v>
      </c>
      <c r="U293">
        <v>1.04</v>
      </c>
      <c r="V293">
        <v>1.2</v>
      </c>
      <c r="W293">
        <f t="shared" si="51"/>
        <v>1.7999999999999998</v>
      </c>
      <c r="X293">
        <f t="shared" si="48"/>
        <v>3.5999999999999996</v>
      </c>
      <c r="Y293">
        <v>3.1</v>
      </c>
      <c r="Z293">
        <v>19.899999999999999</v>
      </c>
      <c r="AA293">
        <v>19.899999999999999</v>
      </c>
      <c r="AB293">
        <v>0</v>
      </c>
      <c r="AC293">
        <v>1450</v>
      </c>
      <c r="AD293" t="s">
        <v>595</v>
      </c>
      <c r="AE293">
        <v>1783</v>
      </c>
      <c r="AF293">
        <v>1781</v>
      </c>
      <c r="AG293">
        <f>825+320</f>
        <v>1145</v>
      </c>
      <c r="AH293">
        <f>15/1091</f>
        <v>1.3748854262144821E-2</v>
      </c>
      <c r="AI293">
        <f>5/2539</f>
        <v>1.9692792437967705E-3</v>
      </c>
      <c r="AJ293">
        <v>1</v>
      </c>
      <c r="AK293">
        <v>14</v>
      </c>
      <c r="AL293">
        <f>AK293+AL292-AK292</f>
        <v>282</v>
      </c>
      <c r="AM293">
        <f t="shared" si="49"/>
        <v>268</v>
      </c>
      <c r="AO293">
        <f t="shared" si="44"/>
        <v>1.3958333333333333</v>
      </c>
      <c r="AP293">
        <v>291</v>
      </c>
      <c r="AQ293">
        <f t="shared" si="45"/>
        <v>48.745175265852694</v>
      </c>
      <c r="AR293">
        <f t="shared" si="53"/>
        <v>2.2548247341473022</v>
      </c>
      <c r="AS293">
        <f t="shared" si="52"/>
        <v>0.79501593325933617</v>
      </c>
      <c r="AU293" t="s">
        <v>303</v>
      </c>
      <c r="AW293" t="s">
        <v>312</v>
      </c>
      <c r="AX293" s="13">
        <v>1</v>
      </c>
      <c r="AY293">
        <v>144</v>
      </c>
      <c r="AZ293" t="s">
        <v>20</v>
      </c>
      <c r="BA293" t="s">
        <v>0</v>
      </c>
    </row>
    <row r="294" spans="1:53" x14ac:dyDescent="0.35">
      <c r="A294" t="s">
        <v>19</v>
      </c>
      <c r="B294">
        <v>2</v>
      </c>
      <c r="C294" t="s">
        <v>5</v>
      </c>
      <c r="D294" t="s">
        <v>4</v>
      </c>
      <c r="E294" t="s">
        <v>3</v>
      </c>
      <c r="F294" s="1">
        <v>0.66</v>
      </c>
      <c r="G294" t="s">
        <v>2</v>
      </c>
      <c r="H294">
        <v>6</v>
      </c>
      <c r="I294">
        <v>8</v>
      </c>
      <c r="J294">
        <v>9</v>
      </c>
      <c r="K294">
        <v>43</v>
      </c>
      <c r="L294">
        <v>19</v>
      </c>
      <c r="M294">
        <f t="shared" si="50"/>
        <v>62</v>
      </c>
      <c r="N294">
        <v>63</v>
      </c>
      <c r="O294">
        <v>2.85</v>
      </c>
      <c r="P294">
        <v>0.15</v>
      </c>
      <c r="Q294">
        <f t="shared" si="46"/>
        <v>1.1705707363970082E-2</v>
      </c>
      <c r="R294" s="6">
        <v>101.3</v>
      </c>
      <c r="S294">
        <v>0.75</v>
      </c>
      <c r="T294">
        <f t="shared" si="47"/>
        <v>0.82499999999999996</v>
      </c>
      <c r="U294">
        <v>0.9</v>
      </c>
      <c r="V294">
        <v>1.1000000000000001</v>
      </c>
      <c r="W294">
        <f t="shared" si="51"/>
        <v>1.6500000000000001</v>
      </c>
      <c r="X294">
        <f t="shared" si="48"/>
        <v>3.3000000000000003</v>
      </c>
      <c r="Y294">
        <v>0.86</v>
      </c>
      <c r="Z294">
        <v>19.899999999999999</v>
      </c>
      <c r="AA294">
        <v>19.899999999999999</v>
      </c>
      <c r="AB294" s="3">
        <v>9</v>
      </c>
      <c r="AC294" s="3">
        <v>1846</v>
      </c>
      <c r="AD294" t="s">
        <v>596</v>
      </c>
      <c r="AE294">
        <v>2316</v>
      </c>
      <c r="AF294" s="3">
        <v>2315</v>
      </c>
      <c r="AG294" s="2">
        <v>237</v>
      </c>
      <c r="AH294" s="2">
        <v>1.0788779669144001E-2</v>
      </c>
      <c r="AI294" s="2">
        <v>2.0052866648436699E-3</v>
      </c>
      <c r="AJ294">
        <v>0</v>
      </c>
      <c r="AK294">
        <v>5</v>
      </c>
      <c r="AL294">
        <v>16</v>
      </c>
      <c r="AM294">
        <f t="shared" si="49"/>
        <v>11</v>
      </c>
      <c r="AO294">
        <f t="shared" si="44"/>
        <v>5.4294175715695954E-2</v>
      </c>
      <c r="AP294">
        <v>292</v>
      </c>
      <c r="AQ294">
        <f t="shared" si="45"/>
        <v>61.524747060432048</v>
      </c>
      <c r="AR294">
        <f t="shared" si="53"/>
        <v>0.47525293956794978</v>
      </c>
      <c r="AS294">
        <f t="shared" si="52"/>
        <v>0.97498668739116068</v>
      </c>
      <c r="AU294" t="s">
        <v>303</v>
      </c>
      <c r="AX294" s="12">
        <v>0</v>
      </c>
      <c r="AY294">
        <v>145</v>
      </c>
      <c r="AZ294" t="s">
        <v>19</v>
      </c>
      <c r="BA294" t="s">
        <v>5</v>
      </c>
    </row>
    <row r="295" spans="1:53" x14ac:dyDescent="0.35">
      <c r="A295" t="s">
        <v>19</v>
      </c>
      <c r="B295">
        <v>2</v>
      </c>
      <c r="C295" t="s">
        <v>0</v>
      </c>
      <c r="D295" t="s">
        <v>4</v>
      </c>
      <c r="E295" t="s">
        <v>3</v>
      </c>
      <c r="F295" s="1">
        <v>0.66</v>
      </c>
      <c r="G295" t="s">
        <v>2</v>
      </c>
      <c r="H295">
        <v>6</v>
      </c>
      <c r="I295">
        <v>8</v>
      </c>
      <c r="J295">
        <v>9</v>
      </c>
      <c r="K295">
        <v>43</v>
      </c>
      <c r="L295">
        <v>19</v>
      </c>
      <c r="M295">
        <f t="shared" si="50"/>
        <v>62</v>
      </c>
      <c r="N295">
        <v>63</v>
      </c>
      <c r="O295">
        <v>2.85</v>
      </c>
      <c r="P295">
        <v>0.15</v>
      </c>
      <c r="Q295">
        <f t="shared" si="46"/>
        <v>1.1705707363970082E-2</v>
      </c>
      <c r="R295" s="6">
        <v>101.3</v>
      </c>
      <c r="S295">
        <v>0.75</v>
      </c>
      <c r="T295">
        <f t="shared" si="47"/>
        <v>0.82499999999999996</v>
      </c>
      <c r="U295">
        <v>0.9</v>
      </c>
      <c r="V295">
        <v>1.1000000000000001</v>
      </c>
      <c r="W295">
        <f t="shared" si="51"/>
        <v>1.6500000000000001</v>
      </c>
      <c r="X295">
        <f t="shared" si="48"/>
        <v>3.3000000000000003</v>
      </c>
      <c r="Y295">
        <v>0.86</v>
      </c>
      <c r="Z295">
        <v>19.899999999999999</v>
      </c>
      <c r="AA295">
        <v>19.899999999999999</v>
      </c>
      <c r="AB295" s="3">
        <v>9</v>
      </c>
      <c r="AC295" s="3">
        <v>1846</v>
      </c>
      <c r="AD295" t="s">
        <v>597</v>
      </c>
      <c r="AE295">
        <v>2316</v>
      </c>
      <c r="AF295" s="3">
        <v>2315</v>
      </c>
      <c r="AG295" s="2">
        <v>237</v>
      </c>
      <c r="AH295" s="2">
        <v>1.0788779669144001E-2</v>
      </c>
      <c r="AI295" s="2">
        <v>2.0052866648436699E-3</v>
      </c>
      <c r="AJ295">
        <v>0</v>
      </c>
      <c r="AK295">
        <v>7</v>
      </c>
      <c r="AL295">
        <v>18</v>
      </c>
      <c r="AM295">
        <f t="shared" si="49"/>
        <v>11</v>
      </c>
      <c r="AO295">
        <f t="shared" si="44"/>
        <v>5.4294175715695954E-2</v>
      </c>
      <c r="AP295">
        <v>293</v>
      </c>
      <c r="AQ295">
        <f t="shared" si="45"/>
        <v>61.524747060432048</v>
      </c>
      <c r="AR295">
        <f t="shared" si="53"/>
        <v>0.47525293956794978</v>
      </c>
      <c r="AS295">
        <f t="shared" si="52"/>
        <v>0.97498668739116068</v>
      </c>
      <c r="AT295" s="5" t="s">
        <v>400</v>
      </c>
      <c r="AU295" t="s">
        <v>303</v>
      </c>
      <c r="AX295" s="12">
        <v>0</v>
      </c>
      <c r="AY295">
        <v>145</v>
      </c>
      <c r="AZ295" t="s">
        <v>19</v>
      </c>
      <c r="BA295" t="s">
        <v>0</v>
      </c>
    </row>
    <row r="296" spans="1:53" x14ac:dyDescent="0.35">
      <c r="A296" t="s">
        <v>18</v>
      </c>
      <c r="B296">
        <v>2</v>
      </c>
      <c r="C296" t="s">
        <v>5</v>
      </c>
      <c r="D296" t="s">
        <v>4</v>
      </c>
      <c r="E296" t="s">
        <v>3</v>
      </c>
      <c r="F296" s="1">
        <v>0.66</v>
      </c>
      <c r="G296" t="s">
        <v>2</v>
      </c>
      <c r="H296">
        <v>6</v>
      </c>
      <c r="I296">
        <v>8</v>
      </c>
      <c r="J296">
        <v>9</v>
      </c>
      <c r="K296">
        <v>43</v>
      </c>
      <c r="L296">
        <v>19</v>
      </c>
      <c r="M296">
        <f t="shared" si="50"/>
        <v>62</v>
      </c>
      <c r="N296">
        <v>63</v>
      </c>
      <c r="O296">
        <v>2.85</v>
      </c>
      <c r="P296">
        <v>0.15</v>
      </c>
      <c r="Q296">
        <f t="shared" si="46"/>
        <v>1.1705707363970082E-2</v>
      </c>
      <c r="R296" s="6">
        <v>101.3</v>
      </c>
      <c r="S296">
        <v>0.75</v>
      </c>
      <c r="T296">
        <f t="shared" si="47"/>
        <v>0.82499999999999996</v>
      </c>
      <c r="U296">
        <v>0.9</v>
      </c>
      <c r="V296">
        <v>1.1000000000000001</v>
      </c>
      <c r="W296">
        <f t="shared" si="51"/>
        <v>1.6500000000000001</v>
      </c>
      <c r="X296">
        <f t="shared" si="48"/>
        <v>3.3000000000000003</v>
      </c>
      <c r="Y296">
        <v>0.86</v>
      </c>
      <c r="Z296">
        <v>19.899999999999999</v>
      </c>
      <c r="AA296">
        <v>19.899999999999999</v>
      </c>
      <c r="AB296" s="3">
        <v>9</v>
      </c>
      <c r="AC296" s="3">
        <v>1846</v>
      </c>
      <c r="AD296" t="s">
        <v>598</v>
      </c>
      <c r="AE296">
        <v>2316</v>
      </c>
      <c r="AF296" s="3">
        <v>2315</v>
      </c>
      <c r="AG296" s="2">
        <v>425</v>
      </c>
      <c r="AH296" s="2">
        <v>1.0788779669144001E-2</v>
      </c>
      <c r="AI296" s="2" t="s">
        <v>21</v>
      </c>
      <c r="AJ296">
        <v>1</v>
      </c>
      <c r="AK296">
        <v>14</v>
      </c>
      <c r="AL296">
        <v>199</v>
      </c>
      <c r="AM296">
        <f t="shared" si="49"/>
        <v>185</v>
      </c>
      <c r="AO296">
        <f t="shared" si="44"/>
        <v>0.91312931885488646</v>
      </c>
      <c r="AP296">
        <v>294</v>
      </c>
      <c r="AQ296" t="str">
        <f t="shared" si="45"/>
        <v>NA</v>
      </c>
      <c r="AR296" t="str">
        <f t="shared" si="53"/>
        <v>NA</v>
      </c>
      <c r="AS296" t="str">
        <f t="shared" si="52"/>
        <v>NA</v>
      </c>
      <c r="AU296" t="s">
        <v>303</v>
      </c>
      <c r="AX296" s="13">
        <v>1</v>
      </c>
      <c r="AY296">
        <v>146</v>
      </c>
      <c r="AZ296" t="s">
        <v>18</v>
      </c>
      <c r="BA296" t="s">
        <v>5</v>
      </c>
    </row>
    <row r="297" spans="1:53" x14ac:dyDescent="0.35">
      <c r="A297" t="s">
        <v>18</v>
      </c>
      <c r="B297">
        <v>2</v>
      </c>
      <c r="C297" t="s">
        <v>0</v>
      </c>
      <c r="D297" t="s">
        <v>4</v>
      </c>
      <c r="E297" t="s">
        <v>3</v>
      </c>
      <c r="F297" s="1">
        <v>0.66</v>
      </c>
      <c r="G297" t="s">
        <v>2</v>
      </c>
      <c r="H297">
        <v>6</v>
      </c>
      <c r="I297">
        <v>8</v>
      </c>
      <c r="J297">
        <v>9</v>
      </c>
      <c r="K297">
        <v>43</v>
      </c>
      <c r="L297">
        <v>19</v>
      </c>
      <c r="M297">
        <f t="shared" si="50"/>
        <v>62</v>
      </c>
      <c r="N297">
        <v>63</v>
      </c>
      <c r="O297">
        <v>2.85</v>
      </c>
      <c r="P297">
        <v>0.15</v>
      </c>
      <c r="Q297">
        <f t="shared" si="46"/>
        <v>1.1705707363970082E-2</v>
      </c>
      <c r="R297" s="6">
        <v>101.3</v>
      </c>
      <c r="S297">
        <v>0.75</v>
      </c>
      <c r="T297">
        <f t="shared" si="47"/>
        <v>0.82499999999999996</v>
      </c>
      <c r="U297">
        <v>0.9</v>
      </c>
      <c r="V297">
        <v>1.1000000000000001</v>
      </c>
      <c r="W297">
        <f t="shared" si="51"/>
        <v>1.6500000000000001</v>
      </c>
      <c r="X297">
        <f t="shared" si="48"/>
        <v>3.3000000000000003</v>
      </c>
      <c r="Y297">
        <v>0.86</v>
      </c>
      <c r="Z297">
        <v>19.899999999999999</v>
      </c>
      <c r="AA297">
        <v>19.899999999999999</v>
      </c>
      <c r="AB297" s="3">
        <v>9</v>
      </c>
      <c r="AC297" s="3">
        <v>1846</v>
      </c>
      <c r="AD297" t="s">
        <v>599</v>
      </c>
      <c r="AE297">
        <v>2316</v>
      </c>
      <c r="AF297" s="3">
        <v>2315</v>
      </c>
      <c r="AG297" s="2">
        <v>425</v>
      </c>
      <c r="AH297" s="2" t="s">
        <v>21</v>
      </c>
      <c r="AI297" s="2">
        <v>2.0052866648436699E-3</v>
      </c>
      <c r="AJ297">
        <v>1</v>
      </c>
      <c r="AK297">
        <v>11</v>
      </c>
      <c r="AL297">
        <f>AK297+AL296-AK296</f>
        <v>196</v>
      </c>
      <c r="AM297">
        <f t="shared" si="49"/>
        <v>185</v>
      </c>
      <c r="AO297">
        <f t="shared" si="44"/>
        <v>0.91312931885488646</v>
      </c>
      <c r="AP297">
        <v>295</v>
      </c>
      <c r="AQ297">
        <f t="shared" si="45"/>
        <v>61.147753167441444</v>
      </c>
      <c r="AR297">
        <f t="shared" si="53"/>
        <v>0.85224683255855971</v>
      </c>
      <c r="AS297">
        <f t="shared" si="52"/>
        <v>0.95514490354954951</v>
      </c>
      <c r="AU297" t="s">
        <v>303</v>
      </c>
      <c r="AX297" s="13">
        <v>1</v>
      </c>
      <c r="AY297">
        <v>146</v>
      </c>
      <c r="AZ297" t="s">
        <v>18</v>
      </c>
      <c r="BA297" t="s">
        <v>0</v>
      </c>
    </row>
    <row r="298" spans="1:53" x14ac:dyDescent="0.35">
      <c r="A298" t="s">
        <v>17</v>
      </c>
      <c r="B298">
        <v>1</v>
      </c>
      <c r="C298" t="s">
        <v>5</v>
      </c>
      <c r="D298" t="s">
        <v>4</v>
      </c>
      <c r="E298" t="s">
        <v>3</v>
      </c>
      <c r="F298" s="1">
        <v>0.66</v>
      </c>
      <c r="G298" t="s">
        <v>2</v>
      </c>
      <c r="H298">
        <v>6</v>
      </c>
      <c r="I298">
        <v>8</v>
      </c>
      <c r="J298">
        <v>9</v>
      </c>
      <c r="K298">
        <v>43</v>
      </c>
      <c r="L298">
        <v>9</v>
      </c>
      <c r="M298">
        <f t="shared" si="50"/>
        <v>52</v>
      </c>
      <c r="N298">
        <v>62</v>
      </c>
      <c r="O298">
        <v>2.73</v>
      </c>
      <c r="P298">
        <v>0.16</v>
      </c>
      <c r="Q298">
        <f t="shared" si="46"/>
        <v>1.3293636148495939E-2</v>
      </c>
      <c r="R298" s="6">
        <f>AT298/2</f>
        <v>99.5</v>
      </c>
      <c r="S298">
        <v>0.8</v>
      </c>
      <c r="T298">
        <f t="shared" si="47"/>
        <v>0.8</v>
      </c>
      <c r="U298">
        <v>0.8</v>
      </c>
      <c r="V298">
        <v>1.07</v>
      </c>
      <c r="W298">
        <f t="shared" si="51"/>
        <v>1.605</v>
      </c>
      <c r="X298">
        <f t="shared" si="48"/>
        <v>3.21</v>
      </c>
      <c r="Y298">
        <v>3.1</v>
      </c>
      <c r="Z298">
        <v>19.899999999999999</v>
      </c>
      <c r="AA298">
        <v>19.899999999999999</v>
      </c>
      <c r="AB298" s="3">
        <v>2</v>
      </c>
      <c r="AC298" s="3">
        <v>1459</v>
      </c>
      <c r="AD298" t="s">
        <v>600</v>
      </c>
      <c r="AE298">
        <v>1810</v>
      </c>
      <c r="AF298" s="3">
        <v>1791</v>
      </c>
      <c r="AG298" s="2">
        <v>295</v>
      </c>
      <c r="AH298" s="2">
        <v>1.3658201784488601E-2</v>
      </c>
      <c r="AI298" s="2" t="s">
        <v>21</v>
      </c>
      <c r="AJ298">
        <v>1</v>
      </c>
      <c r="AK298">
        <v>6</v>
      </c>
      <c r="AL298">
        <v>141</v>
      </c>
      <c r="AM298">
        <f t="shared" si="49"/>
        <v>135</v>
      </c>
      <c r="AO298">
        <f t="shared" si="44"/>
        <v>0.67839195979899503</v>
      </c>
      <c r="AP298">
        <v>296</v>
      </c>
      <c r="AQ298" t="str">
        <f t="shared" si="45"/>
        <v>NA</v>
      </c>
      <c r="AR298" t="str">
        <f t="shared" si="53"/>
        <v>NA</v>
      </c>
      <c r="AS298" t="str">
        <f t="shared" si="52"/>
        <v>NA</v>
      </c>
      <c r="AT298" s="5" t="s">
        <v>369</v>
      </c>
      <c r="AU298" t="s">
        <v>303</v>
      </c>
      <c r="AX298" s="13">
        <v>1</v>
      </c>
      <c r="AY298">
        <v>147</v>
      </c>
      <c r="AZ298" t="s">
        <v>17</v>
      </c>
      <c r="BA298" t="s">
        <v>5</v>
      </c>
    </row>
    <row r="299" spans="1:53" x14ac:dyDescent="0.35">
      <c r="A299" t="s">
        <v>17</v>
      </c>
      <c r="B299">
        <v>1</v>
      </c>
      <c r="C299" t="s">
        <v>0</v>
      </c>
      <c r="D299" t="s">
        <v>4</v>
      </c>
      <c r="E299" t="s">
        <v>3</v>
      </c>
      <c r="F299" s="1">
        <v>0.66</v>
      </c>
      <c r="G299" t="s">
        <v>2</v>
      </c>
      <c r="H299">
        <v>6</v>
      </c>
      <c r="I299">
        <v>8</v>
      </c>
      <c r="J299">
        <v>9</v>
      </c>
      <c r="K299">
        <v>43</v>
      </c>
      <c r="L299">
        <v>9</v>
      </c>
      <c r="M299">
        <f t="shared" si="50"/>
        <v>52</v>
      </c>
      <c r="N299">
        <v>62</v>
      </c>
      <c r="O299">
        <v>2.73</v>
      </c>
      <c r="P299">
        <v>0.16</v>
      </c>
      <c r="Q299">
        <f t="shared" si="46"/>
        <v>6.0676503643427599E-3</v>
      </c>
      <c r="R299" s="6">
        <v>99.5</v>
      </c>
      <c r="S299">
        <v>1.8</v>
      </c>
      <c r="T299">
        <f t="shared" si="47"/>
        <v>1.3</v>
      </c>
      <c r="U299">
        <v>0.8</v>
      </c>
      <c r="V299">
        <v>1.07</v>
      </c>
      <c r="W299">
        <f t="shared" si="51"/>
        <v>1.605</v>
      </c>
      <c r="X299">
        <f t="shared" si="48"/>
        <v>3.21</v>
      </c>
      <c r="Y299">
        <v>3.1</v>
      </c>
      <c r="Z299">
        <v>19.899999999999999</v>
      </c>
      <c r="AA299">
        <v>19.899999999999999</v>
      </c>
      <c r="AB299" s="3">
        <v>2</v>
      </c>
      <c r="AC299" s="3">
        <v>1459</v>
      </c>
      <c r="AD299" t="s">
        <v>601</v>
      </c>
      <c r="AE299">
        <v>1810</v>
      </c>
      <c r="AF299" s="3">
        <v>1791</v>
      </c>
      <c r="AG299" s="2">
        <v>295</v>
      </c>
      <c r="AH299" s="2" t="s">
        <v>21</v>
      </c>
      <c r="AI299" s="2">
        <v>1.9689345876175799E-3</v>
      </c>
      <c r="AJ299">
        <v>1</v>
      </c>
      <c r="AK299">
        <v>5</v>
      </c>
      <c r="AL299">
        <f>AK299+AL298-AK298</f>
        <v>140</v>
      </c>
      <c r="AM299">
        <f t="shared" si="49"/>
        <v>135</v>
      </c>
      <c r="AO299">
        <f t="shared" si="44"/>
        <v>0.67839195979899503</v>
      </c>
      <c r="AP299">
        <v>297</v>
      </c>
      <c r="AQ299">
        <f t="shared" si="45"/>
        <v>51.419164296652816</v>
      </c>
      <c r="AR299">
        <f t="shared" si="53"/>
        <v>0.58083570334718604</v>
      </c>
      <c r="AS299">
        <f t="shared" si="52"/>
        <v>0.93546269962809048</v>
      </c>
      <c r="AU299" t="s">
        <v>303</v>
      </c>
      <c r="AX299" s="13">
        <v>1</v>
      </c>
      <c r="AY299">
        <v>147</v>
      </c>
      <c r="AZ299" t="s">
        <v>17</v>
      </c>
      <c r="BA299" t="s">
        <v>0</v>
      </c>
    </row>
    <row r="300" spans="1:53" x14ac:dyDescent="0.35">
      <c r="A300" t="s">
        <v>16</v>
      </c>
      <c r="B300">
        <v>1</v>
      </c>
      <c r="C300" t="s">
        <v>5</v>
      </c>
      <c r="D300" t="s">
        <v>4</v>
      </c>
      <c r="E300" t="s">
        <v>3</v>
      </c>
      <c r="F300" s="1">
        <v>0.67</v>
      </c>
      <c r="G300" t="s">
        <v>12</v>
      </c>
      <c r="H300">
        <v>7</v>
      </c>
      <c r="I300">
        <v>10</v>
      </c>
      <c r="J300">
        <v>5</v>
      </c>
      <c r="K300">
        <v>45</v>
      </c>
      <c r="L300">
        <v>7</v>
      </c>
      <c r="M300">
        <f t="shared" si="50"/>
        <v>52</v>
      </c>
      <c r="N300">
        <v>62</v>
      </c>
      <c r="O300">
        <v>2.25</v>
      </c>
      <c r="P300">
        <v>0.13</v>
      </c>
      <c r="Q300">
        <f t="shared" si="46"/>
        <v>8.5430266227391576E-3</v>
      </c>
      <c r="R300" s="6">
        <v>86.2</v>
      </c>
      <c r="S300">
        <v>0.75</v>
      </c>
      <c r="T300">
        <v>1</v>
      </c>
      <c r="U300">
        <v>1.05</v>
      </c>
      <c r="V300">
        <v>1.1000000000000001</v>
      </c>
      <c r="W300">
        <f t="shared" si="51"/>
        <v>1.6500000000000001</v>
      </c>
      <c r="X300">
        <f t="shared" si="48"/>
        <v>3.3000000000000003</v>
      </c>
      <c r="Y300">
        <v>3.1</v>
      </c>
      <c r="Z300">
        <v>19.899999999999999</v>
      </c>
      <c r="AA300">
        <v>19.899999999999999</v>
      </c>
      <c r="AB300" s="3">
        <v>0</v>
      </c>
      <c r="AC300" s="3">
        <v>1457</v>
      </c>
      <c r="AD300" t="s">
        <v>602</v>
      </c>
      <c r="AE300">
        <v>1797</v>
      </c>
      <c r="AF300" s="3">
        <v>1791</v>
      </c>
      <c r="AG300" s="2">
        <v>115</v>
      </c>
      <c r="AH300" s="2">
        <v>1.3654984069185199E-2</v>
      </c>
      <c r="AI300" s="2" t="s">
        <v>21</v>
      </c>
      <c r="AJ300">
        <v>0</v>
      </c>
      <c r="AK300">
        <v>8</v>
      </c>
      <c r="AL300">
        <v>10</v>
      </c>
      <c r="AM300">
        <f t="shared" si="49"/>
        <v>2</v>
      </c>
      <c r="AO300">
        <f t="shared" si="44"/>
        <v>1.1600928074245939E-2</v>
      </c>
      <c r="AP300">
        <v>298</v>
      </c>
      <c r="AQ300" t="str">
        <f t="shared" si="45"/>
        <v>NA</v>
      </c>
      <c r="AR300" t="str">
        <f t="shared" si="53"/>
        <v>NA</v>
      </c>
      <c r="AS300" t="str">
        <f t="shared" si="52"/>
        <v>NA</v>
      </c>
      <c r="AT300" s="5" t="s">
        <v>399</v>
      </c>
      <c r="AU300" t="s">
        <v>303</v>
      </c>
      <c r="AX300" s="12">
        <v>0</v>
      </c>
      <c r="AY300">
        <v>148</v>
      </c>
      <c r="AZ300" t="s">
        <v>16</v>
      </c>
      <c r="BA300" t="s">
        <v>5</v>
      </c>
    </row>
    <row r="301" spans="1:53" x14ac:dyDescent="0.35">
      <c r="A301" t="s">
        <v>16</v>
      </c>
      <c r="B301">
        <v>1</v>
      </c>
      <c r="C301" t="s">
        <v>0</v>
      </c>
      <c r="D301" t="s">
        <v>4</v>
      </c>
      <c r="E301" t="s">
        <v>3</v>
      </c>
      <c r="F301" s="1">
        <v>0.67</v>
      </c>
      <c r="G301" t="s">
        <v>12</v>
      </c>
      <c r="H301">
        <v>7</v>
      </c>
      <c r="I301">
        <v>10</v>
      </c>
      <c r="J301">
        <v>5</v>
      </c>
      <c r="K301">
        <v>45</v>
      </c>
      <c r="L301">
        <v>7</v>
      </c>
      <c r="M301">
        <f t="shared" si="50"/>
        <v>52</v>
      </c>
      <c r="N301">
        <v>62</v>
      </c>
      <c r="O301">
        <v>2.25</v>
      </c>
      <c r="P301">
        <v>0.13</v>
      </c>
      <c r="Q301">
        <f t="shared" si="46"/>
        <v>8.5430266227391576E-3</v>
      </c>
      <c r="R301" s="6">
        <v>86.2</v>
      </c>
      <c r="S301">
        <v>0.75</v>
      </c>
      <c r="T301">
        <v>1</v>
      </c>
      <c r="U301">
        <v>1.05</v>
      </c>
      <c r="V301">
        <v>1.1000000000000001</v>
      </c>
      <c r="W301">
        <f t="shared" si="51"/>
        <v>1.6500000000000001</v>
      </c>
      <c r="X301">
        <f t="shared" si="48"/>
        <v>3.3000000000000003</v>
      </c>
      <c r="Y301">
        <v>3.1</v>
      </c>
      <c r="Z301">
        <v>19.899999999999999</v>
      </c>
      <c r="AA301">
        <v>19.899999999999999</v>
      </c>
      <c r="AB301" s="3">
        <v>0</v>
      </c>
      <c r="AC301" s="3">
        <v>1457</v>
      </c>
      <c r="AD301" t="s">
        <v>603</v>
      </c>
      <c r="AE301">
        <v>1797</v>
      </c>
      <c r="AF301" s="3">
        <v>1791</v>
      </c>
      <c r="AG301" s="2">
        <v>115</v>
      </c>
      <c r="AH301" s="2" t="s">
        <v>21</v>
      </c>
      <c r="AI301" s="2">
        <v>2.0052866648436699E-3</v>
      </c>
      <c r="AJ301">
        <v>0</v>
      </c>
      <c r="AK301">
        <v>8</v>
      </c>
      <c r="AL301">
        <v>10</v>
      </c>
      <c r="AM301">
        <f t="shared" si="49"/>
        <v>2</v>
      </c>
      <c r="AO301">
        <f t="shared" si="44"/>
        <v>1.1600928074245939E-2</v>
      </c>
      <c r="AP301">
        <v>299</v>
      </c>
      <c r="AQ301">
        <f t="shared" si="45"/>
        <v>51.769392033542978</v>
      </c>
      <c r="AR301">
        <f t="shared" si="53"/>
        <v>0.23060796645702203</v>
      </c>
      <c r="AS301">
        <f t="shared" si="52"/>
        <v>0.96705600479185405</v>
      </c>
      <c r="AU301" t="s">
        <v>303</v>
      </c>
      <c r="AX301" s="12">
        <v>0</v>
      </c>
      <c r="AY301">
        <v>148</v>
      </c>
      <c r="AZ301" t="s">
        <v>16</v>
      </c>
      <c r="BA301" t="s">
        <v>0</v>
      </c>
    </row>
    <row r="302" spans="1:53" x14ac:dyDescent="0.35">
      <c r="A302" t="s">
        <v>15</v>
      </c>
      <c r="B302">
        <v>2</v>
      </c>
      <c r="C302" t="s">
        <v>5</v>
      </c>
      <c r="D302" t="s">
        <v>4</v>
      </c>
      <c r="E302" t="s">
        <v>3</v>
      </c>
      <c r="F302" s="1">
        <v>0.67</v>
      </c>
      <c r="G302" t="s">
        <v>12</v>
      </c>
      <c r="H302">
        <v>7</v>
      </c>
      <c r="I302">
        <v>10</v>
      </c>
      <c r="J302">
        <v>7</v>
      </c>
      <c r="K302">
        <v>36</v>
      </c>
      <c r="L302">
        <v>8</v>
      </c>
      <c r="M302">
        <f t="shared" si="50"/>
        <v>44</v>
      </c>
      <c r="N302">
        <v>56</v>
      </c>
      <c r="O302">
        <v>1.5</v>
      </c>
      <c r="P302">
        <v>0.12</v>
      </c>
      <c r="Q302">
        <f t="shared" si="46"/>
        <v>8.3793323115180177E-3</v>
      </c>
      <c r="R302" s="6">
        <v>86.4</v>
      </c>
      <c r="S302">
        <v>0.73</v>
      </c>
      <c r="T302">
        <v>0.83</v>
      </c>
      <c r="U302">
        <v>1.05</v>
      </c>
      <c r="V302">
        <v>1.1499999999999999</v>
      </c>
      <c r="W302">
        <f t="shared" si="51"/>
        <v>1.7249999999999999</v>
      </c>
      <c r="X302">
        <f t="shared" si="48"/>
        <v>3.4499999999999997</v>
      </c>
      <c r="Y302">
        <v>0.86</v>
      </c>
      <c r="Z302">
        <v>19.899999999999999</v>
      </c>
      <c r="AA302">
        <v>19.899999999999999</v>
      </c>
      <c r="AB302" s="3">
        <v>8</v>
      </c>
      <c r="AC302" s="3">
        <v>1939</v>
      </c>
      <c r="AD302" t="s">
        <v>604</v>
      </c>
      <c r="AE302">
        <v>3018</v>
      </c>
      <c r="AF302" s="3">
        <v>2921</v>
      </c>
      <c r="AG302" s="2">
        <v>100</v>
      </c>
      <c r="AH302" s="2">
        <v>1.04287369640787E-2</v>
      </c>
      <c r="AI302" s="2" t="s">
        <v>21</v>
      </c>
      <c r="AJ302">
        <v>0</v>
      </c>
      <c r="AK302">
        <v>8</v>
      </c>
      <c r="AL302">
        <v>16</v>
      </c>
      <c r="AM302">
        <f t="shared" si="49"/>
        <v>8</v>
      </c>
      <c r="AO302">
        <f t="shared" si="44"/>
        <v>4.6296296296296294E-2</v>
      </c>
      <c r="AP302">
        <v>300</v>
      </c>
      <c r="AQ302" t="str">
        <f t="shared" si="45"/>
        <v>NA</v>
      </c>
      <c r="AR302" t="str">
        <f t="shared" si="53"/>
        <v>NA</v>
      </c>
      <c r="AS302" t="str">
        <f t="shared" si="52"/>
        <v>NA</v>
      </c>
      <c r="AT302" s="5" t="s">
        <v>398</v>
      </c>
      <c r="AU302" t="s">
        <v>303</v>
      </c>
      <c r="AX302" s="12">
        <v>0</v>
      </c>
      <c r="AY302">
        <v>149</v>
      </c>
      <c r="AZ302" t="s">
        <v>15</v>
      </c>
      <c r="BA302" t="s">
        <v>5</v>
      </c>
    </row>
    <row r="303" spans="1:53" x14ac:dyDescent="0.35">
      <c r="A303" t="s">
        <v>15</v>
      </c>
      <c r="B303">
        <v>2</v>
      </c>
      <c r="C303" t="s">
        <v>0</v>
      </c>
      <c r="D303" t="s">
        <v>4</v>
      </c>
      <c r="E303" t="s">
        <v>3</v>
      </c>
      <c r="F303" s="1">
        <v>0.67</v>
      </c>
      <c r="G303" t="s">
        <v>12</v>
      </c>
      <c r="H303">
        <v>7</v>
      </c>
      <c r="I303">
        <v>10</v>
      </c>
      <c r="J303">
        <v>7</v>
      </c>
      <c r="K303">
        <v>36</v>
      </c>
      <c r="L303">
        <v>8</v>
      </c>
      <c r="M303">
        <f t="shared" si="50"/>
        <v>44</v>
      </c>
      <c r="N303">
        <v>56</v>
      </c>
      <c r="O303">
        <v>1.5</v>
      </c>
      <c r="P303">
        <v>0.12</v>
      </c>
      <c r="Q303">
        <f t="shared" si="46"/>
        <v>8.3793323115180177E-3</v>
      </c>
      <c r="R303" s="6">
        <v>86.4</v>
      </c>
      <c r="S303">
        <v>0.73</v>
      </c>
      <c r="T303">
        <v>0.83</v>
      </c>
      <c r="U303">
        <v>1.05</v>
      </c>
      <c r="V303">
        <v>1.1499999999999999</v>
      </c>
      <c r="W303">
        <f t="shared" si="51"/>
        <v>1.7249999999999999</v>
      </c>
      <c r="X303">
        <f t="shared" si="48"/>
        <v>3.4499999999999997</v>
      </c>
      <c r="Y303">
        <v>0.86</v>
      </c>
      <c r="Z303">
        <v>19.899999999999999</v>
      </c>
      <c r="AA303">
        <v>19.899999999999999</v>
      </c>
      <c r="AB303" s="3">
        <v>8</v>
      </c>
      <c r="AC303" s="3">
        <v>1939</v>
      </c>
      <c r="AD303" t="s">
        <v>605</v>
      </c>
      <c r="AE303">
        <v>3018</v>
      </c>
      <c r="AF303" s="3">
        <v>2921</v>
      </c>
      <c r="AG303" s="2">
        <v>100</v>
      </c>
      <c r="AH303" s="2" t="s">
        <v>21</v>
      </c>
      <c r="AI303" s="2">
        <v>2.00300450676014E-3</v>
      </c>
      <c r="AJ303">
        <v>0</v>
      </c>
      <c r="AK303">
        <v>4</v>
      </c>
      <c r="AL303">
        <v>12</v>
      </c>
      <c r="AM303">
        <f t="shared" si="49"/>
        <v>8</v>
      </c>
      <c r="AO303">
        <f t="shared" si="44"/>
        <v>4.6296296296296294E-2</v>
      </c>
      <c r="AP303">
        <v>301</v>
      </c>
      <c r="AQ303">
        <f t="shared" si="45"/>
        <v>43.799699549323989</v>
      </c>
      <c r="AR303">
        <f t="shared" si="53"/>
        <v>0.20030045067601399</v>
      </c>
      <c r="AS303">
        <f t="shared" si="52"/>
        <v>0.97496244366549822</v>
      </c>
      <c r="AU303" t="s">
        <v>303</v>
      </c>
      <c r="AX303" s="12">
        <v>0</v>
      </c>
      <c r="AY303">
        <v>149</v>
      </c>
      <c r="AZ303" t="s">
        <v>15</v>
      </c>
      <c r="BA303" t="s">
        <v>0</v>
      </c>
    </row>
    <row r="304" spans="1:53" x14ac:dyDescent="0.35">
      <c r="A304" t="s">
        <v>14</v>
      </c>
      <c r="B304">
        <v>2</v>
      </c>
      <c r="C304" t="s">
        <v>5</v>
      </c>
      <c r="D304" t="s">
        <v>4</v>
      </c>
      <c r="E304" t="s">
        <v>3</v>
      </c>
      <c r="F304" s="1">
        <v>0.67</v>
      </c>
      <c r="G304" t="s">
        <v>12</v>
      </c>
      <c r="H304">
        <v>7</v>
      </c>
      <c r="I304">
        <v>10</v>
      </c>
      <c r="J304">
        <v>7</v>
      </c>
      <c r="K304">
        <v>36</v>
      </c>
      <c r="L304">
        <v>8</v>
      </c>
      <c r="M304">
        <f t="shared" si="50"/>
        <v>44</v>
      </c>
      <c r="N304">
        <v>56</v>
      </c>
      <c r="O304">
        <v>1.5</v>
      </c>
      <c r="P304">
        <v>0.12</v>
      </c>
      <c r="Q304">
        <f t="shared" si="46"/>
        <v>8.3793323115180177E-3</v>
      </c>
      <c r="R304" s="6">
        <v>86.4</v>
      </c>
      <c r="S304">
        <v>0.73</v>
      </c>
      <c r="T304">
        <v>0.83</v>
      </c>
      <c r="U304">
        <v>1.05</v>
      </c>
      <c r="V304">
        <v>1.1499999999999999</v>
      </c>
      <c r="W304">
        <f t="shared" si="51"/>
        <v>1.7249999999999999</v>
      </c>
      <c r="X304">
        <f t="shared" si="48"/>
        <v>3.4499999999999997</v>
      </c>
      <c r="Y304">
        <v>0.86</v>
      </c>
      <c r="Z304">
        <v>19.899999999999999</v>
      </c>
      <c r="AA304">
        <v>19.899999999999999</v>
      </c>
      <c r="AB304" s="3">
        <v>8</v>
      </c>
      <c r="AC304" s="3">
        <v>1939</v>
      </c>
      <c r="AD304" t="s">
        <v>606</v>
      </c>
      <c r="AE304">
        <v>3018</v>
      </c>
      <c r="AF304" s="3">
        <v>2921</v>
      </c>
      <c r="AG304" s="2">
        <v>126</v>
      </c>
      <c r="AH304" s="2">
        <v>1.04287369640787E-2</v>
      </c>
      <c r="AI304" s="2" t="s">
        <v>21</v>
      </c>
      <c r="AJ304">
        <v>0</v>
      </c>
      <c r="AK304">
        <v>4</v>
      </c>
      <c r="AL304">
        <v>6</v>
      </c>
      <c r="AM304">
        <f t="shared" si="49"/>
        <v>2</v>
      </c>
      <c r="AO304">
        <f t="shared" si="44"/>
        <v>1.1574074074074073E-2</v>
      </c>
      <c r="AP304">
        <v>302</v>
      </c>
      <c r="AQ304" t="str">
        <f t="shared" si="45"/>
        <v>NA</v>
      </c>
      <c r="AR304" t="str">
        <f t="shared" si="53"/>
        <v>NA</v>
      </c>
      <c r="AS304" t="str">
        <f t="shared" si="52"/>
        <v>NA</v>
      </c>
      <c r="AU304" t="s">
        <v>303</v>
      </c>
      <c r="AX304" s="12">
        <v>0</v>
      </c>
      <c r="AY304">
        <v>150</v>
      </c>
      <c r="AZ304" t="s">
        <v>14</v>
      </c>
      <c r="BA304" t="s">
        <v>5</v>
      </c>
    </row>
    <row r="305" spans="1:53" x14ac:dyDescent="0.35">
      <c r="A305" t="s">
        <v>14</v>
      </c>
      <c r="B305">
        <v>2</v>
      </c>
      <c r="C305" t="s">
        <v>0</v>
      </c>
      <c r="D305" t="s">
        <v>4</v>
      </c>
      <c r="E305" t="s">
        <v>3</v>
      </c>
      <c r="F305" s="1">
        <v>0.67</v>
      </c>
      <c r="G305" t="s">
        <v>12</v>
      </c>
      <c r="H305">
        <v>7</v>
      </c>
      <c r="I305">
        <v>10</v>
      </c>
      <c r="J305">
        <v>7</v>
      </c>
      <c r="K305">
        <v>36</v>
      </c>
      <c r="L305">
        <v>8</v>
      </c>
      <c r="M305">
        <f t="shared" si="50"/>
        <v>44</v>
      </c>
      <c r="N305">
        <v>56</v>
      </c>
      <c r="O305">
        <v>1.5</v>
      </c>
      <c r="P305">
        <v>0.12</v>
      </c>
      <c r="Q305">
        <f t="shared" si="46"/>
        <v>8.3793323115180177E-3</v>
      </c>
      <c r="R305" s="6">
        <v>86.4</v>
      </c>
      <c r="S305">
        <v>0.73</v>
      </c>
      <c r="T305">
        <v>0.83</v>
      </c>
      <c r="U305">
        <v>1.05</v>
      </c>
      <c r="V305">
        <v>1.1499999999999999</v>
      </c>
      <c r="W305">
        <f t="shared" si="51"/>
        <v>1.7249999999999999</v>
      </c>
      <c r="X305">
        <f t="shared" si="48"/>
        <v>3.4499999999999997</v>
      </c>
      <c r="Y305">
        <v>0.86</v>
      </c>
      <c r="Z305">
        <v>19.899999999999999</v>
      </c>
      <c r="AA305">
        <v>19.899999999999999</v>
      </c>
      <c r="AB305" s="3">
        <v>8</v>
      </c>
      <c r="AC305" s="3">
        <v>1939</v>
      </c>
      <c r="AD305" t="s">
        <v>607</v>
      </c>
      <c r="AE305">
        <v>3018</v>
      </c>
      <c r="AF305" s="3">
        <v>2921</v>
      </c>
      <c r="AG305" s="2">
        <v>126</v>
      </c>
      <c r="AH305" s="2" t="s">
        <v>21</v>
      </c>
      <c r="AI305" s="2">
        <v>2.00300450676014E-3</v>
      </c>
      <c r="AJ305">
        <v>0</v>
      </c>
      <c r="AK305">
        <v>4</v>
      </c>
      <c r="AL305">
        <v>6</v>
      </c>
      <c r="AM305">
        <f t="shared" si="49"/>
        <v>2</v>
      </c>
      <c r="AO305">
        <f t="shared" si="44"/>
        <v>1.1574074074074073E-2</v>
      </c>
      <c r="AP305">
        <v>303</v>
      </c>
      <c r="AQ305">
        <f t="shared" si="45"/>
        <v>43.747621432148222</v>
      </c>
      <c r="AR305">
        <f t="shared" si="53"/>
        <v>0.25237856785177765</v>
      </c>
      <c r="AS305">
        <f t="shared" si="52"/>
        <v>0.96845267901852783</v>
      </c>
      <c r="AU305" t="s">
        <v>303</v>
      </c>
      <c r="AX305" s="12">
        <v>0</v>
      </c>
      <c r="AY305">
        <v>150</v>
      </c>
      <c r="AZ305" t="s">
        <v>14</v>
      </c>
      <c r="BA305" t="s">
        <v>0</v>
      </c>
    </row>
    <row r="306" spans="1:53" x14ac:dyDescent="0.35">
      <c r="A306" t="s">
        <v>13</v>
      </c>
      <c r="B306">
        <v>2</v>
      </c>
      <c r="C306" t="s">
        <v>5</v>
      </c>
      <c r="D306" t="s">
        <v>4</v>
      </c>
      <c r="E306" t="s">
        <v>3</v>
      </c>
      <c r="F306" s="1">
        <v>0.67</v>
      </c>
      <c r="G306" t="s">
        <v>12</v>
      </c>
      <c r="H306">
        <v>7</v>
      </c>
      <c r="I306">
        <v>10</v>
      </c>
      <c r="J306">
        <v>7</v>
      </c>
      <c r="K306">
        <v>36</v>
      </c>
      <c r="L306">
        <v>8</v>
      </c>
      <c r="M306">
        <f t="shared" si="50"/>
        <v>44</v>
      </c>
      <c r="N306">
        <v>56</v>
      </c>
      <c r="O306">
        <v>1.5</v>
      </c>
      <c r="P306">
        <v>0.12</v>
      </c>
      <c r="Q306">
        <f t="shared" si="46"/>
        <v>8.3793323115180177E-3</v>
      </c>
      <c r="R306" s="6">
        <v>86.4</v>
      </c>
      <c r="S306">
        <v>0.73</v>
      </c>
      <c r="T306">
        <v>0.83</v>
      </c>
      <c r="U306">
        <v>1.05</v>
      </c>
      <c r="V306">
        <v>1.1499999999999999</v>
      </c>
      <c r="W306">
        <f t="shared" si="51"/>
        <v>1.7249999999999999</v>
      </c>
      <c r="X306">
        <f t="shared" si="48"/>
        <v>3.4499999999999997</v>
      </c>
      <c r="Y306">
        <v>0.86</v>
      </c>
      <c r="Z306">
        <v>19.899999999999999</v>
      </c>
      <c r="AA306">
        <v>19.899999999999999</v>
      </c>
      <c r="AB306" s="3">
        <v>8</v>
      </c>
      <c r="AC306" s="3">
        <v>1939</v>
      </c>
      <c r="AD306" t="s">
        <v>608</v>
      </c>
      <c r="AE306">
        <v>3018</v>
      </c>
      <c r="AF306" s="3">
        <v>2921</v>
      </c>
      <c r="AG306" s="2">
        <v>98</v>
      </c>
      <c r="AH306" s="2">
        <v>1.04287369640787E-2</v>
      </c>
      <c r="AI306" s="2" t="s">
        <v>21</v>
      </c>
      <c r="AJ306">
        <v>0</v>
      </c>
      <c r="AK306">
        <v>5</v>
      </c>
      <c r="AL306">
        <v>12</v>
      </c>
      <c r="AM306">
        <f t="shared" si="49"/>
        <v>7</v>
      </c>
      <c r="AO306">
        <f>(AL307-AK307)/(2*R306)</f>
        <v>4.0509259259259259E-2</v>
      </c>
      <c r="AP306">
        <v>304</v>
      </c>
      <c r="AQ306" t="str">
        <f t="shared" si="45"/>
        <v>NA</v>
      </c>
      <c r="AR306" t="str">
        <f t="shared" si="53"/>
        <v>NA</v>
      </c>
      <c r="AS306" t="str">
        <f t="shared" si="52"/>
        <v>NA</v>
      </c>
      <c r="AU306" t="s">
        <v>303</v>
      </c>
      <c r="AX306" s="12">
        <v>0</v>
      </c>
      <c r="AY306">
        <v>151</v>
      </c>
      <c r="AZ306" t="s">
        <v>13</v>
      </c>
      <c r="BA306" t="s">
        <v>5</v>
      </c>
    </row>
    <row r="307" spans="1:53" x14ac:dyDescent="0.35">
      <c r="A307" t="s">
        <v>13</v>
      </c>
      <c r="B307">
        <v>2</v>
      </c>
      <c r="C307" t="s">
        <v>0</v>
      </c>
      <c r="D307" t="s">
        <v>4</v>
      </c>
      <c r="E307" t="s">
        <v>3</v>
      </c>
      <c r="F307" s="1">
        <v>0.67</v>
      </c>
      <c r="G307" t="s">
        <v>12</v>
      </c>
      <c r="H307">
        <v>7</v>
      </c>
      <c r="I307">
        <v>10</v>
      </c>
      <c r="J307">
        <v>7</v>
      </c>
      <c r="K307">
        <v>36</v>
      </c>
      <c r="L307">
        <v>8</v>
      </c>
      <c r="M307">
        <f t="shared" si="50"/>
        <v>44</v>
      </c>
      <c r="N307">
        <v>56</v>
      </c>
      <c r="O307">
        <v>1.5</v>
      </c>
      <c r="P307">
        <v>0.12</v>
      </c>
      <c r="Q307">
        <f t="shared" si="46"/>
        <v>8.3793323115180177E-3</v>
      </c>
      <c r="R307" s="6">
        <v>86.4</v>
      </c>
      <c r="S307">
        <v>0.73</v>
      </c>
      <c r="T307">
        <v>0.83</v>
      </c>
      <c r="U307">
        <v>1.05</v>
      </c>
      <c r="V307">
        <v>1.1499999999999999</v>
      </c>
      <c r="W307">
        <f t="shared" si="51"/>
        <v>1.7249999999999999</v>
      </c>
      <c r="X307">
        <f t="shared" si="48"/>
        <v>3.4499999999999997</v>
      </c>
      <c r="Y307">
        <v>0.86</v>
      </c>
      <c r="Z307">
        <v>19.899999999999999</v>
      </c>
      <c r="AA307">
        <v>19.899999999999999</v>
      </c>
      <c r="AB307" s="3">
        <v>8</v>
      </c>
      <c r="AC307" s="3">
        <v>1939</v>
      </c>
      <c r="AD307" t="s">
        <v>609</v>
      </c>
      <c r="AE307">
        <v>3018</v>
      </c>
      <c r="AF307" s="3">
        <v>2921</v>
      </c>
      <c r="AG307" s="2">
        <v>98</v>
      </c>
      <c r="AH307" s="2" t="s">
        <v>21</v>
      </c>
      <c r="AI307" s="2">
        <v>2.00300450676014E-3</v>
      </c>
      <c r="AJ307">
        <v>0</v>
      </c>
      <c r="AK307">
        <v>7</v>
      </c>
      <c r="AL307">
        <v>14</v>
      </c>
      <c r="AM307">
        <f t="shared" si="49"/>
        <v>7</v>
      </c>
      <c r="AO307">
        <f t="shared" ref="AO307:AO351" si="54">(AL307-AK307)/(2*R307)</f>
        <v>4.0509259259259259E-2</v>
      </c>
      <c r="AP307">
        <v>305</v>
      </c>
      <c r="AQ307">
        <f t="shared" si="45"/>
        <v>43.803705558337505</v>
      </c>
      <c r="AR307">
        <f t="shared" si="53"/>
        <v>0.19629444166249371</v>
      </c>
      <c r="AS307">
        <f t="shared" si="52"/>
        <v>0.97546319479218824</v>
      </c>
      <c r="AU307" t="s">
        <v>303</v>
      </c>
      <c r="AX307" s="12">
        <v>0</v>
      </c>
      <c r="AY307">
        <v>151</v>
      </c>
      <c r="AZ307" t="s">
        <v>13</v>
      </c>
      <c r="BA307" t="s">
        <v>0</v>
      </c>
    </row>
    <row r="308" spans="1:53" x14ac:dyDescent="0.35">
      <c r="A308" t="s">
        <v>11</v>
      </c>
      <c r="B308">
        <v>2</v>
      </c>
      <c r="C308" t="s">
        <v>5</v>
      </c>
      <c r="D308" t="s">
        <v>4</v>
      </c>
      <c r="E308" t="s">
        <v>3</v>
      </c>
      <c r="F308" s="1">
        <v>0.67</v>
      </c>
      <c r="G308" t="s">
        <v>12</v>
      </c>
      <c r="H308">
        <v>7</v>
      </c>
      <c r="I308">
        <v>10</v>
      </c>
      <c r="J308">
        <v>7</v>
      </c>
      <c r="K308">
        <v>36</v>
      </c>
      <c r="L308">
        <v>8</v>
      </c>
      <c r="M308">
        <f t="shared" si="50"/>
        <v>44</v>
      </c>
      <c r="N308">
        <v>56</v>
      </c>
      <c r="O308">
        <v>1.5</v>
      </c>
      <c r="P308">
        <v>0.12</v>
      </c>
      <c r="Q308">
        <f t="shared" si="46"/>
        <v>8.3793323115180177E-3</v>
      </c>
      <c r="R308" s="6">
        <v>86.4</v>
      </c>
      <c r="S308">
        <v>0.73</v>
      </c>
      <c r="T308">
        <v>0.83</v>
      </c>
      <c r="U308">
        <v>1.05</v>
      </c>
      <c r="V308">
        <v>1.1499999999999999</v>
      </c>
      <c r="W308">
        <f t="shared" si="51"/>
        <v>1.7249999999999999</v>
      </c>
      <c r="X308">
        <f t="shared" si="48"/>
        <v>3.4499999999999997</v>
      </c>
      <c r="Y308">
        <v>0.86</v>
      </c>
      <c r="Z308">
        <v>19.899999999999999</v>
      </c>
      <c r="AA308">
        <v>19.899999999999999</v>
      </c>
      <c r="AB308" s="3">
        <v>8</v>
      </c>
      <c r="AC308" s="3">
        <v>1939</v>
      </c>
      <c r="AD308" t="s">
        <v>610</v>
      </c>
      <c r="AE308">
        <v>3018</v>
      </c>
      <c r="AF308" s="3">
        <v>2921</v>
      </c>
      <c r="AG308" s="2">
        <v>642</v>
      </c>
      <c r="AH308" s="2">
        <v>1.04287369640787E-2</v>
      </c>
      <c r="AI308" s="2" t="s">
        <v>21</v>
      </c>
      <c r="AJ308">
        <v>1</v>
      </c>
      <c r="AK308">
        <v>8</v>
      </c>
      <c r="AL308">
        <v>369</v>
      </c>
      <c r="AM308">
        <f t="shared" si="49"/>
        <v>361</v>
      </c>
      <c r="AO308">
        <f t="shared" si="54"/>
        <v>2.0891203703703702</v>
      </c>
      <c r="AP308">
        <v>306</v>
      </c>
      <c r="AQ308" t="str">
        <f t="shared" si="45"/>
        <v>NA</v>
      </c>
      <c r="AR308" t="str">
        <f t="shared" si="53"/>
        <v>NA</v>
      </c>
      <c r="AS308" t="str">
        <f t="shared" si="52"/>
        <v>NA</v>
      </c>
      <c r="AU308" t="s">
        <v>303</v>
      </c>
      <c r="AW308" t="s">
        <v>312</v>
      </c>
      <c r="AX308" s="13">
        <v>1</v>
      </c>
      <c r="AY308">
        <v>152</v>
      </c>
      <c r="AZ308" t="s">
        <v>11</v>
      </c>
      <c r="BA308" t="s">
        <v>5</v>
      </c>
    </row>
    <row r="309" spans="1:53" x14ac:dyDescent="0.35">
      <c r="A309" t="s">
        <v>11</v>
      </c>
      <c r="B309">
        <v>2</v>
      </c>
      <c r="C309" t="s">
        <v>0</v>
      </c>
      <c r="D309" t="s">
        <v>4</v>
      </c>
      <c r="E309" t="s">
        <v>3</v>
      </c>
      <c r="F309" s="1">
        <v>0.67</v>
      </c>
      <c r="G309" t="s">
        <v>12</v>
      </c>
      <c r="H309">
        <v>7</v>
      </c>
      <c r="I309">
        <v>10</v>
      </c>
      <c r="J309">
        <v>7</v>
      </c>
      <c r="K309">
        <v>36</v>
      </c>
      <c r="L309">
        <v>8</v>
      </c>
      <c r="M309">
        <f t="shared" si="50"/>
        <v>44</v>
      </c>
      <c r="N309">
        <v>56</v>
      </c>
      <c r="O309">
        <v>1.5</v>
      </c>
      <c r="P309">
        <v>0.12</v>
      </c>
      <c r="Q309">
        <f t="shared" si="46"/>
        <v>8.3793323115180177E-3</v>
      </c>
      <c r="R309" s="6">
        <v>86.4</v>
      </c>
      <c r="S309">
        <v>0.73</v>
      </c>
      <c r="T309">
        <v>0.83</v>
      </c>
      <c r="U309">
        <v>1.05</v>
      </c>
      <c r="V309">
        <v>1.1499999999999999</v>
      </c>
      <c r="W309">
        <f t="shared" si="51"/>
        <v>1.7249999999999999</v>
      </c>
      <c r="X309">
        <f t="shared" si="48"/>
        <v>3.4499999999999997</v>
      </c>
      <c r="Y309">
        <v>0.86</v>
      </c>
      <c r="Z309">
        <v>19.899999999999999</v>
      </c>
      <c r="AA309">
        <v>19.899999999999999</v>
      </c>
      <c r="AB309" s="3">
        <v>8</v>
      </c>
      <c r="AC309" s="3">
        <v>1939</v>
      </c>
      <c r="AD309" t="s">
        <v>611</v>
      </c>
      <c r="AE309">
        <v>3018</v>
      </c>
      <c r="AF309" s="3">
        <v>2921</v>
      </c>
      <c r="AG309" s="2">
        <v>642</v>
      </c>
      <c r="AH309" s="2" t="s">
        <v>21</v>
      </c>
      <c r="AI309" s="2">
        <v>2.00300450676014E-3</v>
      </c>
      <c r="AJ309">
        <v>1</v>
      </c>
      <c r="AK309">
        <v>5</v>
      </c>
      <c r="AL309">
        <f>AK309+AL308-AK308</f>
        <v>366</v>
      </c>
      <c r="AM309">
        <f t="shared" si="49"/>
        <v>361</v>
      </c>
      <c r="AO309">
        <f t="shared" si="54"/>
        <v>2.0891203703703702</v>
      </c>
      <c r="AP309">
        <v>307</v>
      </c>
      <c r="AQ309">
        <f t="shared" si="45"/>
        <v>42.714071106659993</v>
      </c>
      <c r="AR309">
        <f t="shared" si="53"/>
        <v>1.2859288933400099</v>
      </c>
      <c r="AS309">
        <f t="shared" si="52"/>
        <v>0.83925888833249873</v>
      </c>
      <c r="AU309" t="s">
        <v>303</v>
      </c>
      <c r="AW309" t="s">
        <v>312</v>
      </c>
      <c r="AX309" s="13">
        <v>1</v>
      </c>
      <c r="AY309">
        <v>152</v>
      </c>
      <c r="AZ309" t="s">
        <v>11</v>
      </c>
      <c r="BA309" t="s">
        <v>0</v>
      </c>
    </row>
    <row r="310" spans="1:53" x14ac:dyDescent="0.35">
      <c r="A310" t="s">
        <v>10</v>
      </c>
      <c r="B310">
        <v>1</v>
      </c>
      <c r="C310" t="s">
        <v>5</v>
      </c>
      <c r="D310" t="s">
        <v>4</v>
      </c>
      <c r="E310" t="s">
        <v>3</v>
      </c>
      <c r="F310" s="1">
        <v>0.68</v>
      </c>
      <c r="G310" t="s">
        <v>8</v>
      </c>
      <c r="H310">
        <v>6</v>
      </c>
      <c r="I310">
        <v>6</v>
      </c>
      <c r="J310">
        <v>7</v>
      </c>
      <c r="K310">
        <v>40</v>
      </c>
      <c r="L310">
        <v>13</v>
      </c>
      <c r="M310">
        <f t="shared" si="50"/>
        <v>53</v>
      </c>
      <c r="N310">
        <v>55</v>
      </c>
      <c r="O310">
        <v>2.12</v>
      </c>
      <c r="P310">
        <v>0.14000000000000001</v>
      </c>
      <c r="Q310">
        <f t="shared" si="46"/>
        <v>8.4681014851744809E-3</v>
      </c>
      <c r="R310" s="6">
        <v>95</v>
      </c>
      <c r="S310">
        <v>0.95</v>
      </c>
      <c r="T310">
        <v>1.05</v>
      </c>
      <c r="U310">
        <v>1.05</v>
      </c>
      <c r="V310">
        <v>1.05</v>
      </c>
      <c r="W310">
        <f t="shared" si="51"/>
        <v>1.5750000000000002</v>
      </c>
      <c r="X310">
        <f t="shared" si="48"/>
        <v>3.1500000000000004</v>
      </c>
      <c r="Y310">
        <v>3.1</v>
      </c>
      <c r="Z310">
        <v>19.899999999999999</v>
      </c>
      <c r="AA310">
        <v>19.899999999999999</v>
      </c>
      <c r="AB310" s="3">
        <v>5</v>
      </c>
      <c r="AC310" s="3">
        <v>1483</v>
      </c>
      <c r="AD310" t="s">
        <v>612</v>
      </c>
      <c r="AE310">
        <v>2030</v>
      </c>
      <c r="AF310" s="3">
        <v>2007</v>
      </c>
      <c r="AG310" s="2">
        <v>850</v>
      </c>
      <c r="AH310" s="2">
        <v>1.3366998366255701E-2</v>
      </c>
      <c r="AI310" s="2" t="s">
        <v>21</v>
      </c>
      <c r="AJ310">
        <v>1</v>
      </c>
      <c r="AK310">
        <v>9</v>
      </c>
      <c r="AL310">
        <v>186</v>
      </c>
      <c r="AM310">
        <f t="shared" si="49"/>
        <v>177</v>
      </c>
      <c r="AO310">
        <f t="shared" si="54"/>
        <v>0.93157894736842106</v>
      </c>
      <c r="AP310">
        <v>308</v>
      </c>
      <c r="AQ310" t="str">
        <f t="shared" si="45"/>
        <v>NA</v>
      </c>
      <c r="AR310" t="str">
        <f t="shared" si="53"/>
        <v>NA</v>
      </c>
      <c r="AS310" t="str">
        <f t="shared" si="52"/>
        <v>NA</v>
      </c>
      <c r="AT310" s="5" t="s">
        <v>397</v>
      </c>
      <c r="AU310" t="s">
        <v>303</v>
      </c>
      <c r="AX310" s="13">
        <v>1</v>
      </c>
      <c r="AY310">
        <v>153</v>
      </c>
      <c r="AZ310" t="s">
        <v>10</v>
      </c>
      <c r="BA310" t="s">
        <v>5</v>
      </c>
    </row>
    <row r="311" spans="1:53" x14ac:dyDescent="0.35">
      <c r="A311" t="s">
        <v>10</v>
      </c>
      <c r="B311">
        <v>1</v>
      </c>
      <c r="C311" t="s">
        <v>0</v>
      </c>
      <c r="D311" t="s">
        <v>4</v>
      </c>
      <c r="E311" t="s">
        <v>3</v>
      </c>
      <c r="F311" s="1">
        <v>0.68</v>
      </c>
      <c r="G311" t="s">
        <v>8</v>
      </c>
      <c r="H311">
        <v>6</v>
      </c>
      <c r="I311">
        <v>6</v>
      </c>
      <c r="J311">
        <v>7</v>
      </c>
      <c r="K311">
        <v>40</v>
      </c>
      <c r="L311">
        <v>13</v>
      </c>
      <c r="M311">
        <f t="shared" si="50"/>
        <v>53</v>
      </c>
      <c r="N311">
        <v>55</v>
      </c>
      <c r="O311">
        <v>2.12</v>
      </c>
      <c r="P311">
        <v>0.14000000000000001</v>
      </c>
      <c r="Q311">
        <f t="shared" si="46"/>
        <v>8.4681014851744809E-3</v>
      </c>
      <c r="R311" s="6">
        <v>95</v>
      </c>
      <c r="S311">
        <v>0.95</v>
      </c>
      <c r="T311">
        <v>1.05</v>
      </c>
      <c r="U311">
        <v>1.05</v>
      </c>
      <c r="V311">
        <v>1.05</v>
      </c>
      <c r="W311">
        <f t="shared" si="51"/>
        <v>1.5750000000000002</v>
      </c>
      <c r="X311">
        <f t="shared" si="48"/>
        <v>3.1500000000000004</v>
      </c>
      <c r="Y311">
        <v>3.1</v>
      </c>
      <c r="Z311">
        <v>19.899999999999999</v>
      </c>
      <c r="AA311">
        <v>19.899999999999999</v>
      </c>
      <c r="AB311" s="3">
        <v>5</v>
      </c>
      <c r="AC311" s="3">
        <v>1483</v>
      </c>
      <c r="AD311" t="s">
        <v>613</v>
      </c>
      <c r="AE311">
        <v>2030</v>
      </c>
      <c r="AF311" s="3">
        <v>2007</v>
      </c>
      <c r="AG311" s="2">
        <v>850</v>
      </c>
      <c r="AH311" s="2" t="s">
        <v>21</v>
      </c>
      <c r="AI311" s="2">
        <v>2.00300450676014E-3</v>
      </c>
      <c r="AJ311">
        <v>1</v>
      </c>
      <c r="AK311">
        <v>9</v>
      </c>
      <c r="AL311">
        <f>AK311+AL310-AK310</f>
        <v>186</v>
      </c>
      <c r="AM311">
        <f t="shared" si="49"/>
        <v>177</v>
      </c>
      <c r="AO311">
        <f t="shared" si="54"/>
        <v>0.93157894736842106</v>
      </c>
      <c r="AP311">
        <v>309</v>
      </c>
      <c r="AQ311">
        <f t="shared" si="45"/>
        <v>51.297446169253881</v>
      </c>
      <c r="AR311">
        <f t="shared" si="53"/>
        <v>1.702553830746119</v>
      </c>
      <c r="AS311">
        <f t="shared" si="52"/>
        <v>0.86903432071183695</v>
      </c>
      <c r="AU311" t="s">
        <v>303</v>
      </c>
      <c r="AX311" s="13">
        <v>1</v>
      </c>
      <c r="AY311">
        <v>153</v>
      </c>
      <c r="AZ311" t="s">
        <v>10</v>
      </c>
      <c r="BA311" t="s">
        <v>0</v>
      </c>
    </row>
    <row r="312" spans="1:53" x14ac:dyDescent="0.35">
      <c r="A312" t="s">
        <v>9</v>
      </c>
      <c r="B312">
        <v>1</v>
      </c>
      <c r="C312" t="s">
        <v>5</v>
      </c>
      <c r="D312" t="s">
        <v>4</v>
      </c>
      <c r="E312" t="s">
        <v>3</v>
      </c>
      <c r="F312" s="1">
        <v>0.68</v>
      </c>
      <c r="G312" t="s">
        <v>8</v>
      </c>
      <c r="H312">
        <v>6</v>
      </c>
      <c r="I312">
        <v>6</v>
      </c>
      <c r="J312">
        <v>8</v>
      </c>
      <c r="K312">
        <v>41</v>
      </c>
      <c r="L312">
        <v>10</v>
      </c>
      <c r="M312">
        <f t="shared" si="50"/>
        <v>51</v>
      </c>
      <c r="N312">
        <v>58</v>
      </c>
      <c r="O312">
        <v>2.56</v>
      </c>
      <c r="P312">
        <v>0.16</v>
      </c>
      <c r="Q312">
        <f t="shared" si="46"/>
        <v>9.4708659766446317E-3</v>
      </c>
      <c r="R312" s="6">
        <f>AT312/2</f>
        <v>90.5</v>
      </c>
      <c r="S312">
        <v>0.83</v>
      </c>
      <c r="T312">
        <v>1.05</v>
      </c>
      <c r="U312">
        <v>1.0900000000000001</v>
      </c>
      <c r="V312">
        <v>1.1499999999999999</v>
      </c>
      <c r="W312">
        <f t="shared" si="51"/>
        <v>1.7249999999999999</v>
      </c>
      <c r="X312">
        <f t="shared" si="48"/>
        <v>3.4499999999999997</v>
      </c>
      <c r="Y312">
        <v>3.1</v>
      </c>
      <c r="Z312">
        <v>19.899999999999999</v>
      </c>
      <c r="AA312">
        <v>19.899999999999999</v>
      </c>
      <c r="AB312" s="3">
        <v>11</v>
      </c>
      <c r="AC312" s="3">
        <v>1480</v>
      </c>
      <c r="AD312" t="s">
        <v>614</v>
      </c>
      <c r="AE312">
        <v>2012</v>
      </c>
      <c r="AF312" s="3">
        <v>2002</v>
      </c>
      <c r="AG312" s="2">
        <v>243</v>
      </c>
      <c r="AH312" s="2">
        <v>1.34438718350885E-2</v>
      </c>
      <c r="AI312" s="2" t="s">
        <v>21</v>
      </c>
      <c r="AJ312">
        <v>0</v>
      </c>
      <c r="AK312">
        <v>8</v>
      </c>
      <c r="AL312">
        <v>43</v>
      </c>
      <c r="AM312">
        <f t="shared" si="49"/>
        <v>35</v>
      </c>
      <c r="AO312">
        <f t="shared" si="54"/>
        <v>0.19337016574585636</v>
      </c>
      <c r="AP312">
        <v>310</v>
      </c>
      <c r="AQ312" t="str">
        <f t="shared" si="45"/>
        <v>NA</v>
      </c>
      <c r="AR312" t="str">
        <f t="shared" si="53"/>
        <v>NA</v>
      </c>
      <c r="AS312" t="str">
        <f t="shared" si="52"/>
        <v>NA</v>
      </c>
      <c r="AT312" s="5" t="s">
        <v>396</v>
      </c>
      <c r="AU312" t="s">
        <v>303</v>
      </c>
      <c r="AX312" s="12">
        <v>0</v>
      </c>
      <c r="AY312">
        <v>154</v>
      </c>
      <c r="AZ312" t="s">
        <v>9</v>
      </c>
      <c r="BA312" t="s">
        <v>5</v>
      </c>
    </row>
    <row r="313" spans="1:53" x14ac:dyDescent="0.35">
      <c r="A313" t="s">
        <v>9</v>
      </c>
      <c r="B313">
        <v>1</v>
      </c>
      <c r="C313" t="s">
        <v>0</v>
      </c>
      <c r="D313" t="s">
        <v>4</v>
      </c>
      <c r="E313" t="s">
        <v>3</v>
      </c>
      <c r="F313" s="1">
        <v>0.68</v>
      </c>
      <c r="G313" t="s">
        <v>8</v>
      </c>
      <c r="H313">
        <v>6</v>
      </c>
      <c r="I313">
        <v>6</v>
      </c>
      <c r="J313">
        <v>8</v>
      </c>
      <c r="K313">
        <v>41</v>
      </c>
      <c r="L313">
        <v>10</v>
      </c>
      <c r="M313">
        <f t="shared" si="50"/>
        <v>51</v>
      </c>
      <c r="N313">
        <v>58</v>
      </c>
      <c r="O313">
        <v>2.56</v>
      </c>
      <c r="P313">
        <v>0.16</v>
      </c>
      <c r="Q313">
        <f t="shared" si="46"/>
        <v>9.4708659766446317E-3</v>
      </c>
      <c r="R313" s="6">
        <v>90.5</v>
      </c>
      <c r="S313">
        <v>0.83</v>
      </c>
      <c r="T313">
        <v>1.05</v>
      </c>
      <c r="U313">
        <v>1.0900000000000001</v>
      </c>
      <c r="V313">
        <v>1.1499999999999999</v>
      </c>
      <c r="W313">
        <f t="shared" si="51"/>
        <v>1.7249999999999999</v>
      </c>
      <c r="X313">
        <f t="shared" si="48"/>
        <v>3.4499999999999997</v>
      </c>
      <c r="Y313">
        <v>3.1</v>
      </c>
      <c r="Z313">
        <v>19.899999999999999</v>
      </c>
      <c r="AA313">
        <v>19.899999999999999</v>
      </c>
      <c r="AB313" s="3">
        <v>11</v>
      </c>
      <c r="AC313" s="3">
        <v>1480</v>
      </c>
      <c r="AD313" t="s">
        <v>615</v>
      </c>
      <c r="AE313">
        <v>2012</v>
      </c>
      <c r="AF313" s="3">
        <v>2002</v>
      </c>
      <c r="AG313" s="2">
        <v>243</v>
      </c>
      <c r="AH313" s="2" t="s">
        <v>21</v>
      </c>
      <c r="AI313" s="2">
        <v>2.0002667022269599E-3</v>
      </c>
      <c r="AJ313">
        <v>0</v>
      </c>
      <c r="AK313">
        <v>4</v>
      </c>
      <c r="AL313">
        <v>39</v>
      </c>
      <c r="AM313">
        <f t="shared" si="49"/>
        <v>35</v>
      </c>
      <c r="AO313">
        <f t="shared" si="54"/>
        <v>0.19337016574585636</v>
      </c>
      <c r="AP313">
        <v>311</v>
      </c>
      <c r="AQ313">
        <f t="shared" si="45"/>
        <v>50.513935191358847</v>
      </c>
      <c r="AR313">
        <f t="shared" si="53"/>
        <v>0.48606480864115126</v>
      </c>
      <c r="AS313">
        <f t="shared" si="52"/>
        <v>0.95139351913588488</v>
      </c>
      <c r="AU313" t="s">
        <v>303</v>
      </c>
      <c r="AX313" s="12">
        <v>0</v>
      </c>
      <c r="AY313">
        <v>154</v>
      </c>
      <c r="AZ313" t="s">
        <v>9</v>
      </c>
      <c r="BA313" t="s">
        <v>0</v>
      </c>
    </row>
    <row r="314" spans="1:53" x14ac:dyDescent="0.35">
      <c r="A314" t="s">
        <v>7</v>
      </c>
      <c r="B314">
        <v>1</v>
      </c>
      <c r="C314" t="s">
        <v>5</v>
      </c>
      <c r="D314" t="s">
        <v>4</v>
      </c>
      <c r="E314" t="s">
        <v>3</v>
      </c>
      <c r="F314" s="1">
        <v>0.68</v>
      </c>
      <c r="G314" t="s">
        <v>8</v>
      </c>
      <c r="H314">
        <v>6</v>
      </c>
      <c r="I314">
        <v>6</v>
      </c>
      <c r="J314">
        <v>8</v>
      </c>
      <c r="K314">
        <v>41</v>
      </c>
      <c r="L314">
        <v>10</v>
      </c>
      <c r="M314">
        <f t="shared" si="50"/>
        <v>51</v>
      </c>
      <c r="N314">
        <v>58</v>
      </c>
      <c r="O314">
        <v>2.56</v>
      </c>
      <c r="P314">
        <v>0.16</v>
      </c>
      <c r="Q314">
        <f t="shared" si="46"/>
        <v>9.4708659766446317E-3</v>
      </c>
      <c r="R314" s="6">
        <v>90.5</v>
      </c>
      <c r="S314">
        <v>0.83</v>
      </c>
      <c r="T314">
        <v>1.05</v>
      </c>
      <c r="U314">
        <v>1.0900000000000001</v>
      </c>
      <c r="V314">
        <v>1.1499999999999999</v>
      </c>
      <c r="W314">
        <f t="shared" si="51"/>
        <v>1.7249999999999999</v>
      </c>
      <c r="X314">
        <f t="shared" si="48"/>
        <v>3.4499999999999997</v>
      </c>
      <c r="Y314">
        <v>3.1</v>
      </c>
      <c r="Z314">
        <v>19.899999999999999</v>
      </c>
      <c r="AA314">
        <v>19.899999999999999</v>
      </c>
      <c r="AB314" s="3">
        <v>11</v>
      </c>
      <c r="AC314" s="3">
        <v>1480</v>
      </c>
      <c r="AD314" t="s">
        <v>616</v>
      </c>
      <c r="AE314">
        <v>2012</v>
      </c>
      <c r="AF314" s="3">
        <v>2002</v>
      </c>
      <c r="AG314" s="2">
        <v>1229</v>
      </c>
      <c r="AH314" s="2">
        <v>1.34438718350885E-2</v>
      </c>
      <c r="AI314" s="2" t="s">
        <v>21</v>
      </c>
      <c r="AJ314">
        <v>1</v>
      </c>
      <c r="AK314">
        <v>15</v>
      </c>
      <c r="AL314">
        <v>360</v>
      </c>
      <c r="AM314">
        <f t="shared" si="49"/>
        <v>345</v>
      </c>
      <c r="AO314">
        <f t="shared" si="54"/>
        <v>1.9060773480662982</v>
      </c>
      <c r="AP314">
        <v>312</v>
      </c>
      <c r="AQ314" t="str">
        <f t="shared" si="45"/>
        <v>NA</v>
      </c>
      <c r="AR314" t="str">
        <f t="shared" si="53"/>
        <v>NA</v>
      </c>
      <c r="AS314" t="str">
        <f t="shared" si="52"/>
        <v>NA</v>
      </c>
      <c r="AU314" t="s">
        <v>303</v>
      </c>
      <c r="AW314" t="s">
        <v>312</v>
      </c>
      <c r="AX314" s="13">
        <v>1</v>
      </c>
      <c r="AY314">
        <v>155</v>
      </c>
      <c r="AZ314" t="s">
        <v>7</v>
      </c>
      <c r="BA314" t="s">
        <v>5</v>
      </c>
    </row>
    <row r="315" spans="1:53" x14ac:dyDescent="0.35">
      <c r="A315" t="s">
        <v>7</v>
      </c>
      <c r="B315">
        <v>1</v>
      </c>
      <c r="C315" t="s">
        <v>0</v>
      </c>
      <c r="D315" t="s">
        <v>4</v>
      </c>
      <c r="E315" t="s">
        <v>3</v>
      </c>
      <c r="F315" s="1">
        <v>0.68</v>
      </c>
      <c r="G315" t="s">
        <v>8</v>
      </c>
      <c r="H315">
        <v>6</v>
      </c>
      <c r="I315">
        <v>6</v>
      </c>
      <c r="J315">
        <v>8</v>
      </c>
      <c r="K315">
        <v>41</v>
      </c>
      <c r="L315">
        <v>10</v>
      </c>
      <c r="M315">
        <f t="shared" si="50"/>
        <v>51</v>
      </c>
      <c r="N315">
        <v>58</v>
      </c>
      <c r="O315">
        <v>2.56</v>
      </c>
      <c r="P315">
        <v>0.16</v>
      </c>
      <c r="Q315">
        <f t="shared" si="46"/>
        <v>9.4708659766446317E-3</v>
      </c>
      <c r="R315" s="6">
        <v>90.5</v>
      </c>
      <c r="S315">
        <v>0.83</v>
      </c>
      <c r="T315">
        <v>1.05</v>
      </c>
      <c r="U315">
        <v>1.0900000000000001</v>
      </c>
      <c r="V315">
        <v>1.1499999999999999</v>
      </c>
      <c r="W315">
        <f t="shared" si="51"/>
        <v>1.7249999999999999</v>
      </c>
      <c r="X315">
        <f t="shared" si="48"/>
        <v>3.4499999999999997</v>
      </c>
      <c r="Y315">
        <v>3.1</v>
      </c>
      <c r="Z315">
        <v>19.899999999999999</v>
      </c>
      <c r="AA315">
        <v>19.899999999999999</v>
      </c>
      <c r="AB315" s="3">
        <v>11</v>
      </c>
      <c r="AC315" s="3">
        <v>1480</v>
      </c>
      <c r="AD315" t="s">
        <v>617</v>
      </c>
      <c r="AE315">
        <v>2012</v>
      </c>
      <c r="AF315" s="3">
        <v>2002</v>
      </c>
      <c r="AG315" s="2">
        <v>1229</v>
      </c>
      <c r="AH315" s="2" t="s">
        <v>21</v>
      </c>
      <c r="AI315" s="2">
        <v>2.0002667022269599E-3</v>
      </c>
      <c r="AJ315">
        <v>1</v>
      </c>
      <c r="AK315">
        <v>6</v>
      </c>
      <c r="AL315">
        <f>AK315+AL314-AK314</f>
        <v>351</v>
      </c>
      <c r="AM315">
        <f t="shared" si="49"/>
        <v>345</v>
      </c>
      <c r="AO315">
        <f t="shared" si="54"/>
        <v>1.9060773480662982</v>
      </c>
      <c r="AP315">
        <v>313</v>
      </c>
      <c r="AQ315">
        <f t="shared" si="45"/>
        <v>48.541672222963065</v>
      </c>
      <c r="AR315">
        <f t="shared" si="53"/>
        <v>2.4583277770369336</v>
      </c>
      <c r="AS315">
        <f t="shared" si="52"/>
        <v>0.75416722229630673</v>
      </c>
      <c r="AU315" t="s">
        <v>303</v>
      </c>
      <c r="AW315" t="s">
        <v>312</v>
      </c>
      <c r="AX315" s="13">
        <v>1</v>
      </c>
      <c r="AY315">
        <v>155</v>
      </c>
      <c r="AZ315" t="s">
        <v>7</v>
      </c>
      <c r="BA315" t="s">
        <v>0</v>
      </c>
    </row>
    <row r="316" spans="1:53" x14ac:dyDescent="0.35">
      <c r="A316" t="s">
        <v>6</v>
      </c>
      <c r="B316">
        <v>1</v>
      </c>
      <c r="C316" t="s">
        <v>5</v>
      </c>
      <c r="D316" t="s">
        <v>4</v>
      </c>
      <c r="E316" t="s">
        <v>3</v>
      </c>
      <c r="F316" s="1">
        <v>0.66</v>
      </c>
      <c r="G316" t="s">
        <v>2</v>
      </c>
      <c r="H316">
        <v>6</v>
      </c>
      <c r="I316">
        <v>8</v>
      </c>
      <c r="J316">
        <v>15</v>
      </c>
      <c r="K316">
        <v>35</v>
      </c>
      <c r="L316">
        <v>19</v>
      </c>
      <c r="M316">
        <f t="shared" si="50"/>
        <v>54</v>
      </c>
      <c r="N316">
        <v>52</v>
      </c>
      <c r="O316">
        <v>2.2999999999999998</v>
      </c>
      <c r="P316">
        <v>0.12</v>
      </c>
      <c r="Q316">
        <f t="shared" si="46"/>
        <v>1.0482932786841818E-2</v>
      </c>
      <c r="R316" s="6">
        <f>AVERAGE((-9940+10127),(-4354+4547))/2</f>
        <v>95</v>
      </c>
      <c r="S316">
        <v>0.75</v>
      </c>
      <c r="T316">
        <v>0.8</v>
      </c>
      <c r="U316">
        <v>0.9</v>
      </c>
      <c r="V316">
        <v>0.95</v>
      </c>
      <c r="W316">
        <f t="shared" si="51"/>
        <v>1.4249999999999998</v>
      </c>
      <c r="X316">
        <f t="shared" si="48"/>
        <v>2.8499999999999996</v>
      </c>
      <c r="Y316">
        <v>3.1</v>
      </c>
      <c r="Z316">
        <v>19.899999999999999</v>
      </c>
      <c r="AA316">
        <v>19.899999999999999</v>
      </c>
      <c r="AB316" s="3">
        <v>8</v>
      </c>
      <c r="AC316" s="3">
        <v>1509</v>
      </c>
      <c r="AD316" t="s">
        <v>618</v>
      </c>
      <c r="AE316">
        <v>2275</v>
      </c>
      <c r="AF316" s="3">
        <v>2276</v>
      </c>
      <c r="AG316" s="2">
        <v>60</v>
      </c>
      <c r="AH316" s="2">
        <v>1.3323464100666101E-2</v>
      </c>
      <c r="AI316" s="2" t="s">
        <v>21</v>
      </c>
      <c r="AJ316">
        <v>0</v>
      </c>
      <c r="AK316">
        <v>7</v>
      </c>
      <c r="AL316">
        <v>11</v>
      </c>
      <c r="AM316">
        <f t="shared" si="49"/>
        <v>4</v>
      </c>
      <c r="AO316">
        <f t="shared" si="54"/>
        <v>2.1052631578947368E-2</v>
      </c>
      <c r="AP316">
        <v>314</v>
      </c>
      <c r="AQ316" t="str">
        <f t="shared" si="45"/>
        <v>NA</v>
      </c>
      <c r="AR316" t="str">
        <f t="shared" si="53"/>
        <v>NA</v>
      </c>
      <c r="AS316" t="str">
        <f t="shared" si="52"/>
        <v>NA</v>
      </c>
      <c r="AT316" s="5" t="s">
        <v>395</v>
      </c>
      <c r="AU316" t="s">
        <v>303</v>
      </c>
      <c r="AX316" s="12">
        <v>0</v>
      </c>
      <c r="AY316">
        <v>156</v>
      </c>
      <c r="AZ316" t="s">
        <v>6</v>
      </c>
      <c r="BA316" t="s">
        <v>5</v>
      </c>
    </row>
    <row r="317" spans="1:53" x14ac:dyDescent="0.35">
      <c r="A317" t="s">
        <v>6</v>
      </c>
      <c r="B317">
        <v>1</v>
      </c>
      <c r="C317" t="s">
        <v>0</v>
      </c>
      <c r="D317" t="s">
        <v>4</v>
      </c>
      <c r="E317" t="s">
        <v>3</v>
      </c>
      <c r="F317" s="1">
        <v>0.66</v>
      </c>
      <c r="G317" t="s">
        <v>2</v>
      </c>
      <c r="H317">
        <v>6</v>
      </c>
      <c r="I317">
        <v>8</v>
      </c>
      <c r="J317">
        <v>15</v>
      </c>
      <c r="K317">
        <v>35</v>
      </c>
      <c r="L317">
        <v>19</v>
      </c>
      <c r="M317">
        <f t="shared" si="50"/>
        <v>54</v>
      </c>
      <c r="N317">
        <v>52</v>
      </c>
      <c r="O317">
        <v>2.2999999999999998</v>
      </c>
      <c r="P317">
        <v>0.12</v>
      </c>
      <c r="Q317">
        <f t="shared" si="46"/>
        <v>1.0482932786841818E-2</v>
      </c>
      <c r="R317" s="6">
        <f>AVERAGE((-9940+10127),(-4354+4547))/2</f>
        <v>95</v>
      </c>
      <c r="S317">
        <v>0.75</v>
      </c>
      <c r="T317">
        <v>0.8</v>
      </c>
      <c r="U317">
        <v>0.9</v>
      </c>
      <c r="V317">
        <v>0.95</v>
      </c>
      <c r="W317">
        <f t="shared" si="51"/>
        <v>1.4249999999999998</v>
      </c>
      <c r="X317">
        <f t="shared" si="48"/>
        <v>2.8499999999999996</v>
      </c>
      <c r="Y317">
        <v>3.1</v>
      </c>
      <c r="Z317">
        <v>19.899999999999999</v>
      </c>
      <c r="AA317">
        <v>19.899999999999999</v>
      </c>
      <c r="AB317" s="3">
        <v>8</v>
      </c>
      <c r="AC317" s="3">
        <v>1509</v>
      </c>
      <c r="AD317" t="s">
        <v>619</v>
      </c>
      <c r="AE317">
        <v>2275</v>
      </c>
      <c r="AF317" s="3">
        <v>2276</v>
      </c>
      <c r="AG317" s="2">
        <v>60</v>
      </c>
      <c r="AH317" s="2" t="s">
        <v>21</v>
      </c>
      <c r="AI317" s="2">
        <v>1.9903992506732199E-3</v>
      </c>
      <c r="AJ317">
        <v>0</v>
      </c>
      <c r="AK317">
        <v>5</v>
      </c>
      <c r="AL317">
        <v>9</v>
      </c>
      <c r="AM317">
        <f t="shared" si="49"/>
        <v>4</v>
      </c>
      <c r="AO317">
        <f t="shared" si="54"/>
        <v>2.1052631578947368E-2</v>
      </c>
      <c r="AP317">
        <v>315</v>
      </c>
      <c r="AQ317">
        <f t="shared" si="45"/>
        <v>53.880576044959604</v>
      </c>
      <c r="AR317">
        <f t="shared" si="53"/>
        <v>0.1194239550403932</v>
      </c>
      <c r="AS317">
        <f t="shared" si="52"/>
        <v>0.99371452868208454</v>
      </c>
      <c r="AU317" t="s">
        <v>303</v>
      </c>
      <c r="AX317" s="12">
        <v>0</v>
      </c>
      <c r="AY317">
        <v>156</v>
      </c>
      <c r="AZ317" t="s">
        <v>6</v>
      </c>
      <c r="BA317" t="s">
        <v>0</v>
      </c>
    </row>
    <row r="318" spans="1:53" x14ac:dyDescent="0.35">
      <c r="A318" t="s">
        <v>1</v>
      </c>
      <c r="B318">
        <v>1</v>
      </c>
      <c r="C318" t="s">
        <v>5</v>
      </c>
      <c r="D318" t="s">
        <v>4</v>
      </c>
      <c r="E318" t="s">
        <v>3</v>
      </c>
      <c r="F318" s="1">
        <v>0.66</v>
      </c>
      <c r="G318" t="s">
        <v>2</v>
      </c>
      <c r="H318">
        <v>6</v>
      </c>
      <c r="I318">
        <v>8</v>
      </c>
      <c r="J318">
        <v>15</v>
      </c>
      <c r="K318">
        <v>35</v>
      </c>
      <c r="L318">
        <v>19</v>
      </c>
      <c r="M318">
        <f t="shared" si="50"/>
        <v>54</v>
      </c>
      <c r="N318">
        <v>52</v>
      </c>
      <c r="O318">
        <v>2.2999999999999998</v>
      </c>
      <c r="P318">
        <v>0.12</v>
      </c>
      <c r="Q318">
        <f t="shared" si="46"/>
        <v>1.0482932786841818E-2</v>
      </c>
      <c r="R318" s="6">
        <v>96.75</v>
      </c>
      <c r="S318">
        <v>0.75</v>
      </c>
      <c r="T318">
        <v>0.8</v>
      </c>
      <c r="U318">
        <v>0.9</v>
      </c>
      <c r="V318">
        <v>0.95</v>
      </c>
      <c r="W318">
        <f t="shared" si="51"/>
        <v>1.4249999999999998</v>
      </c>
      <c r="X318">
        <f t="shared" si="48"/>
        <v>2.8499999999999996</v>
      </c>
      <c r="Y318">
        <v>3.1</v>
      </c>
      <c r="Z318">
        <v>19.899999999999999</v>
      </c>
      <c r="AA318">
        <v>19.899999999999999</v>
      </c>
      <c r="AB318" s="3">
        <v>8</v>
      </c>
      <c r="AC318" s="3">
        <v>1509</v>
      </c>
      <c r="AD318" t="s">
        <v>620</v>
      </c>
      <c r="AE318">
        <v>2275</v>
      </c>
      <c r="AF318" s="3">
        <v>2276</v>
      </c>
      <c r="AG318" s="2">
        <v>324</v>
      </c>
      <c r="AH318" s="2">
        <v>1.3323464100666101E-2</v>
      </c>
      <c r="AI318" s="2" t="s">
        <v>21</v>
      </c>
      <c r="AJ318">
        <v>1</v>
      </c>
      <c r="AK318">
        <v>3</v>
      </c>
      <c r="AL318">
        <v>211</v>
      </c>
      <c r="AM318">
        <f t="shared" si="49"/>
        <v>208</v>
      </c>
      <c r="AO318">
        <f t="shared" si="54"/>
        <v>1.0749354005167959</v>
      </c>
      <c r="AP318">
        <v>316</v>
      </c>
      <c r="AQ318" t="str">
        <f t="shared" si="45"/>
        <v>NA</v>
      </c>
      <c r="AR318" t="str">
        <f t="shared" si="53"/>
        <v>NA</v>
      </c>
      <c r="AS318" t="str">
        <f t="shared" si="52"/>
        <v>NA</v>
      </c>
      <c r="AU318" t="s">
        <v>303</v>
      </c>
      <c r="AX318" s="13">
        <v>1</v>
      </c>
      <c r="AY318">
        <v>157</v>
      </c>
      <c r="AZ318" t="s">
        <v>1</v>
      </c>
      <c r="BA318" t="s">
        <v>5</v>
      </c>
    </row>
    <row r="319" spans="1:53" x14ac:dyDescent="0.35">
      <c r="A319" t="s">
        <v>1</v>
      </c>
      <c r="B319">
        <v>1</v>
      </c>
      <c r="C319" t="s">
        <v>0</v>
      </c>
      <c r="D319" t="s">
        <v>4</v>
      </c>
      <c r="E319" t="s">
        <v>3</v>
      </c>
      <c r="F319" s="1">
        <v>0.66</v>
      </c>
      <c r="G319" t="s">
        <v>2</v>
      </c>
      <c r="H319">
        <v>6</v>
      </c>
      <c r="I319">
        <v>8</v>
      </c>
      <c r="J319">
        <v>15</v>
      </c>
      <c r="K319">
        <v>35</v>
      </c>
      <c r="L319">
        <v>19</v>
      </c>
      <c r="M319">
        <f t="shared" si="50"/>
        <v>54</v>
      </c>
      <c r="N319">
        <v>52</v>
      </c>
      <c r="O319">
        <v>2.2999999999999998</v>
      </c>
      <c r="P319">
        <v>0.12</v>
      </c>
      <c r="Q319">
        <f t="shared" si="46"/>
        <v>1.0482932786841818E-2</v>
      </c>
      <c r="R319" s="6">
        <v>96.75</v>
      </c>
      <c r="S319">
        <v>0.75</v>
      </c>
      <c r="T319">
        <v>0.8</v>
      </c>
      <c r="U319">
        <v>0.9</v>
      </c>
      <c r="V319">
        <v>0.95</v>
      </c>
      <c r="W319">
        <f t="shared" si="51"/>
        <v>1.4249999999999998</v>
      </c>
      <c r="X319">
        <f t="shared" si="48"/>
        <v>2.8499999999999996</v>
      </c>
      <c r="Y319">
        <v>3.1</v>
      </c>
      <c r="Z319">
        <v>19.899999999999999</v>
      </c>
      <c r="AA319">
        <v>19.899999999999999</v>
      </c>
      <c r="AB319" s="3">
        <v>8</v>
      </c>
      <c r="AC319" s="3">
        <v>1509</v>
      </c>
      <c r="AD319" t="s">
        <v>621</v>
      </c>
      <c r="AE319">
        <v>2275</v>
      </c>
      <c r="AF319" s="3">
        <v>2276</v>
      </c>
      <c r="AG319" s="2">
        <v>324</v>
      </c>
      <c r="AH319" s="2" t="s">
        <v>21</v>
      </c>
      <c r="AI319" s="2">
        <v>1.9903992506732199E-3</v>
      </c>
      <c r="AJ319">
        <v>1</v>
      </c>
      <c r="AK319">
        <v>5</v>
      </c>
      <c r="AL319">
        <f>AK319+AL318-AK318</f>
        <v>213</v>
      </c>
      <c r="AM319">
        <f t="shared" si="49"/>
        <v>208</v>
      </c>
      <c r="AO319">
        <f t="shared" si="54"/>
        <v>1.0749354005167959</v>
      </c>
      <c r="AP319">
        <v>317</v>
      </c>
      <c r="AQ319">
        <f t="shared" si="45"/>
        <v>53.355110642781874</v>
      </c>
      <c r="AR319">
        <f t="shared" si="53"/>
        <v>0.64488935721812324</v>
      </c>
      <c r="AS319">
        <f t="shared" si="52"/>
        <v>0.9660584548832567</v>
      </c>
      <c r="AU319" t="s">
        <v>303</v>
      </c>
      <c r="AX319" s="13">
        <v>1</v>
      </c>
      <c r="AY319">
        <v>157</v>
      </c>
      <c r="AZ319" t="s">
        <v>1</v>
      </c>
      <c r="BA319" t="s">
        <v>0</v>
      </c>
    </row>
    <row r="320" spans="1:53" x14ac:dyDescent="0.35">
      <c r="A320" t="s">
        <v>261</v>
      </c>
      <c r="B320">
        <v>1</v>
      </c>
      <c r="C320" t="s">
        <v>5</v>
      </c>
      <c r="D320" t="s">
        <v>4</v>
      </c>
      <c r="E320" t="s">
        <v>3</v>
      </c>
      <c r="F320" s="1">
        <v>0.69</v>
      </c>
      <c r="G320" t="s">
        <v>264</v>
      </c>
      <c r="H320">
        <v>8</v>
      </c>
      <c r="I320">
        <v>5</v>
      </c>
      <c r="J320">
        <v>7</v>
      </c>
      <c r="K320">
        <v>45</v>
      </c>
      <c r="L320">
        <v>12</v>
      </c>
      <c r="M320">
        <f t="shared" si="50"/>
        <v>57</v>
      </c>
      <c r="N320">
        <v>60</v>
      </c>
      <c r="O320">
        <v>2.37</v>
      </c>
      <c r="P320">
        <v>0.14000000000000001</v>
      </c>
      <c r="Q320">
        <f t="shared" si="46"/>
        <v>8.6745601373751906E-3</v>
      </c>
      <c r="R320" s="6">
        <v>103.75</v>
      </c>
      <c r="S320">
        <v>0.87</v>
      </c>
      <c r="T320">
        <v>1.02</v>
      </c>
      <c r="U320">
        <v>1.05</v>
      </c>
      <c r="V320">
        <v>1.1000000000000001</v>
      </c>
      <c r="W320">
        <f t="shared" si="51"/>
        <v>1.6500000000000001</v>
      </c>
      <c r="X320">
        <f t="shared" si="48"/>
        <v>3.3000000000000003</v>
      </c>
      <c r="Y320">
        <v>3.1</v>
      </c>
      <c r="Z320">
        <v>19.899999999999999</v>
      </c>
      <c r="AA320">
        <v>19.899999999999999</v>
      </c>
      <c r="AB320" s="3">
        <v>6</v>
      </c>
      <c r="AC320" s="3">
        <v>1475</v>
      </c>
      <c r="AD320" t="s">
        <v>622</v>
      </c>
      <c r="AE320">
        <v>1950</v>
      </c>
      <c r="AF320" s="3">
        <v>1950</v>
      </c>
      <c r="AG320" s="2">
        <v>646</v>
      </c>
      <c r="AH320" s="2">
        <v>1.34448760083657E-2</v>
      </c>
      <c r="AI320" s="2" t="s">
        <v>21</v>
      </c>
      <c r="AJ320">
        <v>0</v>
      </c>
      <c r="AK320">
        <v>4</v>
      </c>
      <c r="AL320">
        <v>19</v>
      </c>
      <c r="AM320">
        <f t="shared" si="49"/>
        <v>15</v>
      </c>
      <c r="AO320">
        <f t="shared" si="54"/>
        <v>7.2289156626506021E-2</v>
      </c>
      <c r="AP320">
        <v>318</v>
      </c>
      <c r="AQ320" t="str">
        <f t="shared" si="45"/>
        <v>NA</v>
      </c>
      <c r="AR320" t="str">
        <f t="shared" si="53"/>
        <v>NA</v>
      </c>
      <c r="AS320" t="str">
        <f t="shared" si="52"/>
        <v>NA</v>
      </c>
      <c r="AT320" s="5" t="s">
        <v>394</v>
      </c>
      <c r="AU320" t="s">
        <v>303</v>
      </c>
      <c r="AX320" s="12">
        <v>0</v>
      </c>
      <c r="AY320">
        <v>158</v>
      </c>
      <c r="AZ320" t="s">
        <v>261</v>
      </c>
      <c r="BA320" t="s">
        <v>5</v>
      </c>
    </row>
    <row r="321" spans="1:53" x14ac:dyDescent="0.35">
      <c r="A321" t="s">
        <v>261</v>
      </c>
      <c r="B321">
        <v>1</v>
      </c>
      <c r="C321" t="s">
        <v>0</v>
      </c>
      <c r="D321" t="s">
        <v>4</v>
      </c>
      <c r="E321" t="s">
        <v>3</v>
      </c>
      <c r="F321" s="1">
        <v>0.69</v>
      </c>
      <c r="G321" t="s">
        <v>264</v>
      </c>
      <c r="H321">
        <v>8</v>
      </c>
      <c r="I321">
        <v>5</v>
      </c>
      <c r="J321">
        <v>7</v>
      </c>
      <c r="K321">
        <v>45</v>
      </c>
      <c r="L321">
        <v>12</v>
      </c>
      <c r="M321">
        <f t="shared" si="50"/>
        <v>57</v>
      </c>
      <c r="N321">
        <v>60</v>
      </c>
      <c r="O321">
        <v>2.37</v>
      </c>
      <c r="P321">
        <v>0.14000000000000001</v>
      </c>
      <c r="Q321">
        <f t="shared" si="46"/>
        <v>8.6745601373751906E-3</v>
      </c>
      <c r="R321" s="6">
        <v>103.75</v>
      </c>
      <c r="S321">
        <v>0.87</v>
      </c>
      <c r="T321">
        <v>1.02</v>
      </c>
      <c r="U321">
        <v>1.05</v>
      </c>
      <c r="V321">
        <v>1.1000000000000001</v>
      </c>
      <c r="W321">
        <f t="shared" si="51"/>
        <v>1.6500000000000001</v>
      </c>
      <c r="X321">
        <f t="shared" si="48"/>
        <v>3.3000000000000003</v>
      </c>
      <c r="Y321">
        <v>3.1</v>
      </c>
      <c r="Z321">
        <v>19.899999999999999</v>
      </c>
      <c r="AA321">
        <v>19.899999999999999</v>
      </c>
      <c r="AB321" s="3">
        <v>6</v>
      </c>
      <c r="AC321" s="3">
        <v>1475</v>
      </c>
      <c r="AD321" t="s">
        <v>623</v>
      </c>
      <c r="AE321">
        <v>1950</v>
      </c>
      <c r="AF321" s="3">
        <v>1950</v>
      </c>
      <c r="AG321" s="2">
        <v>170</v>
      </c>
      <c r="AH321" s="2" t="s">
        <v>21</v>
      </c>
      <c r="AI321" s="2">
        <v>1.9765143587954798E-3</v>
      </c>
      <c r="AJ321">
        <v>0</v>
      </c>
      <c r="AK321">
        <v>6</v>
      </c>
      <c r="AL321">
        <v>21</v>
      </c>
      <c r="AM321">
        <f t="shared" si="49"/>
        <v>15</v>
      </c>
      <c r="AO321">
        <f t="shared" si="54"/>
        <v>7.2289156626506021E-2</v>
      </c>
      <c r="AP321">
        <v>319</v>
      </c>
      <c r="AQ321">
        <f t="shared" si="45"/>
        <v>56.663992559004768</v>
      </c>
      <c r="AR321">
        <f t="shared" si="53"/>
        <v>0.33600744099523155</v>
      </c>
      <c r="AS321">
        <f t="shared" si="52"/>
        <v>0.97199937991706398</v>
      </c>
      <c r="AU321" t="s">
        <v>303</v>
      </c>
      <c r="AX321" s="12">
        <v>0</v>
      </c>
      <c r="AY321">
        <v>158</v>
      </c>
      <c r="AZ321" t="s">
        <v>261</v>
      </c>
      <c r="BA321" t="s">
        <v>0</v>
      </c>
    </row>
    <row r="322" spans="1:53" x14ac:dyDescent="0.35">
      <c r="A322" t="s">
        <v>263</v>
      </c>
      <c r="B322">
        <v>1</v>
      </c>
      <c r="C322" t="s">
        <v>5</v>
      </c>
      <c r="D322" t="s">
        <v>4</v>
      </c>
      <c r="E322" t="s">
        <v>3</v>
      </c>
      <c r="F322" s="1">
        <v>0.69</v>
      </c>
      <c r="G322" t="s">
        <v>264</v>
      </c>
      <c r="H322">
        <v>8</v>
      </c>
      <c r="I322">
        <v>5</v>
      </c>
      <c r="J322">
        <v>7</v>
      </c>
      <c r="K322">
        <v>45</v>
      </c>
      <c r="L322">
        <v>12</v>
      </c>
      <c r="M322">
        <f t="shared" si="50"/>
        <v>57</v>
      </c>
      <c r="N322">
        <v>60</v>
      </c>
      <c r="O322">
        <v>2.37</v>
      </c>
      <c r="P322">
        <v>0.14000000000000001</v>
      </c>
      <c r="Q322">
        <f t="shared" si="46"/>
        <v>8.6745601373751906E-3</v>
      </c>
      <c r="R322" s="6">
        <v>103.75</v>
      </c>
      <c r="S322">
        <v>0.87</v>
      </c>
      <c r="T322">
        <v>1.02</v>
      </c>
      <c r="U322">
        <v>1.05</v>
      </c>
      <c r="V322">
        <v>1.1000000000000001</v>
      </c>
      <c r="W322">
        <f t="shared" si="51"/>
        <v>1.6500000000000001</v>
      </c>
      <c r="X322">
        <f t="shared" si="48"/>
        <v>3.3000000000000003</v>
      </c>
      <c r="Y322">
        <v>3.1</v>
      </c>
      <c r="Z322">
        <v>19.899999999999999</v>
      </c>
      <c r="AA322">
        <v>19.899999999999999</v>
      </c>
      <c r="AB322" s="3">
        <v>6</v>
      </c>
      <c r="AC322" s="3">
        <v>1475</v>
      </c>
      <c r="AD322" t="s">
        <v>624</v>
      </c>
      <c r="AE322">
        <v>1950</v>
      </c>
      <c r="AF322" s="3">
        <v>1950</v>
      </c>
      <c r="AG322" s="2">
        <v>872</v>
      </c>
      <c r="AH322" s="2">
        <v>1.34448760083657E-2</v>
      </c>
      <c r="AI322" s="2" t="s">
        <v>21</v>
      </c>
      <c r="AJ322">
        <v>1</v>
      </c>
      <c r="AK322">
        <v>9</v>
      </c>
      <c r="AL322">
        <v>256</v>
      </c>
      <c r="AM322">
        <f t="shared" si="49"/>
        <v>247</v>
      </c>
      <c r="AO322">
        <f t="shared" si="54"/>
        <v>1.1903614457831326</v>
      </c>
      <c r="AP322">
        <v>320</v>
      </c>
      <c r="AQ322" t="str">
        <f t="shared" ref="AQ322:AQ385" si="55">IF(AI322&lt;&gt;"NA",K322+L322-AG322*AI322,"NA")</f>
        <v>NA</v>
      </c>
      <c r="AR322" t="str">
        <f t="shared" si="53"/>
        <v>NA</v>
      </c>
      <c r="AS322" t="str">
        <f t="shared" si="52"/>
        <v>NA</v>
      </c>
      <c r="AU322" t="s">
        <v>303</v>
      </c>
      <c r="AX322" s="13">
        <v>1</v>
      </c>
      <c r="AY322">
        <v>159</v>
      </c>
      <c r="AZ322" t="s">
        <v>263</v>
      </c>
      <c r="BA322" t="s">
        <v>5</v>
      </c>
    </row>
    <row r="323" spans="1:53" x14ac:dyDescent="0.35">
      <c r="A323" t="s">
        <v>263</v>
      </c>
      <c r="B323">
        <v>1</v>
      </c>
      <c r="C323" t="s">
        <v>0</v>
      </c>
      <c r="D323" t="s">
        <v>4</v>
      </c>
      <c r="E323" t="s">
        <v>3</v>
      </c>
      <c r="F323" s="1">
        <v>0.69</v>
      </c>
      <c r="G323" t="s">
        <v>264</v>
      </c>
      <c r="H323">
        <v>8</v>
      </c>
      <c r="I323">
        <v>5</v>
      </c>
      <c r="J323">
        <v>7</v>
      </c>
      <c r="K323">
        <v>45</v>
      </c>
      <c r="L323">
        <v>12</v>
      </c>
      <c r="M323">
        <f t="shared" si="50"/>
        <v>57</v>
      </c>
      <c r="N323">
        <v>60</v>
      </c>
      <c r="O323">
        <v>2.37</v>
      </c>
      <c r="P323">
        <v>0.14000000000000001</v>
      </c>
      <c r="Q323">
        <f t="shared" ref="Q323:Q386" si="56">P323/(PI()*(5*(S323/2)^2+5*(T323/2)^2+5*(U323/2)^2+5*(V323/2)^2))</f>
        <v>8.6745601373751906E-3</v>
      </c>
      <c r="R323" s="6">
        <v>103.75</v>
      </c>
      <c r="S323">
        <v>0.87</v>
      </c>
      <c r="T323">
        <v>1.02</v>
      </c>
      <c r="U323">
        <v>1.05</v>
      </c>
      <c r="V323">
        <v>1.1000000000000001</v>
      </c>
      <c r="W323">
        <f t="shared" si="51"/>
        <v>1.6500000000000001</v>
      </c>
      <c r="X323">
        <f t="shared" ref="X323:X386" si="57">W323*2</f>
        <v>3.3000000000000003</v>
      </c>
      <c r="Y323">
        <v>3.1</v>
      </c>
      <c r="Z323">
        <v>19.899999999999999</v>
      </c>
      <c r="AA323">
        <v>19.899999999999999</v>
      </c>
      <c r="AB323" s="3">
        <v>6</v>
      </c>
      <c r="AC323" s="3">
        <v>1475</v>
      </c>
      <c r="AD323" t="s">
        <v>625</v>
      </c>
      <c r="AE323">
        <v>1950</v>
      </c>
      <c r="AF323" s="3">
        <v>1950</v>
      </c>
      <c r="AG323" s="2">
        <v>872</v>
      </c>
      <c r="AH323" s="2" t="s">
        <v>21</v>
      </c>
      <c r="AI323" s="2">
        <v>1.9765143587954798E-3</v>
      </c>
      <c r="AJ323">
        <v>1</v>
      </c>
      <c r="AK323">
        <v>5</v>
      </c>
      <c r="AL323">
        <f>AK323+AL322-AK322</f>
        <v>252</v>
      </c>
      <c r="AM323">
        <f t="shared" ref="AM323:AM386" si="58">AL323-AK323</f>
        <v>247</v>
      </c>
      <c r="AO323">
        <f t="shared" si="54"/>
        <v>1.1903614457831326</v>
      </c>
      <c r="AP323">
        <v>321</v>
      </c>
      <c r="AQ323">
        <f t="shared" si="55"/>
        <v>55.276479479130344</v>
      </c>
      <c r="AR323">
        <f t="shared" si="53"/>
        <v>1.7235205208696585</v>
      </c>
      <c r="AS323">
        <f t="shared" si="52"/>
        <v>0.85637328992752837</v>
      </c>
      <c r="AU323" t="s">
        <v>303</v>
      </c>
      <c r="AX323" s="13">
        <v>1</v>
      </c>
      <c r="AY323">
        <v>159</v>
      </c>
      <c r="AZ323" t="s">
        <v>263</v>
      </c>
      <c r="BA323" t="s">
        <v>0</v>
      </c>
    </row>
    <row r="324" spans="1:53" x14ac:dyDescent="0.35">
      <c r="A324" t="s">
        <v>262</v>
      </c>
      <c r="B324">
        <v>2</v>
      </c>
      <c r="C324" t="s">
        <v>5</v>
      </c>
      <c r="D324" t="s">
        <v>4</v>
      </c>
      <c r="E324" t="s">
        <v>3</v>
      </c>
      <c r="F324" s="1">
        <v>0.68</v>
      </c>
      <c r="G324" t="s">
        <v>8</v>
      </c>
      <c r="H324">
        <v>6</v>
      </c>
      <c r="I324">
        <v>7</v>
      </c>
      <c r="J324">
        <v>12</v>
      </c>
      <c r="K324">
        <v>35</v>
      </c>
      <c r="L324">
        <v>11</v>
      </c>
      <c r="M324">
        <f t="shared" ref="M324:M387" si="59">K324+L324</f>
        <v>46</v>
      </c>
      <c r="N324">
        <v>56</v>
      </c>
      <c r="O324">
        <v>2.7</v>
      </c>
      <c r="P324">
        <v>0.13</v>
      </c>
      <c r="Q324">
        <f t="shared" si="56"/>
        <v>8.8622980572667549E-3</v>
      </c>
      <c r="R324" s="6">
        <v>104.5</v>
      </c>
      <c r="S324">
        <v>0.77</v>
      </c>
      <c r="T324">
        <v>0.85</v>
      </c>
      <c r="U324">
        <v>1.1000000000000001</v>
      </c>
      <c r="V324">
        <v>1.1000000000000001</v>
      </c>
      <c r="W324">
        <f t="shared" ref="W324:W387" si="60">V324*1.5</f>
        <v>1.6500000000000001</v>
      </c>
      <c r="X324">
        <f t="shared" si="57"/>
        <v>3.3000000000000003</v>
      </c>
      <c r="Y324">
        <v>0.86</v>
      </c>
      <c r="Z324">
        <v>19.899999999999999</v>
      </c>
      <c r="AA324">
        <v>19.899999999999999</v>
      </c>
      <c r="AB324" s="3">
        <v>11</v>
      </c>
      <c r="AC324" s="3">
        <v>1943</v>
      </c>
      <c r="AD324" t="s">
        <v>626</v>
      </c>
      <c r="AE324">
        <v>3188</v>
      </c>
      <c r="AF324" s="3">
        <v>3180</v>
      </c>
      <c r="AG324" s="2">
        <v>193</v>
      </c>
      <c r="AH324" s="2">
        <v>1.0368663594469999E-2</v>
      </c>
      <c r="AI324" s="2" t="s">
        <v>21</v>
      </c>
      <c r="AJ324">
        <v>0</v>
      </c>
      <c r="AK324">
        <v>12</v>
      </c>
      <c r="AL324">
        <v>23</v>
      </c>
      <c r="AM324">
        <f t="shared" si="58"/>
        <v>11</v>
      </c>
      <c r="AO324">
        <f t="shared" si="54"/>
        <v>5.2631578947368418E-2</v>
      </c>
      <c r="AP324">
        <v>322</v>
      </c>
      <c r="AQ324" t="str">
        <f t="shared" si="55"/>
        <v>NA</v>
      </c>
      <c r="AR324" t="str">
        <f t="shared" si="53"/>
        <v>NA</v>
      </c>
      <c r="AS324" t="str">
        <f t="shared" si="52"/>
        <v>NA</v>
      </c>
      <c r="AT324" s="5" t="s">
        <v>393</v>
      </c>
      <c r="AU324" t="s">
        <v>303</v>
      </c>
      <c r="AX324" s="12">
        <v>0</v>
      </c>
      <c r="AY324">
        <v>160</v>
      </c>
      <c r="AZ324" t="s">
        <v>262</v>
      </c>
      <c r="BA324" t="s">
        <v>5</v>
      </c>
    </row>
    <row r="325" spans="1:53" x14ac:dyDescent="0.35">
      <c r="A325" t="s">
        <v>262</v>
      </c>
      <c r="B325">
        <v>2</v>
      </c>
      <c r="C325" t="s">
        <v>0</v>
      </c>
      <c r="D325" t="s">
        <v>4</v>
      </c>
      <c r="E325" t="s">
        <v>3</v>
      </c>
      <c r="F325" s="1">
        <v>0.68</v>
      </c>
      <c r="G325" t="s">
        <v>8</v>
      </c>
      <c r="H325">
        <v>6</v>
      </c>
      <c r="I325">
        <v>7</v>
      </c>
      <c r="J325">
        <v>12</v>
      </c>
      <c r="K325">
        <v>35</v>
      </c>
      <c r="L325">
        <v>11</v>
      </c>
      <c r="M325">
        <f t="shared" si="59"/>
        <v>46</v>
      </c>
      <c r="N325">
        <v>56</v>
      </c>
      <c r="O325">
        <v>2.7</v>
      </c>
      <c r="P325">
        <v>0.13</v>
      </c>
      <c r="Q325">
        <f t="shared" si="56"/>
        <v>8.8622980572667549E-3</v>
      </c>
      <c r="R325" s="6">
        <v>104.5</v>
      </c>
      <c r="S325">
        <v>0.77</v>
      </c>
      <c r="T325">
        <v>0.85</v>
      </c>
      <c r="U325">
        <v>1.1000000000000001</v>
      </c>
      <c r="V325">
        <v>1.1000000000000001</v>
      </c>
      <c r="W325">
        <f t="shared" si="60"/>
        <v>1.6500000000000001</v>
      </c>
      <c r="X325">
        <f t="shared" si="57"/>
        <v>3.3000000000000003</v>
      </c>
      <c r="Y325">
        <v>0.86</v>
      </c>
      <c r="Z325">
        <v>19.899999999999999</v>
      </c>
      <c r="AA325">
        <v>19.899999999999999</v>
      </c>
      <c r="AB325" s="3">
        <v>11</v>
      </c>
      <c r="AC325" s="3">
        <v>1943</v>
      </c>
      <c r="AD325" t="s">
        <v>627</v>
      </c>
      <c r="AE325">
        <v>3188</v>
      </c>
      <c r="AF325" s="3">
        <v>3180</v>
      </c>
      <c r="AG325" s="2">
        <v>193</v>
      </c>
      <c r="AH325" s="2" t="s">
        <v>21</v>
      </c>
      <c r="AI325" s="2">
        <v>1.9920318725099601E-3</v>
      </c>
      <c r="AJ325">
        <v>0</v>
      </c>
      <c r="AK325">
        <v>6</v>
      </c>
      <c r="AL325">
        <v>17</v>
      </c>
      <c r="AM325">
        <f t="shared" si="58"/>
        <v>11</v>
      </c>
      <c r="AO325">
        <f t="shared" si="54"/>
        <v>5.2631578947368418E-2</v>
      </c>
      <c r="AP325">
        <v>323</v>
      </c>
      <c r="AQ325">
        <f t="shared" si="55"/>
        <v>45.615537848605577</v>
      </c>
      <c r="AR325">
        <f t="shared" si="53"/>
        <v>0.3844621513944223</v>
      </c>
      <c r="AS325">
        <f t="shared" si="52"/>
        <v>0.96504889532777982</v>
      </c>
      <c r="AU325" t="s">
        <v>303</v>
      </c>
      <c r="AX325" s="12">
        <v>0</v>
      </c>
      <c r="AY325">
        <v>160</v>
      </c>
      <c r="AZ325" t="s">
        <v>262</v>
      </c>
      <c r="BA325" t="s">
        <v>0</v>
      </c>
    </row>
    <row r="326" spans="1:53" x14ac:dyDescent="0.35">
      <c r="A326" t="s">
        <v>265</v>
      </c>
      <c r="B326">
        <v>1</v>
      </c>
      <c r="C326" t="s">
        <v>5</v>
      </c>
      <c r="D326" t="s">
        <v>4</v>
      </c>
      <c r="E326" t="s">
        <v>3</v>
      </c>
      <c r="F326" s="1">
        <v>0.69</v>
      </c>
      <c r="G326" t="s">
        <v>264</v>
      </c>
      <c r="H326">
        <v>8</v>
      </c>
      <c r="I326">
        <v>5</v>
      </c>
      <c r="J326">
        <v>8</v>
      </c>
      <c r="K326">
        <v>44</v>
      </c>
      <c r="L326">
        <v>14</v>
      </c>
      <c r="M326">
        <f t="shared" si="59"/>
        <v>58</v>
      </c>
      <c r="N326">
        <v>58</v>
      </c>
      <c r="O326">
        <v>2.23</v>
      </c>
      <c r="P326">
        <v>0.14000000000000001</v>
      </c>
      <c r="Q326">
        <f t="shared" si="56"/>
        <v>8.3059287201399188E-3</v>
      </c>
      <c r="R326" s="6">
        <v>96</v>
      </c>
      <c r="S326">
        <v>0.85</v>
      </c>
      <c r="T326">
        <v>1.03</v>
      </c>
      <c r="U326">
        <v>1.1200000000000001</v>
      </c>
      <c r="V326">
        <v>1.1200000000000001</v>
      </c>
      <c r="W326">
        <f t="shared" si="60"/>
        <v>1.6800000000000002</v>
      </c>
      <c r="X326">
        <f t="shared" si="57"/>
        <v>3.3600000000000003</v>
      </c>
      <c r="Y326">
        <v>3.1</v>
      </c>
      <c r="Z326">
        <v>19.899999999999999</v>
      </c>
      <c r="AA326">
        <v>19.899999999999999</v>
      </c>
      <c r="AB326" s="3">
        <v>5</v>
      </c>
      <c r="AC326" s="3">
        <v>1470</v>
      </c>
      <c r="AF326" s="3">
        <v>1963</v>
      </c>
      <c r="AG326" s="2">
        <v>216</v>
      </c>
      <c r="AH326" s="2">
        <v>1.3368983957219201E-2</v>
      </c>
      <c r="AI326" s="2" t="s">
        <v>21</v>
      </c>
      <c r="AJ326">
        <v>1</v>
      </c>
      <c r="AK326">
        <v>5</v>
      </c>
      <c r="AL326">
        <v>224</v>
      </c>
      <c r="AM326">
        <f t="shared" si="58"/>
        <v>219</v>
      </c>
      <c r="AO326">
        <f t="shared" si="54"/>
        <v>1.140625</v>
      </c>
      <c r="AP326">
        <v>324</v>
      </c>
      <c r="AQ326" t="str">
        <f t="shared" si="55"/>
        <v>NA</v>
      </c>
      <c r="AR326" t="str">
        <f t="shared" si="53"/>
        <v>NA</v>
      </c>
      <c r="AS326" t="str">
        <f t="shared" si="52"/>
        <v>NA</v>
      </c>
      <c r="AT326" s="5" t="s">
        <v>385</v>
      </c>
      <c r="AU326" t="s">
        <v>303</v>
      </c>
      <c r="AW326" t="s">
        <v>729</v>
      </c>
      <c r="AX326" s="9" t="s">
        <v>452</v>
      </c>
      <c r="AY326">
        <v>161</v>
      </c>
      <c r="AZ326" t="s">
        <v>265</v>
      </c>
      <c r="BA326" t="s">
        <v>5</v>
      </c>
    </row>
    <row r="327" spans="1:53" x14ac:dyDescent="0.35">
      <c r="A327" t="s">
        <v>265</v>
      </c>
      <c r="B327">
        <v>1</v>
      </c>
      <c r="C327" t="s">
        <v>0</v>
      </c>
      <c r="D327" t="s">
        <v>4</v>
      </c>
      <c r="E327" t="s">
        <v>3</v>
      </c>
      <c r="F327" s="1">
        <v>0.69</v>
      </c>
      <c r="G327" t="s">
        <v>264</v>
      </c>
      <c r="H327">
        <v>8</v>
      </c>
      <c r="I327">
        <v>5</v>
      </c>
      <c r="J327">
        <v>8</v>
      </c>
      <c r="K327">
        <v>44</v>
      </c>
      <c r="L327">
        <v>14</v>
      </c>
      <c r="M327">
        <f t="shared" si="59"/>
        <v>58</v>
      </c>
      <c r="N327">
        <v>58</v>
      </c>
      <c r="O327">
        <v>2.23</v>
      </c>
      <c r="P327">
        <v>0.14000000000000001</v>
      </c>
      <c r="Q327">
        <f t="shared" si="56"/>
        <v>8.3059287201399188E-3</v>
      </c>
      <c r="R327" s="6">
        <v>96</v>
      </c>
      <c r="S327">
        <v>0.85</v>
      </c>
      <c r="T327">
        <v>1.03</v>
      </c>
      <c r="U327">
        <v>1.1200000000000001</v>
      </c>
      <c r="V327">
        <v>1.1200000000000001</v>
      </c>
      <c r="W327">
        <f t="shared" si="60"/>
        <v>1.6800000000000002</v>
      </c>
      <c r="X327">
        <f t="shared" si="57"/>
        <v>3.3600000000000003</v>
      </c>
      <c r="Y327">
        <v>3.1</v>
      </c>
      <c r="Z327">
        <v>19.899999999999999</v>
      </c>
      <c r="AA327">
        <v>19.899999999999999</v>
      </c>
      <c r="AB327" s="3">
        <v>5</v>
      </c>
      <c r="AC327" s="3">
        <v>1470</v>
      </c>
      <c r="AF327" s="3">
        <v>1963</v>
      </c>
      <c r="AG327" s="2">
        <v>216</v>
      </c>
      <c r="AH327" s="2" t="s">
        <v>21</v>
      </c>
      <c r="AI327" s="2">
        <v>1.9799802001979898E-3</v>
      </c>
      <c r="AJ327">
        <v>1</v>
      </c>
      <c r="AK327">
        <v>7</v>
      </c>
      <c r="AL327">
        <f>AK327+AL326-AK326</f>
        <v>226</v>
      </c>
      <c r="AM327">
        <f t="shared" si="58"/>
        <v>219</v>
      </c>
      <c r="AO327">
        <f t="shared" si="54"/>
        <v>1.140625</v>
      </c>
      <c r="AP327">
        <v>325</v>
      </c>
      <c r="AQ327">
        <f t="shared" si="55"/>
        <v>57.572324276757236</v>
      </c>
      <c r="AR327">
        <f t="shared" si="53"/>
        <v>0.42767572324276582</v>
      </c>
      <c r="AS327">
        <f t="shared" si="52"/>
        <v>0.96945173405408813</v>
      </c>
      <c r="AU327" t="s">
        <v>303</v>
      </c>
      <c r="AX327" s="9" t="s">
        <v>452</v>
      </c>
      <c r="AY327">
        <v>161</v>
      </c>
      <c r="AZ327" t="s">
        <v>265</v>
      </c>
      <c r="BA327" t="s">
        <v>0</v>
      </c>
    </row>
    <row r="328" spans="1:53" x14ac:dyDescent="0.35">
      <c r="A328" t="s">
        <v>266</v>
      </c>
      <c r="B328">
        <v>1</v>
      </c>
      <c r="C328" t="s">
        <v>5</v>
      </c>
      <c r="D328" t="s">
        <v>4</v>
      </c>
      <c r="E328" t="s">
        <v>3</v>
      </c>
      <c r="F328" s="1">
        <v>0.69</v>
      </c>
      <c r="G328" t="s">
        <v>264</v>
      </c>
      <c r="H328">
        <v>8</v>
      </c>
      <c r="I328">
        <v>5</v>
      </c>
      <c r="J328">
        <v>8</v>
      </c>
      <c r="K328">
        <v>44</v>
      </c>
      <c r="L328">
        <v>14</v>
      </c>
      <c r="M328">
        <f t="shared" si="59"/>
        <v>58</v>
      </c>
      <c r="N328">
        <v>58</v>
      </c>
      <c r="O328">
        <v>2.23</v>
      </c>
      <c r="P328">
        <v>0.14000000000000001</v>
      </c>
      <c r="Q328">
        <f t="shared" si="56"/>
        <v>8.3059287201399188E-3</v>
      </c>
      <c r="R328" s="6">
        <v>96</v>
      </c>
      <c r="S328">
        <v>0.85</v>
      </c>
      <c r="T328">
        <v>1.03</v>
      </c>
      <c r="U328">
        <v>1.1200000000000001</v>
      </c>
      <c r="V328">
        <v>1.1200000000000001</v>
      </c>
      <c r="W328">
        <f t="shared" si="60"/>
        <v>1.6800000000000002</v>
      </c>
      <c r="X328">
        <f t="shared" si="57"/>
        <v>3.3600000000000003</v>
      </c>
      <c r="Y328">
        <v>3.1</v>
      </c>
      <c r="Z328">
        <v>19.899999999999999</v>
      </c>
      <c r="AA328">
        <v>19.899999999999999</v>
      </c>
      <c r="AB328" s="3">
        <v>5</v>
      </c>
      <c r="AC328" s="3">
        <v>1470</v>
      </c>
      <c r="AD328" t="s">
        <v>628</v>
      </c>
      <c r="AE328">
        <v>1966</v>
      </c>
      <c r="AF328" s="3">
        <v>1963</v>
      </c>
      <c r="AG328" s="2">
        <v>1688</v>
      </c>
      <c r="AH328" s="2">
        <v>1.3368983957219201E-2</v>
      </c>
      <c r="AI328" s="2" t="s">
        <v>21</v>
      </c>
      <c r="AJ328">
        <v>1</v>
      </c>
      <c r="AK328">
        <v>5</v>
      </c>
      <c r="AL328">
        <v>173</v>
      </c>
      <c r="AM328">
        <f t="shared" si="58"/>
        <v>168</v>
      </c>
      <c r="AO328">
        <f t="shared" si="54"/>
        <v>0.875</v>
      </c>
      <c r="AP328">
        <v>326</v>
      </c>
      <c r="AQ328" t="str">
        <f t="shared" si="55"/>
        <v>NA</v>
      </c>
      <c r="AR328" t="str">
        <f t="shared" si="53"/>
        <v>NA</v>
      </c>
      <c r="AS328" t="str">
        <f t="shared" ref="AS328:AS391" si="61">IF(AR328&lt;&gt;"NA",(L328-AR328)/L328,"NA")</f>
        <v>NA</v>
      </c>
      <c r="AU328" t="s">
        <v>303</v>
      </c>
      <c r="AX328" s="13">
        <v>1</v>
      </c>
      <c r="AY328">
        <v>162</v>
      </c>
      <c r="AZ328" t="s">
        <v>266</v>
      </c>
      <c r="BA328" t="s">
        <v>5</v>
      </c>
    </row>
    <row r="329" spans="1:53" x14ac:dyDescent="0.35">
      <c r="A329" t="s">
        <v>266</v>
      </c>
      <c r="B329">
        <v>1</v>
      </c>
      <c r="C329" t="s">
        <v>0</v>
      </c>
      <c r="D329" t="s">
        <v>4</v>
      </c>
      <c r="E329" t="s">
        <v>3</v>
      </c>
      <c r="F329" s="1">
        <v>0.69</v>
      </c>
      <c r="G329" t="s">
        <v>264</v>
      </c>
      <c r="H329">
        <v>8</v>
      </c>
      <c r="I329">
        <v>5</v>
      </c>
      <c r="J329">
        <v>8</v>
      </c>
      <c r="K329">
        <v>44</v>
      </c>
      <c r="L329">
        <v>14</v>
      </c>
      <c r="M329">
        <f t="shared" si="59"/>
        <v>58</v>
      </c>
      <c r="N329">
        <v>58</v>
      </c>
      <c r="O329">
        <v>2.23</v>
      </c>
      <c r="P329">
        <v>0.14000000000000001</v>
      </c>
      <c r="Q329">
        <f t="shared" si="56"/>
        <v>8.3059287201399188E-3</v>
      </c>
      <c r="R329" s="6">
        <v>96</v>
      </c>
      <c r="S329">
        <v>0.85</v>
      </c>
      <c r="T329">
        <v>1.03</v>
      </c>
      <c r="U329">
        <v>1.1200000000000001</v>
      </c>
      <c r="V329">
        <v>1.1200000000000001</v>
      </c>
      <c r="W329">
        <f t="shared" si="60"/>
        <v>1.6800000000000002</v>
      </c>
      <c r="X329">
        <f t="shared" si="57"/>
        <v>3.3600000000000003</v>
      </c>
      <c r="Y329">
        <v>3.1</v>
      </c>
      <c r="Z329">
        <v>19.899999999999999</v>
      </c>
      <c r="AA329">
        <v>19.899999999999999</v>
      </c>
      <c r="AB329" s="3">
        <v>5</v>
      </c>
      <c r="AC329" s="3">
        <v>1470</v>
      </c>
      <c r="AD329" t="s">
        <v>629</v>
      </c>
      <c r="AE329">
        <v>1966</v>
      </c>
      <c r="AF329" s="3">
        <v>1963</v>
      </c>
      <c r="AG329" s="2">
        <v>1688</v>
      </c>
      <c r="AH329" s="2" t="s">
        <v>21</v>
      </c>
      <c r="AI329" s="2">
        <v>1.9799802001979898E-3</v>
      </c>
      <c r="AJ329">
        <v>1</v>
      </c>
      <c r="AK329">
        <v>7</v>
      </c>
      <c r="AL329">
        <f>AK329+AL328-AK328</f>
        <v>175</v>
      </c>
      <c r="AM329">
        <f t="shared" si="58"/>
        <v>168</v>
      </c>
      <c r="AO329">
        <f t="shared" si="54"/>
        <v>0.875</v>
      </c>
      <c r="AP329">
        <v>327</v>
      </c>
      <c r="AQ329">
        <f t="shared" si="55"/>
        <v>54.657793422065794</v>
      </c>
      <c r="AR329">
        <f t="shared" si="53"/>
        <v>3.3422065779342067</v>
      </c>
      <c r="AS329">
        <f t="shared" si="61"/>
        <v>0.76127095871898531</v>
      </c>
      <c r="AU329" t="s">
        <v>303</v>
      </c>
      <c r="AX329" s="13">
        <v>1</v>
      </c>
      <c r="AY329">
        <v>162</v>
      </c>
      <c r="AZ329" t="s">
        <v>266</v>
      </c>
      <c r="BA329" t="s">
        <v>0</v>
      </c>
    </row>
    <row r="330" spans="1:53" x14ac:dyDescent="0.35">
      <c r="A330" t="s">
        <v>267</v>
      </c>
      <c r="B330">
        <v>1</v>
      </c>
      <c r="C330" t="s">
        <v>5</v>
      </c>
      <c r="D330" t="s">
        <v>4</v>
      </c>
      <c r="E330" t="s">
        <v>3</v>
      </c>
      <c r="F330" s="1">
        <v>0.69</v>
      </c>
      <c r="G330" t="s">
        <v>264</v>
      </c>
      <c r="H330">
        <v>8</v>
      </c>
      <c r="I330">
        <v>7</v>
      </c>
      <c r="J330">
        <v>7</v>
      </c>
      <c r="K330">
        <v>48</v>
      </c>
      <c r="L330">
        <v>19</v>
      </c>
      <c r="M330">
        <f t="shared" si="59"/>
        <v>67</v>
      </c>
      <c r="N330">
        <v>70</v>
      </c>
      <c r="O330">
        <v>2.57</v>
      </c>
      <c r="P330">
        <v>0.14000000000000001</v>
      </c>
      <c r="Q330">
        <f t="shared" si="56"/>
        <v>8.6931741654680712E-3</v>
      </c>
      <c r="R330" s="6">
        <v>98.7</v>
      </c>
      <c r="S330">
        <v>0.83</v>
      </c>
      <c r="T330">
        <v>0.95</v>
      </c>
      <c r="U330">
        <v>1.1399999999999999</v>
      </c>
      <c r="V330">
        <v>1.1000000000000001</v>
      </c>
      <c r="W330">
        <f t="shared" si="60"/>
        <v>1.6500000000000001</v>
      </c>
      <c r="X330">
        <f t="shared" si="57"/>
        <v>3.3000000000000003</v>
      </c>
      <c r="Y330">
        <v>3.1</v>
      </c>
      <c r="Z330">
        <v>19.899999999999999</v>
      </c>
      <c r="AA330">
        <v>19.899999999999999</v>
      </c>
      <c r="AB330" s="3">
        <v>3</v>
      </c>
      <c r="AC330" s="3">
        <v>1400</v>
      </c>
      <c r="AD330" t="s">
        <v>630</v>
      </c>
      <c r="AE330">
        <v>1469</v>
      </c>
      <c r="AF330" s="3">
        <v>1464</v>
      </c>
      <c r="AG330" s="2">
        <v>1088</v>
      </c>
      <c r="AH330" s="2">
        <v>1.40449438202247E-2</v>
      </c>
      <c r="AI330" s="2" t="s">
        <v>21</v>
      </c>
      <c r="AJ330">
        <v>1</v>
      </c>
      <c r="AK330">
        <v>7</v>
      </c>
      <c r="AL330">
        <v>249</v>
      </c>
      <c r="AM330">
        <f t="shared" si="58"/>
        <v>242</v>
      </c>
      <c r="AO330">
        <f t="shared" si="54"/>
        <v>1.2259371833839918</v>
      </c>
      <c r="AP330">
        <v>328</v>
      </c>
      <c r="AQ330" t="str">
        <f t="shared" si="55"/>
        <v>NA</v>
      </c>
      <c r="AR330" t="str">
        <f t="shared" si="53"/>
        <v>NA</v>
      </c>
      <c r="AS330" t="str">
        <f t="shared" si="61"/>
        <v>NA</v>
      </c>
      <c r="AT330" s="5" t="s">
        <v>392</v>
      </c>
      <c r="AU330" t="s">
        <v>303</v>
      </c>
      <c r="AX330" s="13">
        <v>1</v>
      </c>
      <c r="AY330">
        <v>163</v>
      </c>
      <c r="AZ330" t="s">
        <v>267</v>
      </c>
      <c r="BA330" t="s">
        <v>5</v>
      </c>
    </row>
    <row r="331" spans="1:53" x14ac:dyDescent="0.35">
      <c r="A331" t="s">
        <v>267</v>
      </c>
      <c r="B331">
        <v>1</v>
      </c>
      <c r="C331" t="s">
        <v>0</v>
      </c>
      <c r="D331" t="s">
        <v>4</v>
      </c>
      <c r="E331" t="s">
        <v>3</v>
      </c>
      <c r="F331" s="1">
        <v>0.69</v>
      </c>
      <c r="G331" t="s">
        <v>264</v>
      </c>
      <c r="H331">
        <v>8</v>
      </c>
      <c r="I331">
        <v>7</v>
      </c>
      <c r="J331">
        <v>7</v>
      </c>
      <c r="K331">
        <v>48</v>
      </c>
      <c r="L331">
        <v>19</v>
      </c>
      <c r="M331">
        <f t="shared" si="59"/>
        <v>67</v>
      </c>
      <c r="N331">
        <v>70</v>
      </c>
      <c r="O331">
        <v>2.57</v>
      </c>
      <c r="P331">
        <v>0.14000000000000001</v>
      </c>
      <c r="Q331">
        <f t="shared" si="56"/>
        <v>8.6931741654680712E-3</v>
      </c>
      <c r="R331" s="6">
        <v>98.7</v>
      </c>
      <c r="S331">
        <v>0.83</v>
      </c>
      <c r="T331">
        <v>0.95</v>
      </c>
      <c r="U331">
        <v>1.1399999999999999</v>
      </c>
      <c r="V331">
        <v>1.1000000000000001</v>
      </c>
      <c r="W331">
        <f t="shared" si="60"/>
        <v>1.6500000000000001</v>
      </c>
      <c r="X331">
        <f t="shared" si="57"/>
        <v>3.3000000000000003</v>
      </c>
      <c r="Y331">
        <v>3.1</v>
      </c>
      <c r="Z331">
        <v>19.899999999999999</v>
      </c>
      <c r="AA331">
        <v>19.899999999999999</v>
      </c>
      <c r="AB331" s="3">
        <v>3</v>
      </c>
      <c r="AC331" s="3">
        <v>1400</v>
      </c>
      <c r="AD331" t="s">
        <v>631</v>
      </c>
      <c r="AE331">
        <v>1469</v>
      </c>
      <c r="AF331" s="3">
        <v>1464</v>
      </c>
      <c r="AG331" s="2">
        <v>1088</v>
      </c>
      <c r="AH331" s="2" t="s">
        <v>21</v>
      </c>
      <c r="AI331" s="2">
        <v>1.9799673887724201E-3</v>
      </c>
      <c r="AJ331">
        <v>1</v>
      </c>
      <c r="AK331">
        <v>8</v>
      </c>
      <c r="AL331">
        <f>AK331+AL330-AK330</f>
        <v>250</v>
      </c>
      <c r="AM331">
        <f t="shared" si="58"/>
        <v>242</v>
      </c>
      <c r="AO331">
        <f t="shared" si="54"/>
        <v>1.2259371833839918</v>
      </c>
      <c r="AP331">
        <v>329</v>
      </c>
      <c r="AQ331">
        <f t="shared" si="55"/>
        <v>64.845795481015614</v>
      </c>
      <c r="AR331">
        <f t="shared" si="53"/>
        <v>2.1542045189843932</v>
      </c>
      <c r="AS331">
        <f t="shared" si="61"/>
        <v>0.88662081479029509</v>
      </c>
      <c r="AU331" t="s">
        <v>303</v>
      </c>
      <c r="AX331" s="13">
        <v>1</v>
      </c>
      <c r="AY331">
        <v>163</v>
      </c>
      <c r="AZ331" t="s">
        <v>267</v>
      </c>
      <c r="BA331" t="s">
        <v>0</v>
      </c>
    </row>
    <row r="332" spans="1:53" x14ac:dyDescent="0.35">
      <c r="A332" t="s">
        <v>268</v>
      </c>
      <c r="B332">
        <v>2</v>
      </c>
      <c r="C332" t="s">
        <v>5</v>
      </c>
      <c r="D332" t="s">
        <v>4</v>
      </c>
      <c r="E332" t="s">
        <v>3</v>
      </c>
      <c r="F332" s="1">
        <v>0.69</v>
      </c>
      <c r="G332" t="s">
        <v>264</v>
      </c>
      <c r="H332">
        <v>8</v>
      </c>
      <c r="I332">
        <v>5</v>
      </c>
      <c r="J332">
        <v>10</v>
      </c>
      <c r="K332">
        <v>43</v>
      </c>
      <c r="L332">
        <v>19</v>
      </c>
      <c r="M332">
        <f t="shared" si="59"/>
        <v>62</v>
      </c>
      <c r="N332">
        <v>60</v>
      </c>
      <c r="O332">
        <v>2.97</v>
      </c>
      <c r="P332">
        <v>0.12</v>
      </c>
      <c r="Q332">
        <f t="shared" si="56"/>
        <v>8.8908202134547303E-3</v>
      </c>
      <c r="R332" s="6">
        <f t="shared" ref="R332:R337" si="62">AVERAGE((-7481+7679),(7900-7679))/2</f>
        <v>104.75</v>
      </c>
      <c r="S332">
        <v>0.76</v>
      </c>
      <c r="T332">
        <v>0.87</v>
      </c>
      <c r="U332">
        <v>1</v>
      </c>
      <c r="V332">
        <v>1.05</v>
      </c>
      <c r="W332">
        <f t="shared" si="60"/>
        <v>1.5750000000000002</v>
      </c>
      <c r="X332">
        <f t="shared" si="57"/>
        <v>3.1500000000000004</v>
      </c>
      <c r="Y332">
        <v>0.86</v>
      </c>
      <c r="Z332">
        <v>19.899999999999999</v>
      </c>
      <c r="AA332">
        <v>19.899999999999999</v>
      </c>
      <c r="AB332" s="3">
        <v>8</v>
      </c>
      <c r="AC332" s="3">
        <v>1907</v>
      </c>
      <c r="AF332" s="3">
        <v>2123</v>
      </c>
      <c r="AG332" s="2">
        <v>1271</v>
      </c>
      <c r="AH332" s="2">
        <v>1.0599458249911599E-2</v>
      </c>
      <c r="AI332" s="2" t="s">
        <v>21</v>
      </c>
      <c r="AJ332">
        <v>0</v>
      </c>
      <c r="AK332">
        <v>4</v>
      </c>
      <c r="AL332">
        <v>6</v>
      </c>
      <c r="AM332">
        <f t="shared" si="58"/>
        <v>2</v>
      </c>
      <c r="AO332">
        <f t="shared" si="54"/>
        <v>9.5465393794749408E-3</v>
      </c>
      <c r="AP332">
        <v>330</v>
      </c>
      <c r="AQ332" t="str">
        <f t="shared" si="55"/>
        <v>NA</v>
      </c>
      <c r="AR332" t="str">
        <f t="shared" ref="AR332:AR395" si="63">IF(AI332&lt;&gt;"NA",AG332*AI332,"NA")</f>
        <v>NA</v>
      </c>
      <c r="AS332" t="str">
        <f t="shared" si="61"/>
        <v>NA</v>
      </c>
      <c r="AT332" s="5" t="s">
        <v>391</v>
      </c>
      <c r="AU332" t="s">
        <v>430</v>
      </c>
      <c r="AX332" s="14">
        <v>0</v>
      </c>
      <c r="AY332">
        <v>164</v>
      </c>
      <c r="AZ332" t="s">
        <v>268</v>
      </c>
      <c r="BA332" t="s">
        <v>5</v>
      </c>
    </row>
    <row r="333" spans="1:53" x14ac:dyDescent="0.35">
      <c r="A333" t="s">
        <v>268</v>
      </c>
      <c r="B333">
        <v>2</v>
      </c>
      <c r="C333" t="s">
        <v>0</v>
      </c>
      <c r="D333" t="s">
        <v>4</v>
      </c>
      <c r="E333" t="s">
        <v>3</v>
      </c>
      <c r="F333" s="1">
        <v>0.69</v>
      </c>
      <c r="G333" t="s">
        <v>264</v>
      </c>
      <c r="H333">
        <v>8</v>
      </c>
      <c r="I333">
        <v>5</v>
      </c>
      <c r="J333">
        <v>10</v>
      </c>
      <c r="K333">
        <v>43</v>
      </c>
      <c r="L333">
        <v>19</v>
      </c>
      <c r="M333">
        <f t="shared" si="59"/>
        <v>62</v>
      </c>
      <c r="N333">
        <v>60</v>
      </c>
      <c r="O333">
        <v>2.97</v>
      </c>
      <c r="P333">
        <v>0.12</v>
      </c>
      <c r="Q333">
        <f t="shared" si="56"/>
        <v>8.8908202134547303E-3</v>
      </c>
      <c r="R333" s="6">
        <f t="shared" si="62"/>
        <v>104.75</v>
      </c>
      <c r="S333">
        <v>0.76</v>
      </c>
      <c r="T333">
        <v>0.87</v>
      </c>
      <c r="U333">
        <v>1</v>
      </c>
      <c r="V333">
        <v>1.05</v>
      </c>
      <c r="W333">
        <f t="shared" si="60"/>
        <v>1.5750000000000002</v>
      </c>
      <c r="X333">
        <f t="shared" si="57"/>
        <v>3.1500000000000004</v>
      </c>
      <c r="Y333">
        <v>0.86</v>
      </c>
      <c r="Z333">
        <v>19.899999999999999</v>
      </c>
      <c r="AA333">
        <v>19.899999999999999</v>
      </c>
      <c r="AB333" s="3">
        <v>8</v>
      </c>
      <c r="AC333" s="3">
        <v>1907</v>
      </c>
      <c r="AF333" s="3">
        <v>2123</v>
      </c>
      <c r="AG333" s="2">
        <v>1271</v>
      </c>
      <c r="AH333" s="2" t="s">
        <v>21</v>
      </c>
      <c r="AI333" s="2">
        <v>1.93825280354423E-3</v>
      </c>
      <c r="AJ333">
        <v>0</v>
      </c>
      <c r="AK333">
        <v>7</v>
      </c>
      <c r="AL333">
        <v>9</v>
      </c>
      <c r="AM333">
        <f t="shared" si="58"/>
        <v>2</v>
      </c>
      <c r="AO333">
        <f t="shared" si="54"/>
        <v>9.5465393794749408E-3</v>
      </c>
      <c r="AP333">
        <v>331</v>
      </c>
      <c r="AQ333">
        <f t="shared" si="55"/>
        <v>59.536480686695285</v>
      </c>
      <c r="AR333">
        <f t="shared" si="63"/>
        <v>2.4635193133047162</v>
      </c>
      <c r="AS333">
        <f t="shared" si="61"/>
        <v>0.87034108877343608</v>
      </c>
      <c r="AU333" t="s">
        <v>430</v>
      </c>
      <c r="AX333" s="14">
        <v>0</v>
      </c>
      <c r="AY333">
        <v>164</v>
      </c>
      <c r="AZ333" t="s">
        <v>268</v>
      </c>
      <c r="BA333" t="s">
        <v>0</v>
      </c>
    </row>
    <row r="334" spans="1:53" x14ac:dyDescent="0.35">
      <c r="A334" t="s">
        <v>270</v>
      </c>
      <c r="B334">
        <v>2</v>
      </c>
      <c r="C334" t="s">
        <v>5</v>
      </c>
      <c r="D334" t="s">
        <v>4</v>
      </c>
      <c r="E334" t="s">
        <v>3</v>
      </c>
      <c r="F334" s="1">
        <v>0.69</v>
      </c>
      <c r="G334" t="s">
        <v>264</v>
      </c>
      <c r="H334">
        <v>8</v>
      </c>
      <c r="I334">
        <v>5</v>
      </c>
      <c r="J334">
        <v>10</v>
      </c>
      <c r="K334">
        <v>43</v>
      </c>
      <c r="L334">
        <v>19</v>
      </c>
      <c r="M334">
        <f t="shared" si="59"/>
        <v>62</v>
      </c>
      <c r="N334">
        <v>60</v>
      </c>
      <c r="O334">
        <v>2.97</v>
      </c>
      <c r="P334">
        <v>0.12</v>
      </c>
      <c r="Q334">
        <f t="shared" si="56"/>
        <v>8.8908202134547303E-3</v>
      </c>
      <c r="R334" s="6">
        <f t="shared" si="62"/>
        <v>104.75</v>
      </c>
      <c r="S334">
        <v>0.76</v>
      </c>
      <c r="T334">
        <v>0.87</v>
      </c>
      <c r="U334">
        <v>1</v>
      </c>
      <c r="V334">
        <v>1.05</v>
      </c>
      <c r="W334">
        <f t="shared" si="60"/>
        <v>1.5750000000000002</v>
      </c>
      <c r="X334">
        <f t="shared" si="57"/>
        <v>3.1500000000000004</v>
      </c>
      <c r="Y334">
        <v>0.86</v>
      </c>
      <c r="Z334">
        <v>19.899999999999999</v>
      </c>
      <c r="AA334">
        <v>19.899999999999999</v>
      </c>
      <c r="AB334" s="3">
        <v>8</v>
      </c>
      <c r="AC334" s="3">
        <v>1907</v>
      </c>
      <c r="AF334" s="3">
        <v>2123</v>
      </c>
      <c r="AG334" s="2">
        <v>1248</v>
      </c>
      <c r="AH334" s="2">
        <v>1.0599458249911599E-2</v>
      </c>
      <c r="AI334" s="2" t="s">
        <v>21</v>
      </c>
      <c r="AJ334">
        <v>0</v>
      </c>
      <c r="AK334">
        <v>7</v>
      </c>
      <c r="AL334">
        <v>11</v>
      </c>
      <c r="AM334">
        <f t="shared" si="58"/>
        <v>4</v>
      </c>
      <c r="AO334">
        <f t="shared" si="54"/>
        <v>1.9093078758949882E-2</v>
      </c>
      <c r="AP334">
        <v>332</v>
      </c>
      <c r="AQ334" t="str">
        <f t="shared" si="55"/>
        <v>NA</v>
      </c>
      <c r="AR334" t="str">
        <f t="shared" si="63"/>
        <v>NA</v>
      </c>
      <c r="AS334" t="str">
        <f t="shared" si="61"/>
        <v>NA</v>
      </c>
      <c r="AU334" t="s">
        <v>430</v>
      </c>
      <c r="AX334" s="14">
        <v>0</v>
      </c>
      <c r="AY334">
        <v>165</v>
      </c>
      <c r="AZ334" t="s">
        <v>270</v>
      </c>
      <c r="BA334" t="s">
        <v>5</v>
      </c>
    </row>
    <row r="335" spans="1:53" x14ac:dyDescent="0.35">
      <c r="A335" t="s">
        <v>270</v>
      </c>
      <c r="B335">
        <v>2</v>
      </c>
      <c r="C335" t="s">
        <v>0</v>
      </c>
      <c r="D335" t="s">
        <v>4</v>
      </c>
      <c r="E335" t="s">
        <v>3</v>
      </c>
      <c r="F335" s="1">
        <v>0.69</v>
      </c>
      <c r="G335" t="s">
        <v>264</v>
      </c>
      <c r="H335">
        <v>8</v>
      </c>
      <c r="I335">
        <v>5</v>
      </c>
      <c r="J335">
        <v>10</v>
      </c>
      <c r="K335">
        <v>43</v>
      </c>
      <c r="L335">
        <v>19</v>
      </c>
      <c r="M335">
        <f t="shared" si="59"/>
        <v>62</v>
      </c>
      <c r="N335">
        <v>60</v>
      </c>
      <c r="O335">
        <v>2.97</v>
      </c>
      <c r="P335">
        <v>0.12</v>
      </c>
      <c r="Q335">
        <f t="shared" si="56"/>
        <v>8.8908202134547303E-3</v>
      </c>
      <c r="R335" s="6">
        <f t="shared" si="62"/>
        <v>104.75</v>
      </c>
      <c r="S335">
        <v>0.76</v>
      </c>
      <c r="T335">
        <v>0.87</v>
      </c>
      <c r="U335">
        <v>1</v>
      </c>
      <c r="V335">
        <v>1.05</v>
      </c>
      <c r="W335">
        <f t="shared" si="60"/>
        <v>1.5750000000000002</v>
      </c>
      <c r="X335">
        <f t="shared" si="57"/>
        <v>3.1500000000000004</v>
      </c>
      <c r="Y335">
        <v>0.86</v>
      </c>
      <c r="Z335">
        <v>19.899999999999999</v>
      </c>
      <c r="AA335">
        <v>19.899999999999999</v>
      </c>
      <c r="AB335" s="3">
        <v>8</v>
      </c>
      <c r="AC335" s="3">
        <v>1907</v>
      </c>
      <c r="AF335" s="3">
        <v>2123</v>
      </c>
      <c r="AG335" s="2">
        <v>1248</v>
      </c>
      <c r="AH335" s="2" t="s">
        <v>21</v>
      </c>
      <c r="AI335" s="2">
        <v>1.93825280354423E-3</v>
      </c>
      <c r="AJ335">
        <v>0</v>
      </c>
      <c r="AK335">
        <v>4</v>
      </c>
      <c r="AL335">
        <v>8</v>
      </c>
      <c r="AM335">
        <f t="shared" si="58"/>
        <v>4</v>
      </c>
      <c r="AO335">
        <f t="shared" si="54"/>
        <v>1.9093078758949882E-2</v>
      </c>
      <c r="AP335">
        <v>333</v>
      </c>
      <c r="AQ335">
        <f t="shared" si="55"/>
        <v>59.5810605011768</v>
      </c>
      <c r="AR335">
        <f t="shared" si="63"/>
        <v>2.4189394988231991</v>
      </c>
      <c r="AS335">
        <f t="shared" si="61"/>
        <v>0.87268739479877899</v>
      </c>
      <c r="AU335" t="s">
        <v>430</v>
      </c>
      <c r="AX335" s="14">
        <v>0</v>
      </c>
      <c r="AY335">
        <v>165</v>
      </c>
      <c r="AZ335" t="s">
        <v>270</v>
      </c>
      <c r="BA335" t="s">
        <v>0</v>
      </c>
    </row>
    <row r="336" spans="1:53" x14ac:dyDescent="0.35">
      <c r="A336" t="s">
        <v>271</v>
      </c>
      <c r="B336">
        <v>2</v>
      </c>
      <c r="C336" t="s">
        <v>5</v>
      </c>
      <c r="D336" t="s">
        <v>4</v>
      </c>
      <c r="E336" t="s">
        <v>3</v>
      </c>
      <c r="F336" s="1">
        <v>0.69</v>
      </c>
      <c r="G336" t="s">
        <v>264</v>
      </c>
      <c r="H336">
        <v>8</v>
      </c>
      <c r="I336">
        <v>5</v>
      </c>
      <c r="J336">
        <v>10</v>
      </c>
      <c r="K336">
        <v>43</v>
      </c>
      <c r="L336">
        <v>19</v>
      </c>
      <c r="M336">
        <f t="shared" si="59"/>
        <v>62</v>
      </c>
      <c r="N336">
        <v>60</v>
      </c>
      <c r="O336">
        <v>2.97</v>
      </c>
      <c r="P336">
        <v>0.12</v>
      </c>
      <c r="Q336">
        <f t="shared" si="56"/>
        <v>8.8908202134547303E-3</v>
      </c>
      <c r="R336" s="6">
        <f t="shared" si="62"/>
        <v>104.75</v>
      </c>
      <c r="S336">
        <v>0.76</v>
      </c>
      <c r="T336">
        <v>0.87</v>
      </c>
      <c r="U336">
        <v>1</v>
      </c>
      <c r="V336">
        <v>1.05</v>
      </c>
      <c r="W336">
        <f t="shared" si="60"/>
        <v>1.5750000000000002</v>
      </c>
      <c r="X336">
        <f t="shared" si="57"/>
        <v>3.1500000000000004</v>
      </c>
      <c r="Y336">
        <v>0.86</v>
      </c>
      <c r="Z336">
        <v>19.899999999999999</v>
      </c>
      <c r="AA336">
        <v>19.899999999999999</v>
      </c>
      <c r="AB336" s="3">
        <v>8</v>
      </c>
      <c r="AC336" s="3">
        <v>1907</v>
      </c>
      <c r="AD336" t="s">
        <v>632</v>
      </c>
      <c r="AE336">
        <v>2122</v>
      </c>
      <c r="AF336" s="3">
        <v>2123</v>
      </c>
      <c r="AG336" s="2">
        <v>1465</v>
      </c>
      <c r="AH336" s="2">
        <v>1.0599458249911599E-2</v>
      </c>
      <c r="AI336" s="2" t="s">
        <v>21</v>
      </c>
      <c r="AJ336">
        <v>1</v>
      </c>
      <c r="AK336">
        <v>10</v>
      </c>
      <c r="AL336">
        <v>211</v>
      </c>
      <c r="AM336">
        <f t="shared" si="58"/>
        <v>201</v>
      </c>
      <c r="AO336">
        <f t="shared" si="54"/>
        <v>0.95942720763723155</v>
      </c>
      <c r="AP336">
        <v>334</v>
      </c>
      <c r="AQ336" t="str">
        <f t="shared" si="55"/>
        <v>NA</v>
      </c>
      <c r="AR336" t="str">
        <f t="shared" si="63"/>
        <v>NA</v>
      </c>
      <c r="AS336" t="str">
        <f t="shared" si="61"/>
        <v>NA</v>
      </c>
      <c r="AU336" t="s">
        <v>303</v>
      </c>
      <c r="AX336" s="13">
        <v>1</v>
      </c>
      <c r="AY336">
        <v>166</v>
      </c>
      <c r="AZ336" t="s">
        <v>271</v>
      </c>
      <c r="BA336" t="s">
        <v>5</v>
      </c>
    </row>
    <row r="337" spans="1:53" x14ac:dyDescent="0.35">
      <c r="A337" t="s">
        <v>271</v>
      </c>
      <c r="B337">
        <v>2</v>
      </c>
      <c r="C337" t="s">
        <v>0</v>
      </c>
      <c r="D337" t="s">
        <v>4</v>
      </c>
      <c r="E337" t="s">
        <v>3</v>
      </c>
      <c r="F337" s="1">
        <v>0.69</v>
      </c>
      <c r="G337" t="s">
        <v>264</v>
      </c>
      <c r="H337">
        <v>8</v>
      </c>
      <c r="I337">
        <v>5</v>
      </c>
      <c r="J337">
        <v>10</v>
      </c>
      <c r="K337">
        <v>43</v>
      </c>
      <c r="L337">
        <v>19</v>
      </c>
      <c r="M337">
        <f t="shared" si="59"/>
        <v>62</v>
      </c>
      <c r="N337">
        <v>60</v>
      </c>
      <c r="O337">
        <v>2.97</v>
      </c>
      <c r="P337">
        <v>0.12</v>
      </c>
      <c r="Q337">
        <f t="shared" si="56"/>
        <v>8.8908202134547303E-3</v>
      </c>
      <c r="R337" s="6">
        <f t="shared" si="62"/>
        <v>104.75</v>
      </c>
      <c r="S337">
        <v>0.76</v>
      </c>
      <c r="T337">
        <v>0.87</v>
      </c>
      <c r="U337">
        <v>1</v>
      </c>
      <c r="V337">
        <v>1.05</v>
      </c>
      <c r="W337">
        <f t="shared" si="60"/>
        <v>1.5750000000000002</v>
      </c>
      <c r="X337">
        <f t="shared" si="57"/>
        <v>3.1500000000000004</v>
      </c>
      <c r="Y337">
        <v>0.86</v>
      </c>
      <c r="Z337">
        <v>19.899999999999999</v>
      </c>
      <c r="AA337">
        <v>19.899999999999999</v>
      </c>
      <c r="AB337" s="3">
        <v>8</v>
      </c>
      <c r="AC337" s="3">
        <v>1907</v>
      </c>
      <c r="AD337" t="s">
        <v>633</v>
      </c>
      <c r="AE337">
        <v>2122</v>
      </c>
      <c r="AF337" s="3">
        <v>2123</v>
      </c>
      <c r="AG337" s="2">
        <v>1465</v>
      </c>
      <c r="AH337" s="2" t="s">
        <v>21</v>
      </c>
      <c r="AI337" s="2">
        <v>1.93825280354423E-3</v>
      </c>
      <c r="AJ337">
        <v>1</v>
      </c>
      <c r="AK337">
        <v>6</v>
      </c>
      <c r="AL337">
        <f>AK337+AL336-AK336</f>
        <v>207</v>
      </c>
      <c r="AM337">
        <f t="shared" si="58"/>
        <v>201</v>
      </c>
      <c r="AO337">
        <f t="shared" si="54"/>
        <v>0.95942720763723155</v>
      </c>
      <c r="AP337">
        <v>335</v>
      </c>
      <c r="AQ337">
        <f t="shared" si="55"/>
        <v>59.160459642807702</v>
      </c>
      <c r="AR337">
        <f t="shared" si="63"/>
        <v>2.839540357192297</v>
      </c>
      <c r="AS337">
        <f t="shared" si="61"/>
        <v>0.85055050751619488</v>
      </c>
      <c r="AU337" t="s">
        <v>303</v>
      </c>
      <c r="AX337" s="13">
        <v>1</v>
      </c>
      <c r="AY337">
        <v>166</v>
      </c>
      <c r="AZ337" t="s">
        <v>271</v>
      </c>
      <c r="BA337" t="s">
        <v>0</v>
      </c>
    </row>
    <row r="338" spans="1:53" x14ac:dyDescent="0.35">
      <c r="A338" t="s">
        <v>269</v>
      </c>
      <c r="B338">
        <v>1</v>
      </c>
      <c r="C338" t="s">
        <v>5</v>
      </c>
      <c r="D338" t="s">
        <v>4</v>
      </c>
      <c r="E338" t="s">
        <v>3</v>
      </c>
      <c r="F338" s="1">
        <v>0.7</v>
      </c>
      <c r="G338" t="s">
        <v>272</v>
      </c>
      <c r="H338">
        <v>6</v>
      </c>
      <c r="I338">
        <v>4</v>
      </c>
      <c r="J338">
        <v>11</v>
      </c>
      <c r="K338">
        <v>38</v>
      </c>
      <c r="L338">
        <v>18</v>
      </c>
      <c r="M338">
        <f t="shared" si="59"/>
        <v>56</v>
      </c>
      <c r="N338">
        <v>63</v>
      </c>
      <c r="O338">
        <v>3.15</v>
      </c>
      <c r="P338">
        <v>0.13</v>
      </c>
      <c r="Q338">
        <f t="shared" si="56"/>
        <v>1.0088753897270665E-2</v>
      </c>
      <c r="R338" s="6">
        <f>AT338/2</f>
        <v>102.5</v>
      </c>
      <c r="S338">
        <v>0.78</v>
      </c>
      <c r="T338">
        <v>0.95</v>
      </c>
      <c r="U338">
        <v>0.98</v>
      </c>
      <c r="V338">
        <v>0.9</v>
      </c>
      <c r="W338">
        <f t="shared" si="60"/>
        <v>1.35</v>
      </c>
      <c r="X338">
        <f t="shared" si="57"/>
        <v>2.7</v>
      </c>
      <c r="Y338">
        <v>3.1</v>
      </c>
      <c r="Z338">
        <v>19.899999999999999</v>
      </c>
      <c r="AA338">
        <v>19.899999999999999</v>
      </c>
      <c r="AB338" s="3">
        <v>8</v>
      </c>
      <c r="AC338" s="3">
        <v>1515</v>
      </c>
      <c r="AD338" t="s">
        <v>634</v>
      </c>
      <c r="AE338">
        <v>2332</v>
      </c>
      <c r="AF338" s="3">
        <v>2331</v>
      </c>
      <c r="AG338" s="2">
        <v>1162</v>
      </c>
      <c r="AH338" s="2">
        <v>1.3290017720023599E-2</v>
      </c>
      <c r="AI338" s="2" t="s">
        <v>21</v>
      </c>
      <c r="AJ338">
        <v>1</v>
      </c>
      <c r="AK338">
        <v>14</v>
      </c>
      <c r="AL338">
        <v>194</v>
      </c>
      <c r="AM338">
        <f t="shared" si="58"/>
        <v>180</v>
      </c>
      <c r="AO338">
        <f t="shared" si="54"/>
        <v>0.87804878048780488</v>
      </c>
      <c r="AP338">
        <v>336</v>
      </c>
      <c r="AQ338" t="str">
        <f t="shared" si="55"/>
        <v>NA</v>
      </c>
      <c r="AR338" t="str">
        <f t="shared" si="63"/>
        <v>NA</v>
      </c>
      <c r="AS338" t="str">
        <f t="shared" si="61"/>
        <v>NA</v>
      </c>
      <c r="AT338" s="5" t="s">
        <v>388</v>
      </c>
      <c r="AU338" t="s">
        <v>303</v>
      </c>
      <c r="AX338" s="13">
        <v>1</v>
      </c>
      <c r="AY338">
        <v>167</v>
      </c>
      <c r="AZ338" t="s">
        <v>269</v>
      </c>
      <c r="BA338" t="s">
        <v>5</v>
      </c>
    </row>
    <row r="339" spans="1:53" x14ac:dyDescent="0.35">
      <c r="A339" t="s">
        <v>269</v>
      </c>
      <c r="B339">
        <v>1</v>
      </c>
      <c r="C339" t="s">
        <v>0</v>
      </c>
      <c r="D339" t="s">
        <v>4</v>
      </c>
      <c r="E339" t="s">
        <v>3</v>
      </c>
      <c r="F339" s="1">
        <v>0.7</v>
      </c>
      <c r="G339" t="s">
        <v>272</v>
      </c>
      <c r="H339">
        <v>6</v>
      </c>
      <c r="I339">
        <v>4</v>
      </c>
      <c r="J339">
        <v>11</v>
      </c>
      <c r="K339">
        <v>38</v>
      </c>
      <c r="L339">
        <v>18</v>
      </c>
      <c r="M339">
        <f t="shared" si="59"/>
        <v>56</v>
      </c>
      <c r="N339">
        <v>63</v>
      </c>
      <c r="O339">
        <v>3.15</v>
      </c>
      <c r="P339">
        <v>0.13</v>
      </c>
      <c r="Q339">
        <f t="shared" si="56"/>
        <v>1.0088753897270665E-2</v>
      </c>
      <c r="R339" s="6">
        <v>102.5</v>
      </c>
      <c r="S339">
        <v>0.78</v>
      </c>
      <c r="T339">
        <v>0.95</v>
      </c>
      <c r="U339">
        <v>0.98</v>
      </c>
      <c r="V339">
        <v>0.9</v>
      </c>
      <c r="W339">
        <f t="shared" si="60"/>
        <v>1.35</v>
      </c>
      <c r="X339">
        <f t="shared" si="57"/>
        <v>2.7</v>
      </c>
      <c r="Y339">
        <v>3.1</v>
      </c>
      <c r="Z339">
        <v>19.899999999999999</v>
      </c>
      <c r="AA339">
        <v>19.899999999999999</v>
      </c>
      <c r="AB339" s="3">
        <v>8</v>
      </c>
      <c r="AC339" s="3">
        <v>1515</v>
      </c>
      <c r="AD339" t="s">
        <v>635</v>
      </c>
      <c r="AE339">
        <v>2332</v>
      </c>
      <c r="AF339" s="3">
        <v>2331</v>
      </c>
      <c r="AG339" s="2">
        <v>1162</v>
      </c>
      <c r="AH339" s="2" t="s">
        <v>21</v>
      </c>
      <c r="AI339" s="2">
        <v>1.9342359767891601E-3</v>
      </c>
      <c r="AJ339">
        <v>1</v>
      </c>
      <c r="AK339">
        <v>6</v>
      </c>
      <c r="AL339">
        <f>AK339+AL338-AK338</f>
        <v>186</v>
      </c>
      <c r="AM339">
        <f t="shared" si="58"/>
        <v>180</v>
      </c>
      <c r="AO339">
        <f t="shared" si="54"/>
        <v>0.87804878048780488</v>
      </c>
      <c r="AP339">
        <v>337</v>
      </c>
      <c r="AQ339">
        <f t="shared" si="55"/>
        <v>53.752417794970995</v>
      </c>
      <c r="AR339">
        <f t="shared" si="63"/>
        <v>2.247582205029004</v>
      </c>
      <c r="AS339">
        <f t="shared" si="61"/>
        <v>0.87513432194283303</v>
      </c>
      <c r="AU339" t="s">
        <v>303</v>
      </c>
      <c r="AX339" s="13">
        <v>1</v>
      </c>
      <c r="AY339">
        <v>167</v>
      </c>
      <c r="AZ339" t="s">
        <v>269</v>
      </c>
      <c r="BA339" t="s">
        <v>0</v>
      </c>
    </row>
    <row r="340" spans="1:53" x14ac:dyDescent="0.35">
      <c r="A340" t="s">
        <v>273</v>
      </c>
      <c r="B340">
        <v>1</v>
      </c>
      <c r="C340" t="s">
        <v>5</v>
      </c>
      <c r="D340" t="s">
        <v>4</v>
      </c>
      <c r="E340" t="s">
        <v>3</v>
      </c>
      <c r="F340" s="1">
        <v>0.7</v>
      </c>
      <c r="G340" t="s">
        <v>272</v>
      </c>
      <c r="H340">
        <v>6</v>
      </c>
      <c r="I340">
        <v>4</v>
      </c>
      <c r="J340">
        <v>14</v>
      </c>
      <c r="K340">
        <v>41</v>
      </c>
      <c r="L340">
        <v>16</v>
      </c>
      <c r="M340">
        <f t="shared" si="59"/>
        <v>57</v>
      </c>
      <c r="N340">
        <v>75</v>
      </c>
      <c r="O340">
        <v>3.1</v>
      </c>
      <c r="P340">
        <v>0.14000000000000001</v>
      </c>
      <c r="Q340">
        <f t="shared" si="56"/>
        <v>1.2873079819666554E-2</v>
      </c>
      <c r="R340" s="6">
        <f>AT340/2</f>
        <v>95</v>
      </c>
      <c r="S340">
        <v>0.75</v>
      </c>
      <c r="T340">
        <v>0.87</v>
      </c>
      <c r="U340">
        <v>0.9</v>
      </c>
      <c r="V340">
        <v>0.8</v>
      </c>
      <c r="W340">
        <f t="shared" si="60"/>
        <v>1.2000000000000002</v>
      </c>
      <c r="X340">
        <f t="shared" si="57"/>
        <v>2.4000000000000004</v>
      </c>
      <c r="Y340">
        <v>3.1</v>
      </c>
      <c r="Z340">
        <v>19.899999999999999</v>
      </c>
      <c r="AA340">
        <v>19.899999999999999</v>
      </c>
      <c r="AB340" s="3">
        <v>5</v>
      </c>
      <c r="AC340" s="3">
        <v>1481</v>
      </c>
      <c r="AF340" s="3">
        <v>2002</v>
      </c>
      <c r="AG340" s="2">
        <v>1079</v>
      </c>
      <c r="AH340" s="2">
        <v>1.34028294862248E-2</v>
      </c>
      <c r="AI340" s="2" t="s">
        <v>21</v>
      </c>
      <c r="AJ340">
        <v>0</v>
      </c>
      <c r="AK340">
        <v>8</v>
      </c>
      <c r="AL340">
        <v>110</v>
      </c>
      <c r="AM340">
        <f t="shared" si="58"/>
        <v>102</v>
      </c>
      <c r="AO340">
        <f t="shared" si="54"/>
        <v>0.5368421052631579</v>
      </c>
      <c r="AP340">
        <v>338</v>
      </c>
      <c r="AQ340" t="str">
        <f t="shared" si="55"/>
        <v>NA</v>
      </c>
      <c r="AR340" t="str">
        <f t="shared" si="63"/>
        <v>NA</v>
      </c>
      <c r="AS340" t="str">
        <f t="shared" si="61"/>
        <v>NA</v>
      </c>
      <c r="AT340" s="5" t="s">
        <v>387</v>
      </c>
      <c r="AU340" t="s">
        <v>303</v>
      </c>
      <c r="AX340" s="12">
        <v>0</v>
      </c>
      <c r="AY340">
        <v>168</v>
      </c>
      <c r="AZ340" t="s">
        <v>273</v>
      </c>
      <c r="BA340" t="s">
        <v>5</v>
      </c>
    </row>
    <row r="341" spans="1:53" x14ac:dyDescent="0.35">
      <c r="A341" t="s">
        <v>273</v>
      </c>
      <c r="B341">
        <v>1</v>
      </c>
      <c r="C341" t="s">
        <v>0</v>
      </c>
      <c r="D341" t="s">
        <v>4</v>
      </c>
      <c r="E341" t="s">
        <v>3</v>
      </c>
      <c r="F341" s="1">
        <v>0.7</v>
      </c>
      <c r="G341" t="s">
        <v>272</v>
      </c>
      <c r="H341">
        <v>6</v>
      </c>
      <c r="I341">
        <v>4</v>
      </c>
      <c r="J341">
        <v>14</v>
      </c>
      <c r="K341">
        <v>41</v>
      </c>
      <c r="L341">
        <v>16</v>
      </c>
      <c r="M341">
        <f t="shared" si="59"/>
        <v>57</v>
      </c>
      <c r="N341">
        <v>75</v>
      </c>
      <c r="O341">
        <v>3.1</v>
      </c>
      <c r="P341">
        <v>0.14000000000000001</v>
      </c>
      <c r="Q341">
        <f t="shared" si="56"/>
        <v>1.2873079819666554E-2</v>
      </c>
      <c r="R341" s="6">
        <v>95</v>
      </c>
      <c r="S341">
        <v>0.75</v>
      </c>
      <c r="T341">
        <v>0.87</v>
      </c>
      <c r="U341">
        <v>0.9</v>
      </c>
      <c r="V341">
        <v>0.8</v>
      </c>
      <c r="W341">
        <f t="shared" si="60"/>
        <v>1.2000000000000002</v>
      </c>
      <c r="X341">
        <f t="shared" si="57"/>
        <v>2.4000000000000004</v>
      </c>
      <c r="Y341">
        <v>3.1</v>
      </c>
      <c r="Z341">
        <v>19.899999999999999</v>
      </c>
      <c r="AA341">
        <v>19.899999999999999</v>
      </c>
      <c r="AB341" s="3">
        <v>5</v>
      </c>
      <c r="AC341" s="3">
        <v>1481</v>
      </c>
      <c r="AF341" s="3">
        <v>2002</v>
      </c>
      <c r="AG341" s="2">
        <v>1079</v>
      </c>
      <c r="AH341" s="2" t="s">
        <v>21</v>
      </c>
      <c r="AI341" s="2">
        <v>1.96914998359041E-3</v>
      </c>
      <c r="AJ341">
        <v>0</v>
      </c>
      <c r="AK341">
        <v>10</v>
      </c>
      <c r="AL341">
        <v>112</v>
      </c>
      <c r="AM341">
        <f t="shared" si="58"/>
        <v>102</v>
      </c>
      <c r="AO341">
        <f t="shared" si="54"/>
        <v>0.5368421052631579</v>
      </c>
      <c r="AP341">
        <v>339</v>
      </c>
      <c r="AQ341">
        <f t="shared" si="55"/>
        <v>54.875287167705949</v>
      </c>
      <c r="AR341">
        <f t="shared" si="63"/>
        <v>2.1247128322940525</v>
      </c>
      <c r="AS341">
        <f t="shared" si="61"/>
        <v>0.86720544798162169</v>
      </c>
      <c r="AU341" t="s">
        <v>303</v>
      </c>
      <c r="AX341" s="12">
        <v>0</v>
      </c>
      <c r="AY341">
        <v>168</v>
      </c>
      <c r="AZ341" t="s">
        <v>273</v>
      </c>
      <c r="BA341" t="s">
        <v>0</v>
      </c>
    </row>
    <row r="342" spans="1:53" x14ac:dyDescent="0.35">
      <c r="A342" t="s">
        <v>277</v>
      </c>
      <c r="B342">
        <v>1</v>
      </c>
      <c r="C342" t="s">
        <v>5</v>
      </c>
      <c r="D342" t="s">
        <v>4</v>
      </c>
      <c r="E342" t="s">
        <v>3</v>
      </c>
      <c r="F342" s="1">
        <v>0.7</v>
      </c>
      <c r="G342" t="s">
        <v>272</v>
      </c>
      <c r="H342">
        <v>6</v>
      </c>
      <c r="I342">
        <v>4</v>
      </c>
      <c r="J342">
        <v>14</v>
      </c>
      <c r="K342">
        <v>41</v>
      </c>
      <c r="L342">
        <v>16</v>
      </c>
      <c r="M342">
        <f t="shared" si="59"/>
        <v>57</v>
      </c>
      <c r="N342">
        <v>75</v>
      </c>
      <c r="O342">
        <v>3.1</v>
      </c>
      <c r="P342">
        <v>0.14000000000000001</v>
      </c>
      <c r="Q342">
        <f t="shared" si="56"/>
        <v>1.2873079819666554E-2</v>
      </c>
      <c r="R342" s="6">
        <f t="shared" ref="R342:R347" si="64">AVERAGE((-7080+7277))/2</f>
        <v>98.5</v>
      </c>
      <c r="S342">
        <v>0.75</v>
      </c>
      <c r="T342">
        <v>0.87</v>
      </c>
      <c r="U342">
        <v>0.9</v>
      </c>
      <c r="V342">
        <v>0.8</v>
      </c>
      <c r="W342">
        <f t="shared" si="60"/>
        <v>1.2000000000000002</v>
      </c>
      <c r="X342">
        <f t="shared" si="57"/>
        <v>2.4000000000000004</v>
      </c>
      <c r="Y342">
        <v>3.1</v>
      </c>
      <c r="Z342">
        <v>19.899999999999999</v>
      </c>
      <c r="AA342">
        <v>19.899999999999999</v>
      </c>
      <c r="AB342" s="3">
        <v>5</v>
      </c>
      <c r="AC342" s="3">
        <v>1481</v>
      </c>
      <c r="AD342" t="s">
        <v>636</v>
      </c>
      <c r="AE342">
        <v>1669</v>
      </c>
      <c r="AF342" s="3">
        <v>2002</v>
      </c>
      <c r="AG342" s="2">
        <v>1039</v>
      </c>
      <c r="AH342" s="2">
        <v>1.34028294862248E-2</v>
      </c>
      <c r="AI342" s="2" t="s">
        <v>21</v>
      </c>
      <c r="AJ342">
        <v>0</v>
      </c>
      <c r="AK342">
        <v>16</v>
      </c>
      <c r="AL342">
        <v>39</v>
      </c>
      <c r="AM342">
        <f t="shared" si="58"/>
        <v>23</v>
      </c>
      <c r="AO342">
        <f t="shared" si="54"/>
        <v>0.116751269035533</v>
      </c>
      <c r="AP342">
        <v>340</v>
      </c>
      <c r="AQ342" t="str">
        <f t="shared" si="55"/>
        <v>NA</v>
      </c>
      <c r="AR342" t="str">
        <f t="shared" si="63"/>
        <v>NA</v>
      </c>
      <c r="AS342" t="str">
        <f t="shared" si="61"/>
        <v>NA</v>
      </c>
      <c r="AU342" t="s">
        <v>430</v>
      </c>
      <c r="AX342" s="14">
        <v>0</v>
      </c>
      <c r="AY342">
        <v>169</v>
      </c>
      <c r="AZ342" t="s">
        <v>277</v>
      </c>
      <c r="BA342" t="s">
        <v>5</v>
      </c>
    </row>
    <row r="343" spans="1:53" x14ac:dyDescent="0.35">
      <c r="A343" t="s">
        <v>277</v>
      </c>
      <c r="B343">
        <v>1</v>
      </c>
      <c r="C343" t="s">
        <v>0</v>
      </c>
      <c r="D343" t="s">
        <v>4</v>
      </c>
      <c r="E343" t="s">
        <v>3</v>
      </c>
      <c r="F343" s="1">
        <v>0.7</v>
      </c>
      <c r="G343" t="s">
        <v>272</v>
      </c>
      <c r="H343">
        <v>6</v>
      </c>
      <c r="I343">
        <v>4</v>
      </c>
      <c r="J343">
        <v>14</v>
      </c>
      <c r="K343">
        <v>41</v>
      </c>
      <c r="L343">
        <v>16</v>
      </c>
      <c r="M343">
        <f t="shared" si="59"/>
        <v>57</v>
      </c>
      <c r="N343">
        <v>75</v>
      </c>
      <c r="O343">
        <v>3.1</v>
      </c>
      <c r="P343">
        <v>0.14000000000000001</v>
      </c>
      <c r="Q343">
        <f t="shared" si="56"/>
        <v>1.2873079819666554E-2</v>
      </c>
      <c r="R343" s="6">
        <f t="shared" si="64"/>
        <v>98.5</v>
      </c>
      <c r="S343">
        <v>0.75</v>
      </c>
      <c r="T343">
        <v>0.87</v>
      </c>
      <c r="U343">
        <v>0.9</v>
      </c>
      <c r="V343">
        <v>0.8</v>
      </c>
      <c r="W343">
        <f t="shared" si="60"/>
        <v>1.2000000000000002</v>
      </c>
      <c r="X343">
        <f t="shared" si="57"/>
        <v>2.4000000000000004</v>
      </c>
      <c r="Y343">
        <v>3.1</v>
      </c>
      <c r="Z343">
        <v>19.899999999999999</v>
      </c>
      <c r="AA343">
        <v>19.899999999999999</v>
      </c>
      <c r="AB343" s="3">
        <v>5</v>
      </c>
      <c r="AC343" s="3">
        <v>1481</v>
      </c>
      <c r="AD343" t="s">
        <v>637</v>
      </c>
      <c r="AE343">
        <v>1669</v>
      </c>
      <c r="AF343" s="3">
        <v>2002</v>
      </c>
      <c r="AG343" s="2">
        <v>1039</v>
      </c>
      <c r="AH343" s="2" t="s">
        <v>21</v>
      </c>
      <c r="AI343" s="2">
        <v>1.96914998359041E-3</v>
      </c>
      <c r="AJ343">
        <v>0</v>
      </c>
      <c r="AK343">
        <v>8</v>
      </c>
      <c r="AL343">
        <v>31</v>
      </c>
      <c r="AM343">
        <f t="shared" si="58"/>
        <v>23</v>
      </c>
      <c r="AO343">
        <f t="shared" si="54"/>
        <v>0.116751269035533</v>
      </c>
      <c r="AP343">
        <v>341</v>
      </c>
      <c r="AQ343">
        <f t="shared" si="55"/>
        <v>54.954053167049565</v>
      </c>
      <c r="AR343">
        <f t="shared" si="63"/>
        <v>2.045946832950436</v>
      </c>
      <c r="AS343">
        <f t="shared" si="61"/>
        <v>0.87212832294059772</v>
      </c>
      <c r="AU343" t="s">
        <v>430</v>
      </c>
      <c r="AX343" s="14">
        <v>0</v>
      </c>
      <c r="AY343">
        <v>169</v>
      </c>
      <c r="AZ343" t="s">
        <v>277</v>
      </c>
      <c r="BA343" t="s">
        <v>0</v>
      </c>
    </row>
    <row r="344" spans="1:53" x14ac:dyDescent="0.35">
      <c r="A344" t="s">
        <v>279</v>
      </c>
      <c r="B344">
        <v>1</v>
      </c>
      <c r="C344" t="s">
        <v>5</v>
      </c>
      <c r="D344" t="s">
        <v>4</v>
      </c>
      <c r="E344" t="s">
        <v>3</v>
      </c>
      <c r="F344" s="1">
        <v>0.7</v>
      </c>
      <c r="G344" t="s">
        <v>272</v>
      </c>
      <c r="H344">
        <v>6</v>
      </c>
      <c r="I344">
        <v>4</v>
      </c>
      <c r="J344">
        <v>14</v>
      </c>
      <c r="K344">
        <v>41</v>
      </c>
      <c r="L344">
        <v>16</v>
      </c>
      <c r="M344">
        <f t="shared" si="59"/>
        <v>57</v>
      </c>
      <c r="N344">
        <v>75</v>
      </c>
      <c r="O344">
        <v>3.1</v>
      </c>
      <c r="P344">
        <v>0.14000000000000001</v>
      </c>
      <c r="Q344">
        <f t="shared" si="56"/>
        <v>1.2873079819666554E-2</v>
      </c>
      <c r="R344" s="6">
        <f t="shared" si="64"/>
        <v>98.5</v>
      </c>
      <c r="S344">
        <v>0.75</v>
      </c>
      <c r="T344">
        <v>0.87</v>
      </c>
      <c r="U344">
        <v>0.9</v>
      </c>
      <c r="V344">
        <v>0.8</v>
      </c>
      <c r="W344">
        <f t="shared" si="60"/>
        <v>1.2000000000000002</v>
      </c>
      <c r="X344">
        <f t="shared" si="57"/>
        <v>2.4000000000000004</v>
      </c>
      <c r="Y344">
        <v>3.1</v>
      </c>
      <c r="Z344">
        <v>19.899999999999999</v>
      </c>
      <c r="AA344">
        <v>19.899999999999999</v>
      </c>
      <c r="AB344" s="3">
        <v>5</v>
      </c>
      <c r="AC344" s="3">
        <v>1481</v>
      </c>
      <c r="AD344" t="s">
        <v>638</v>
      </c>
      <c r="AE344">
        <v>1669</v>
      </c>
      <c r="AF344" s="3">
        <v>2002</v>
      </c>
      <c r="AG344" s="2">
        <v>1180</v>
      </c>
      <c r="AH344" s="2">
        <v>1.34028294862248E-2</v>
      </c>
      <c r="AI344" s="2" t="s">
        <v>21</v>
      </c>
      <c r="AJ344">
        <v>1</v>
      </c>
      <c r="AK344">
        <v>10</v>
      </c>
      <c r="AL344">
        <v>179</v>
      </c>
      <c r="AM344">
        <f t="shared" si="58"/>
        <v>169</v>
      </c>
      <c r="AO344">
        <f t="shared" si="54"/>
        <v>0.85786802030456855</v>
      </c>
      <c r="AP344">
        <v>342</v>
      </c>
      <c r="AQ344" t="str">
        <f t="shared" si="55"/>
        <v>NA</v>
      </c>
      <c r="AR344" t="str">
        <f t="shared" si="63"/>
        <v>NA</v>
      </c>
      <c r="AS344" t="str">
        <f t="shared" si="61"/>
        <v>NA</v>
      </c>
      <c r="AU344" t="s">
        <v>303</v>
      </c>
      <c r="AX344" s="13">
        <v>1</v>
      </c>
      <c r="AY344">
        <v>170</v>
      </c>
      <c r="AZ344" t="s">
        <v>279</v>
      </c>
      <c r="BA344" t="s">
        <v>5</v>
      </c>
    </row>
    <row r="345" spans="1:53" x14ac:dyDescent="0.35">
      <c r="A345" t="s">
        <v>279</v>
      </c>
      <c r="B345">
        <v>1</v>
      </c>
      <c r="C345" t="s">
        <v>0</v>
      </c>
      <c r="D345" t="s">
        <v>4</v>
      </c>
      <c r="E345" t="s">
        <v>3</v>
      </c>
      <c r="F345" s="1">
        <v>0.7</v>
      </c>
      <c r="G345" t="s">
        <v>272</v>
      </c>
      <c r="H345">
        <v>6</v>
      </c>
      <c r="I345">
        <v>4</v>
      </c>
      <c r="J345">
        <v>14</v>
      </c>
      <c r="K345">
        <v>41</v>
      </c>
      <c r="L345">
        <v>16</v>
      </c>
      <c r="M345">
        <f t="shared" si="59"/>
        <v>57</v>
      </c>
      <c r="N345">
        <v>75</v>
      </c>
      <c r="O345">
        <v>3.1</v>
      </c>
      <c r="P345">
        <v>0.14000000000000001</v>
      </c>
      <c r="Q345">
        <f t="shared" si="56"/>
        <v>1.2873079819666554E-2</v>
      </c>
      <c r="R345" s="6">
        <f t="shared" si="64"/>
        <v>98.5</v>
      </c>
      <c r="S345">
        <v>0.75</v>
      </c>
      <c r="T345">
        <v>0.87</v>
      </c>
      <c r="U345">
        <v>0.9</v>
      </c>
      <c r="V345">
        <v>0.8</v>
      </c>
      <c r="W345">
        <f t="shared" si="60"/>
        <v>1.2000000000000002</v>
      </c>
      <c r="X345">
        <f t="shared" si="57"/>
        <v>2.4000000000000004</v>
      </c>
      <c r="Y345">
        <v>3.1</v>
      </c>
      <c r="Z345">
        <v>19.899999999999999</v>
      </c>
      <c r="AA345">
        <v>19.899999999999999</v>
      </c>
      <c r="AB345" s="3">
        <v>5</v>
      </c>
      <c r="AC345" s="3">
        <v>1481</v>
      </c>
      <c r="AD345" t="s">
        <v>639</v>
      </c>
      <c r="AE345">
        <v>1669</v>
      </c>
      <c r="AF345" s="3">
        <v>2002</v>
      </c>
      <c r="AG345" s="2">
        <v>1180</v>
      </c>
      <c r="AH345" s="2" t="s">
        <v>21</v>
      </c>
      <c r="AI345" s="2">
        <v>1.96914998359041E-3</v>
      </c>
      <c r="AJ345">
        <v>1</v>
      </c>
      <c r="AK345">
        <v>5</v>
      </c>
      <c r="AL345">
        <f>AK345+AL344-AK344</f>
        <v>174</v>
      </c>
      <c r="AM345">
        <f t="shared" si="58"/>
        <v>169</v>
      </c>
      <c r="AO345">
        <f t="shared" si="54"/>
        <v>0.85786802030456855</v>
      </c>
      <c r="AP345">
        <v>343</v>
      </c>
      <c r="AQ345">
        <f t="shared" si="55"/>
        <v>54.676403019363313</v>
      </c>
      <c r="AR345">
        <f t="shared" si="63"/>
        <v>2.3235969806366836</v>
      </c>
      <c r="AS345">
        <f t="shared" si="61"/>
        <v>0.8547751887102073</v>
      </c>
      <c r="AU345" t="s">
        <v>303</v>
      </c>
      <c r="AX345" s="13">
        <v>1</v>
      </c>
      <c r="AY345">
        <v>170</v>
      </c>
      <c r="AZ345" t="s">
        <v>279</v>
      </c>
      <c r="BA345" t="s">
        <v>0</v>
      </c>
    </row>
    <row r="346" spans="1:53" x14ac:dyDescent="0.35">
      <c r="A346" t="s">
        <v>278</v>
      </c>
      <c r="B346">
        <v>1</v>
      </c>
      <c r="C346" t="s">
        <v>5</v>
      </c>
      <c r="D346" t="s">
        <v>4</v>
      </c>
      <c r="E346" t="s">
        <v>3</v>
      </c>
      <c r="F346" s="1">
        <v>0.7</v>
      </c>
      <c r="G346" t="s">
        <v>272</v>
      </c>
      <c r="H346">
        <v>6</v>
      </c>
      <c r="I346">
        <v>4</v>
      </c>
      <c r="J346">
        <v>14</v>
      </c>
      <c r="K346">
        <v>41</v>
      </c>
      <c r="L346">
        <v>16</v>
      </c>
      <c r="M346">
        <f t="shared" si="59"/>
        <v>57</v>
      </c>
      <c r="N346">
        <v>75</v>
      </c>
      <c r="O346">
        <v>3.1</v>
      </c>
      <c r="P346">
        <v>0.14000000000000001</v>
      </c>
      <c r="Q346">
        <f t="shared" si="56"/>
        <v>1.2873079819666554E-2</v>
      </c>
      <c r="R346" s="6">
        <f t="shared" si="64"/>
        <v>98.5</v>
      </c>
      <c r="S346">
        <v>0.75</v>
      </c>
      <c r="T346">
        <v>0.87</v>
      </c>
      <c r="U346">
        <v>0.9</v>
      </c>
      <c r="V346">
        <v>0.8</v>
      </c>
      <c r="W346">
        <f t="shared" si="60"/>
        <v>1.2000000000000002</v>
      </c>
      <c r="X346">
        <f t="shared" si="57"/>
        <v>2.4000000000000004</v>
      </c>
      <c r="Y346">
        <v>3.1</v>
      </c>
      <c r="Z346">
        <v>19.899999999999999</v>
      </c>
      <c r="AA346">
        <v>19.899999999999999</v>
      </c>
      <c r="AB346" s="3">
        <v>5</v>
      </c>
      <c r="AC346" s="3">
        <v>1481</v>
      </c>
      <c r="AF346" s="3">
        <v>2002</v>
      </c>
      <c r="AG346" s="2">
        <v>2673</v>
      </c>
      <c r="AH346" s="2">
        <v>1.34028294862248E-2</v>
      </c>
      <c r="AI346" s="2" t="s">
        <v>21</v>
      </c>
      <c r="AJ346">
        <v>1</v>
      </c>
      <c r="AK346">
        <v>21</v>
      </c>
      <c r="AL346">
        <v>111</v>
      </c>
      <c r="AM346">
        <f t="shared" si="58"/>
        <v>90</v>
      </c>
      <c r="AO346">
        <f t="shared" si="54"/>
        <v>0.45685279187817257</v>
      </c>
      <c r="AP346">
        <v>344</v>
      </c>
      <c r="AQ346" t="str">
        <f t="shared" si="55"/>
        <v>NA</v>
      </c>
      <c r="AR346" t="str">
        <f t="shared" si="63"/>
        <v>NA</v>
      </c>
      <c r="AS346" t="str">
        <f t="shared" si="61"/>
        <v>NA</v>
      </c>
      <c r="AU346" t="s">
        <v>303</v>
      </c>
      <c r="AV346" t="s">
        <v>432</v>
      </c>
      <c r="AX346" s="13">
        <v>1</v>
      </c>
      <c r="AY346">
        <v>171</v>
      </c>
      <c r="AZ346" t="s">
        <v>278</v>
      </c>
      <c r="BA346" t="s">
        <v>5</v>
      </c>
    </row>
    <row r="347" spans="1:53" x14ac:dyDescent="0.35">
      <c r="A347" t="s">
        <v>278</v>
      </c>
      <c r="B347">
        <v>1</v>
      </c>
      <c r="C347" t="s">
        <v>0</v>
      </c>
      <c r="D347" t="s">
        <v>4</v>
      </c>
      <c r="E347" t="s">
        <v>3</v>
      </c>
      <c r="F347" s="1">
        <v>0.7</v>
      </c>
      <c r="G347" t="s">
        <v>272</v>
      </c>
      <c r="H347">
        <v>6</v>
      </c>
      <c r="I347">
        <v>4</v>
      </c>
      <c r="J347">
        <v>14</v>
      </c>
      <c r="K347">
        <v>41</v>
      </c>
      <c r="L347">
        <v>16</v>
      </c>
      <c r="M347">
        <f t="shared" si="59"/>
        <v>57</v>
      </c>
      <c r="N347">
        <v>75</v>
      </c>
      <c r="O347">
        <v>3.1</v>
      </c>
      <c r="P347">
        <v>0.14000000000000001</v>
      </c>
      <c r="Q347">
        <f t="shared" si="56"/>
        <v>1.2873079819666554E-2</v>
      </c>
      <c r="R347" s="6">
        <f t="shared" si="64"/>
        <v>98.5</v>
      </c>
      <c r="S347">
        <v>0.75</v>
      </c>
      <c r="T347">
        <v>0.87</v>
      </c>
      <c r="U347">
        <v>0.9</v>
      </c>
      <c r="V347">
        <v>0.8</v>
      </c>
      <c r="W347">
        <f t="shared" si="60"/>
        <v>1.2000000000000002</v>
      </c>
      <c r="X347">
        <f t="shared" si="57"/>
        <v>2.4000000000000004</v>
      </c>
      <c r="Y347">
        <v>3.1</v>
      </c>
      <c r="Z347">
        <v>19.899999999999999</v>
      </c>
      <c r="AA347">
        <v>19.899999999999999</v>
      </c>
      <c r="AB347" s="3">
        <v>5</v>
      </c>
      <c r="AC347" s="3">
        <v>1481</v>
      </c>
      <c r="AF347" s="3">
        <v>2002</v>
      </c>
      <c r="AG347" s="2">
        <v>2673</v>
      </c>
      <c r="AH347" s="2" t="s">
        <v>21</v>
      </c>
      <c r="AI347" s="2">
        <v>1.96914998359041E-3</v>
      </c>
      <c r="AJ347">
        <v>1</v>
      </c>
      <c r="AK347">
        <v>29</v>
      </c>
      <c r="AL347">
        <f>AK347+AL346-AK346</f>
        <v>119</v>
      </c>
      <c r="AM347">
        <f t="shared" si="58"/>
        <v>90</v>
      </c>
      <c r="AO347">
        <f t="shared" si="54"/>
        <v>0.45685279187817257</v>
      </c>
      <c r="AP347">
        <v>345</v>
      </c>
      <c r="AQ347">
        <f t="shared" si="55"/>
        <v>51.736462093862833</v>
      </c>
      <c r="AR347">
        <f t="shared" si="63"/>
        <v>5.2635379061371657</v>
      </c>
      <c r="AS347">
        <f t="shared" si="61"/>
        <v>0.67102888086642709</v>
      </c>
      <c r="AU347" t="s">
        <v>303</v>
      </c>
      <c r="AV347" t="s">
        <v>432</v>
      </c>
      <c r="AX347" s="13">
        <v>1</v>
      </c>
      <c r="AY347">
        <v>171</v>
      </c>
      <c r="AZ347" t="s">
        <v>278</v>
      </c>
      <c r="BA347" t="s">
        <v>0</v>
      </c>
    </row>
    <row r="348" spans="1:53" ht="12.5" customHeight="1" x14ac:dyDescent="0.35">
      <c r="A348" t="s">
        <v>274</v>
      </c>
      <c r="B348">
        <v>2</v>
      </c>
      <c r="C348" t="s">
        <v>5</v>
      </c>
      <c r="D348" t="s">
        <v>4</v>
      </c>
      <c r="E348" t="s">
        <v>3</v>
      </c>
      <c r="F348" s="1">
        <v>0.71</v>
      </c>
      <c r="G348" t="s">
        <v>283</v>
      </c>
      <c r="H348">
        <v>8</v>
      </c>
      <c r="I348">
        <v>7</v>
      </c>
      <c r="J348">
        <v>9</v>
      </c>
      <c r="K348">
        <v>42</v>
      </c>
      <c r="L348">
        <v>13</v>
      </c>
      <c r="M348">
        <f t="shared" si="59"/>
        <v>55</v>
      </c>
      <c r="N348">
        <v>60</v>
      </c>
      <c r="O348">
        <v>2.93</v>
      </c>
      <c r="P348">
        <v>0.15</v>
      </c>
      <c r="Q348">
        <f t="shared" si="56"/>
        <v>9.5171761161218088E-3</v>
      </c>
      <c r="R348" s="6">
        <v>86.5</v>
      </c>
      <c r="S348">
        <v>0.83</v>
      </c>
      <c r="T348">
        <v>0.89</v>
      </c>
      <c r="U348">
        <v>1.1000000000000001</v>
      </c>
      <c r="V348">
        <v>1.1499999999999999</v>
      </c>
      <c r="W348">
        <f t="shared" si="60"/>
        <v>1.7249999999999999</v>
      </c>
      <c r="X348">
        <f t="shared" si="57"/>
        <v>3.4499999999999997</v>
      </c>
      <c r="Y348">
        <v>0.86</v>
      </c>
      <c r="Z348">
        <v>19.899999999999999</v>
      </c>
      <c r="AA348">
        <v>19.899999999999999</v>
      </c>
      <c r="AB348" s="3">
        <v>15</v>
      </c>
      <c r="AC348" s="3">
        <v>1928</v>
      </c>
      <c r="AF348" s="3">
        <v>2031</v>
      </c>
      <c r="AG348" s="2">
        <v>590</v>
      </c>
      <c r="AH348" s="2">
        <v>1.03495860165593E-2</v>
      </c>
      <c r="AI348" s="2" t="s">
        <v>21</v>
      </c>
      <c r="AJ348">
        <v>1</v>
      </c>
      <c r="AK348">
        <v>57</v>
      </c>
      <c r="AL348">
        <v>171</v>
      </c>
      <c r="AM348">
        <f t="shared" si="58"/>
        <v>114</v>
      </c>
      <c r="AO348">
        <f t="shared" si="54"/>
        <v>0.65895953757225434</v>
      </c>
      <c r="AP348">
        <v>346</v>
      </c>
      <c r="AQ348" t="str">
        <f t="shared" si="55"/>
        <v>NA</v>
      </c>
      <c r="AR348" t="str">
        <f t="shared" si="63"/>
        <v>NA</v>
      </c>
      <c r="AS348" t="str">
        <f t="shared" si="61"/>
        <v>NA</v>
      </c>
      <c r="AT348" s="5" t="s">
        <v>386</v>
      </c>
      <c r="AU348" t="s">
        <v>311</v>
      </c>
      <c r="AX348" s="14">
        <v>1</v>
      </c>
      <c r="AY348">
        <v>172</v>
      </c>
      <c r="AZ348" t="s">
        <v>274</v>
      </c>
      <c r="BA348" t="s">
        <v>5</v>
      </c>
    </row>
    <row r="349" spans="1:53" x14ac:dyDescent="0.35">
      <c r="A349" t="s">
        <v>274</v>
      </c>
      <c r="B349">
        <v>2</v>
      </c>
      <c r="C349" t="s">
        <v>0</v>
      </c>
      <c r="D349" t="s">
        <v>4</v>
      </c>
      <c r="E349" t="s">
        <v>3</v>
      </c>
      <c r="F349" s="1">
        <v>0.71</v>
      </c>
      <c r="G349" t="s">
        <v>283</v>
      </c>
      <c r="H349">
        <v>8</v>
      </c>
      <c r="I349">
        <v>7</v>
      </c>
      <c r="J349">
        <v>9</v>
      </c>
      <c r="K349">
        <v>42</v>
      </c>
      <c r="L349">
        <v>13</v>
      </c>
      <c r="M349">
        <f t="shared" si="59"/>
        <v>55</v>
      </c>
      <c r="N349">
        <v>60</v>
      </c>
      <c r="O349">
        <v>2.93</v>
      </c>
      <c r="P349">
        <v>0.15</v>
      </c>
      <c r="Q349">
        <f t="shared" si="56"/>
        <v>9.5171761161218088E-3</v>
      </c>
      <c r="R349" s="6">
        <v>86.5</v>
      </c>
      <c r="S349">
        <v>0.83</v>
      </c>
      <c r="T349">
        <v>0.89</v>
      </c>
      <c r="U349">
        <v>1.1000000000000001</v>
      </c>
      <c r="V349">
        <v>1.1499999999999999</v>
      </c>
      <c r="W349">
        <f t="shared" si="60"/>
        <v>1.7249999999999999</v>
      </c>
      <c r="X349">
        <f t="shared" si="57"/>
        <v>3.4499999999999997</v>
      </c>
      <c r="Y349">
        <v>0.86</v>
      </c>
      <c r="Z349">
        <v>19.899999999999999</v>
      </c>
      <c r="AA349">
        <v>19.899999999999999</v>
      </c>
      <c r="AB349" s="3">
        <v>15</v>
      </c>
      <c r="AC349" s="3">
        <v>1928</v>
      </c>
      <c r="AF349" s="3">
        <v>2031</v>
      </c>
      <c r="AG349" s="2">
        <v>590</v>
      </c>
      <c r="AH349" s="2" t="s">
        <v>21</v>
      </c>
      <c r="AI349" s="2">
        <v>1.9869655062788099E-3</v>
      </c>
      <c r="AJ349">
        <v>1</v>
      </c>
      <c r="AK349">
        <v>7</v>
      </c>
      <c r="AL349">
        <f>AK349+AL348-AK348</f>
        <v>121</v>
      </c>
      <c r="AM349">
        <f t="shared" si="58"/>
        <v>114</v>
      </c>
      <c r="AO349">
        <f t="shared" si="54"/>
        <v>0.65895953757225434</v>
      </c>
      <c r="AP349">
        <v>347</v>
      </c>
      <c r="AQ349">
        <f t="shared" si="55"/>
        <v>53.827690351295502</v>
      </c>
      <c r="AR349">
        <f t="shared" si="63"/>
        <v>1.1723096487044979</v>
      </c>
      <c r="AS349">
        <f t="shared" si="61"/>
        <v>0.90982233471503859</v>
      </c>
      <c r="AU349" t="s">
        <v>311</v>
      </c>
      <c r="AX349" s="14">
        <v>1</v>
      </c>
      <c r="AY349">
        <v>172</v>
      </c>
      <c r="AZ349" t="s">
        <v>274</v>
      </c>
      <c r="BA349" t="s">
        <v>0</v>
      </c>
    </row>
    <row r="350" spans="1:53" x14ac:dyDescent="0.35">
      <c r="A350" t="s">
        <v>275</v>
      </c>
      <c r="B350">
        <v>1</v>
      </c>
      <c r="C350" t="s">
        <v>5</v>
      </c>
      <c r="D350" t="s">
        <v>4</v>
      </c>
      <c r="E350" t="s">
        <v>3</v>
      </c>
      <c r="F350" s="1">
        <v>0.71</v>
      </c>
      <c r="G350" t="s">
        <v>283</v>
      </c>
      <c r="H350">
        <v>8</v>
      </c>
      <c r="I350">
        <v>7</v>
      </c>
      <c r="J350">
        <v>9</v>
      </c>
      <c r="K350">
        <v>42</v>
      </c>
      <c r="L350">
        <v>13</v>
      </c>
      <c r="M350">
        <f t="shared" si="59"/>
        <v>55</v>
      </c>
      <c r="N350">
        <v>75</v>
      </c>
      <c r="O350">
        <v>3.5</v>
      </c>
      <c r="P350">
        <v>0.15</v>
      </c>
      <c r="Q350">
        <f t="shared" si="56"/>
        <v>9.6718877629085858E-3</v>
      </c>
      <c r="R350" s="6">
        <v>96</v>
      </c>
      <c r="S350">
        <v>0.8</v>
      </c>
      <c r="T350">
        <v>1.05</v>
      </c>
      <c r="U350">
        <v>1.02</v>
      </c>
      <c r="V350">
        <v>1.08</v>
      </c>
      <c r="W350">
        <f t="shared" si="60"/>
        <v>1.62</v>
      </c>
      <c r="X350">
        <f t="shared" si="57"/>
        <v>3.24</v>
      </c>
      <c r="Y350">
        <v>3.1</v>
      </c>
      <c r="Z350">
        <v>19.899999999999999</v>
      </c>
      <c r="AA350">
        <v>19.899999999999999</v>
      </c>
      <c r="AB350" s="2">
        <v>13</v>
      </c>
      <c r="AC350" s="3">
        <v>1457</v>
      </c>
      <c r="AD350" t="s">
        <v>640</v>
      </c>
      <c r="AE350">
        <v>1660</v>
      </c>
      <c r="AF350" s="3">
        <v>1650</v>
      </c>
      <c r="AG350" s="2">
        <v>122</v>
      </c>
      <c r="AH350" s="2">
        <v>1.3582855418050099E-2</v>
      </c>
      <c r="AI350" s="2" t="s">
        <v>21</v>
      </c>
      <c r="AJ350">
        <v>0</v>
      </c>
      <c r="AK350">
        <v>5</v>
      </c>
      <c r="AL350">
        <v>9</v>
      </c>
      <c r="AM350">
        <f t="shared" si="58"/>
        <v>4</v>
      </c>
      <c r="AO350">
        <f t="shared" si="54"/>
        <v>2.0833333333333332E-2</v>
      </c>
      <c r="AP350">
        <v>348</v>
      </c>
      <c r="AQ350" t="str">
        <f t="shared" si="55"/>
        <v>NA</v>
      </c>
      <c r="AR350" t="str">
        <f t="shared" si="63"/>
        <v>NA</v>
      </c>
      <c r="AS350" t="str">
        <f t="shared" si="61"/>
        <v>NA</v>
      </c>
      <c r="AT350" s="5" t="s">
        <v>385</v>
      </c>
      <c r="AU350" t="s">
        <v>303</v>
      </c>
      <c r="AX350" s="12">
        <v>0</v>
      </c>
      <c r="AY350">
        <v>173</v>
      </c>
      <c r="AZ350" t="s">
        <v>275</v>
      </c>
      <c r="BA350" t="s">
        <v>5</v>
      </c>
    </row>
    <row r="351" spans="1:53" x14ac:dyDescent="0.35">
      <c r="A351" t="s">
        <v>275</v>
      </c>
      <c r="B351">
        <v>1</v>
      </c>
      <c r="C351" t="s">
        <v>0</v>
      </c>
      <c r="D351" t="s">
        <v>4</v>
      </c>
      <c r="E351" t="s">
        <v>3</v>
      </c>
      <c r="F351" s="1">
        <v>0.71</v>
      </c>
      <c r="G351" t="s">
        <v>283</v>
      </c>
      <c r="H351">
        <v>8</v>
      </c>
      <c r="I351">
        <v>7</v>
      </c>
      <c r="J351">
        <v>9</v>
      </c>
      <c r="K351">
        <v>42</v>
      </c>
      <c r="L351">
        <v>13</v>
      </c>
      <c r="M351">
        <f t="shared" si="59"/>
        <v>55</v>
      </c>
      <c r="N351">
        <v>75</v>
      </c>
      <c r="O351">
        <v>3.5</v>
      </c>
      <c r="P351">
        <v>0.15</v>
      </c>
      <c r="Q351">
        <f t="shared" si="56"/>
        <v>9.6718877629085858E-3</v>
      </c>
      <c r="R351" s="6">
        <v>96</v>
      </c>
      <c r="S351">
        <v>0.8</v>
      </c>
      <c r="T351">
        <v>1.05</v>
      </c>
      <c r="U351">
        <v>1.02</v>
      </c>
      <c r="V351">
        <v>1.08</v>
      </c>
      <c r="W351">
        <f t="shared" si="60"/>
        <v>1.62</v>
      </c>
      <c r="X351">
        <f t="shared" si="57"/>
        <v>3.24</v>
      </c>
      <c r="Y351">
        <v>3.1</v>
      </c>
      <c r="Z351">
        <v>19.899999999999999</v>
      </c>
      <c r="AA351">
        <v>19.899999999999999</v>
      </c>
      <c r="AB351" s="2">
        <v>13</v>
      </c>
      <c r="AC351" s="3">
        <v>1457</v>
      </c>
      <c r="AD351" t="s">
        <v>641</v>
      </c>
      <c r="AE351">
        <v>1660</v>
      </c>
      <c r="AF351" s="3">
        <v>1650</v>
      </c>
      <c r="AG351" s="2">
        <v>122</v>
      </c>
      <c r="AH351" s="2" t="s">
        <v>21</v>
      </c>
      <c r="AI351" s="2">
        <v>1.9893899204244002E-3</v>
      </c>
      <c r="AJ351">
        <v>0</v>
      </c>
      <c r="AK351">
        <v>6</v>
      </c>
      <c r="AL351">
        <v>10</v>
      </c>
      <c r="AM351">
        <f t="shared" si="58"/>
        <v>4</v>
      </c>
      <c r="AO351">
        <f t="shared" si="54"/>
        <v>2.0833333333333332E-2</v>
      </c>
      <c r="AP351">
        <v>349</v>
      </c>
      <c r="AQ351">
        <f t="shared" si="55"/>
        <v>54.757294429708224</v>
      </c>
      <c r="AR351">
        <f t="shared" si="63"/>
        <v>0.24270557029177681</v>
      </c>
      <c r="AS351">
        <f t="shared" si="61"/>
        <v>0.98133034074678638</v>
      </c>
      <c r="AU351" t="s">
        <v>303</v>
      </c>
      <c r="AX351" s="12">
        <v>0</v>
      </c>
      <c r="AY351">
        <v>173</v>
      </c>
      <c r="AZ351" t="s">
        <v>275</v>
      </c>
      <c r="BA351" t="s">
        <v>0</v>
      </c>
    </row>
    <row r="352" spans="1:53" x14ac:dyDescent="0.35">
      <c r="A352" t="s">
        <v>276</v>
      </c>
      <c r="B352">
        <v>2</v>
      </c>
      <c r="C352" t="s">
        <v>5</v>
      </c>
      <c r="D352" t="s">
        <v>4</v>
      </c>
      <c r="E352" t="s">
        <v>3</v>
      </c>
      <c r="F352" s="1">
        <v>0.71</v>
      </c>
      <c r="G352" t="s">
        <v>284</v>
      </c>
      <c r="H352">
        <v>7</v>
      </c>
      <c r="I352">
        <v>3</v>
      </c>
      <c r="J352">
        <v>8</v>
      </c>
      <c r="K352">
        <v>36</v>
      </c>
      <c r="L352">
        <v>18</v>
      </c>
      <c r="M352">
        <f t="shared" si="59"/>
        <v>54</v>
      </c>
      <c r="N352">
        <v>63</v>
      </c>
      <c r="O352">
        <v>1.9</v>
      </c>
      <c r="P352">
        <v>0.13</v>
      </c>
      <c r="Q352">
        <f t="shared" si="56"/>
        <v>1.0336995523220682E-2</v>
      </c>
      <c r="R352" s="6">
        <v>102</v>
      </c>
      <c r="S352">
        <v>0.7</v>
      </c>
      <c r="T352">
        <v>0.9</v>
      </c>
      <c r="U352">
        <v>1</v>
      </c>
      <c r="V352">
        <v>0.95</v>
      </c>
      <c r="W352">
        <f t="shared" si="60"/>
        <v>1.4249999999999998</v>
      </c>
      <c r="X352">
        <f t="shared" si="57"/>
        <v>2.8499999999999996</v>
      </c>
      <c r="Y352">
        <v>0.86</v>
      </c>
      <c r="Z352">
        <v>19.899999999999999</v>
      </c>
      <c r="AA352">
        <v>19.899999999999999</v>
      </c>
      <c r="AB352" s="3">
        <v>11</v>
      </c>
      <c r="AC352" s="3">
        <v>2003</v>
      </c>
      <c r="AD352" t="s">
        <v>642</v>
      </c>
      <c r="AE352">
        <v>2195</v>
      </c>
      <c r="AF352" s="3">
        <v>2212</v>
      </c>
      <c r="AG352" s="2">
        <v>135</v>
      </c>
      <c r="AH352" s="2">
        <v>1.02845E-2</v>
      </c>
      <c r="AI352" s="2" t="s">
        <v>21</v>
      </c>
      <c r="AJ352">
        <v>0</v>
      </c>
      <c r="AK352">
        <v>6</v>
      </c>
      <c r="AL352">
        <v>10</v>
      </c>
      <c r="AM352">
        <f t="shared" si="58"/>
        <v>4</v>
      </c>
      <c r="AO352">
        <f>(AL343-AK343)/(2*R352)</f>
        <v>0.11274509803921569</v>
      </c>
      <c r="AP352">
        <v>350</v>
      </c>
      <c r="AQ352" t="str">
        <f t="shared" si="55"/>
        <v>NA</v>
      </c>
      <c r="AR352" t="str">
        <f t="shared" si="63"/>
        <v>NA</v>
      </c>
      <c r="AS352" t="str">
        <f t="shared" si="61"/>
        <v>NA</v>
      </c>
      <c r="AT352" s="5" t="s">
        <v>384</v>
      </c>
      <c r="AU352" t="s">
        <v>303</v>
      </c>
      <c r="AX352" s="12">
        <v>0</v>
      </c>
      <c r="AY352">
        <v>174</v>
      </c>
      <c r="AZ352" t="s">
        <v>276</v>
      </c>
      <c r="BA352" t="s">
        <v>5</v>
      </c>
    </row>
    <row r="353" spans="1:53" x14ac:dyDescent="0.35">
      <c r="A353" t="s">
        <v>276</v>
      </c>
      <c r="B353">
        <v>2</v>
      </c>
      <c r="C353" t="s">
        <v>0</v>
      </c>
      <c r="D353" t="s">
        <v>4</v>
      </c>
      <c r="E353" t="s">
        <v>3</v>
      </c>
      <c r="F353" s="1">
        <v>0.72</v>
      </c>
      <c r="G353" t="s">
        <v>284</v>
      </c>
      <c r="H353">
        <v>7</v>
      </c>
      <c r="I353">
        <v>3</v>
      </c>
      <c r="J353">
        <v>8</v>
      </c>
      <c r="K353">
        <v>36</v>
      </c>
      <c r="L353">
        <v>18</v>
      </c>
      <c r="M353">
        <f t="shared" si="59"/>
        <v>54</v>
      </c>
      <c r="N353">
        <v>63</v>
      </c>
      <c r="O353">
        <v>1.9</v>
      </c>
      <c r="P353">
        <v>0.13</v>
      </c>
      <c r="Q353">
        <f t="shared" si="56"/>
        <v>1.0336995523220682E-2</v>
      </c>
      <c r="R353" s="6">
        <v>102</v>
      </c>
      <c r="S353">
        <v>0.7</v>
      </c>
      <c r="T353">
        <v>0.9</v>
      </c>
      <c r="U353">
        <v>1</v>
      </c>
      <c r="V353">
        <v>0.95</v>
      </c>
      <c r="W353">
        <f t="shared" si="60"/>
        <v>1.4249999999999998</v>
      </c>
      <c r="X353">
        <f t="shared" si="57"/>
        <v>2.8499999999999996</v>
      </c>
      <c r="Y353">
        <v>0.86</v>
      </c>
      <c r="Z353">
        <v>19.899999999999999</v>
      </c>
      <c r="AA353">
        <v>19.899999999999999</v>
      </c>
      <c r="AB353" s="3">
        <v>11</v>
      </c>
      <c r="AC353" s="3">
        <v>2003</v>
      </c>
      <c r="AD353" t="s">
        <v>643</v>
      </c>
      <c r="AE353">
        <v>2195</v>
      </c>
      <c r="AF353" s="3">
        <v>2212</v>
      </c>
      <c r="AG353" s="2">
        <v>135</v>
      </c>
      <c r="AH353" s="2" t="s">
        <v>21</v>
      </c>
      <c r="AI353" s="2">
        <v>2.01775625504439E-3</v>
      </c>
      <c r="AJ353">
        <v>0</v>
      </c>
      <c r="AK353">
        <v>2</v>
      </c>
      <c r="AL353">
        <v>6</v>
      </c>
      <c r="AM353">
        <f t="shared" si="58"/>
        <v>4</v>
      </c>
      <c r="AO353">
        <f t="shared" ref="AO353:AO389" si="65">(AL353-AK353)/(2*R353)</f>
        <v>1.9607843137254902E-2</v>
      </c>
      <c r="AP353">
        <v>351</v>
      </c>
      <c r="AQ353">
        <f t="shared" si="55"/>
        <v>53.727602905569007</v>
      </c>
      <c r="AR353">
        <f t="shared" si="63"/>
        <v>0.27239709443099264</v>
      </c>
      <c r="AS353">
        <f t="shared" si="61"/>
        <v>0.98486682808716708</v>
      </c>
      <c r="AU353" t="s">
        <v>303</v>
      </c>
      <c r="AX353" s="12">
        <v>0</v>
      </c>
      <c r="AY353">
        <v>174</v>
      </c>
      <c r="AZ353" t="s">
        <v>276</v>
      </c>
      <c r="BA353" t="s">
        <v>0</v>
      </c>
    </row>
    <row r="354" spans="1:53" x14ac:dyDescent="0.35">
      <c r="A354" t="s">
        <v>297</v>
      </c>
      <c r="B354">
        <v>2</v>
      </c>
      <c r="C354" t="s">
        <v>5</v>
      </c>
      <c r="D354" t="s">
        <v>4</v>
      </c>
      <c r="E354" t="s">
        <v>3</v>
      </c>
      <c r="F354" s="1">
        <v>0.72</v>
      </c>
      <c r="G354" t="s">
        <v>284</v>
      </c>
      <c r="H354">
        <v>7</v>
      </c>
      <c r="I354">
        <v>3</v>
      </c>
      <c r="J354">
        <v>8</v>
      </c>
      <c r="K354">
        <v>36</v>
      </c>
      <c r="L354">
        <v>18</v>
      </c>
      <c r="M354">
        <f t="shared" si="59"/>
        <v>54</v>
      </c>
      <c r="N354">
        <v>63</v>
      </c>
      <c r="O354">
        <v>1.9</v>
      </c>
      <c r="P354">
        <v>0.13</v>
      </c>
      <c r="Q354">
        <f t="shared" si="56"/>
        <v>1.0336995523220682E-2</v>
      </c>
      <c r="R354" s="6">
        <v>102</v>
      </c>
      <c r="S354">
        <v>0.7</v>
      </c>
      <c r="T354">
        <v>0.9</v>
      </c>
      <c r="U354">
        <v>1</v>
      </c>
      <c r="V354">
        <v>0.95</v>
      </c>
      <c r="W354">
        <f t="shared" si="60"/>
        <v>1.4249999999999998</v>
      </c>
      <c r="X354">
        <f t="shared" si="57"/>
        <v>2.8499999999999996</v>
      </c>
      <c r="Y354">
        <v>0.86</v>
      </c>
      <c r="Z354">
        <v>19.899999999999999</v>
      </c>
      <c r="AA354">
        <v>19.899999999999999</v>
      </c>
      <c r="AB354" s="3">
        <v>11</v>
      </c>
      <c r="AC354" s="3">
        <v>2003</v>
      </c>
      <c r="AD354" t="s">
        <v>644</v>
      </c>
      <c r="AE354">
        <v>2195</v>
      </c>
      <c r="AF354" s="3">
        <v>2212</v>
      </c>
      <c r="AG354" s="2">
        <v>98</v>
      </c>
      <c r="AH354" s="2">
        <v>1.02845E-2</v>
      </c>
      <c r="AI354" s="2" t="s">
        <v>21</v>
      </c>
      <c r="AJ354">
        <v>0</v>
      </c>
      <c r="AK354">
        <v>8</v>
      </c>
      <c r="AL354">
        <v>9</v>
      </c>
      <c r="AM354">
        <f t="shared" si="58"/>
        <v>1</v>
      </c>
      <c r="AO354">
        <f t="shared" si="65"/>
        <v>4.9019607843137254E-3</v>
      </c>
      <c r="AP354">
        <v>352</v>
      </c>
      <c r="AQ354" t="str">
        <f t="shared" si="55"/>
        <v>NA</v>
      </c>
      <c r="AR354" t="str">
        <f t="shared" si="63"/>
        <v>NA</v>
      </c>
      <c r="AS354" t="str">
        <f t="shared" si="61"/>
        <v>NA</v>
      </c>
      <c r="AU354" t="s">
        <v>303</v>
      </c>
      <c r="AX354" s="12">
        <v>0</v>
      </c>
      <c r="AY354">
        <v>175</v>
      </c>
      <c r="AZ354" t="s">
        <v>297</v>
      </c>
      <c r="BA354" t="s">
        <v>5</v>
      </c>
    </row>
    <row r="355" spans="1:53" x14ac:dyDescent="0.35">
      <c r="A355" t="s">
        <v>297</v>
      </c>
      <c r="B355">
        <v>2</v>
      </c>
      <c r="C355" t="s">
        <v>0</v>
      </c>
      <c r="D355" t="s">
        <v>4</v>
      </c>
      <c r="E355" t="s">
        <v>3</v>
      </c>
      <c r="F355" s="1">
        <v>0.72</v>
      </c>
      <c r="G355" t="s">
        <v>284</v>
      </c>
      <c r="H355">
        <v>7</v>
      </c>
      <c r="I355">
        <v>3</v>
      </c>
      <c r="J355">
        <v>8</v>
      </c>
      <c r="K355">
        <v>36</v>
      </c>
      <c r="L355">
        <v>18</v>
      </c>
      <c r="M355">
        <f t="shared" si="59"/>
        <v>54</v>
      </c>
      <c r="N355">
        <v>63</v>
      </c>
      <c r="O355">
        <v>1.9</v>
      </c>
      <c r="P355">
        <v>0.13</v>
      </c>
      <c r="Q355">
        <f t="shared" si="56"/>
        <v>1.0336995523220682E-2</v>
      </c>
      <c r="R355" s="6">
        <v>102</v>
      </c>
      <c r="S355">
        <v>0.7</v>
      </c>
      <c r="T355">
        <v>0.9</v>
      </c>
      <c r="U355">
        <v>1</v>
      </c>
      <c r="V355">
        <v>0.95</v>
      </c>
      <c r="W355">
        <f t="shared" si="60"/>
        <v>1.4249999999999998</v>
      </c>
      <c r="X355">
        <f t="shared" si="57"/>
        <v>2.8499999999999996</v>
      </c>
      <c r="Y355">
        <v>0.86</v>
      </c>
      <c r="Z355">
        <v>19.899999999999999</v>
      </c>
      <c r="AA355">
        <v>19.899999999999999</v>
      </c>
      <c r="AB355" s="3">
        <v>11</v>
      </c>
      <c r="AC355" s="3">
        <v>2003</v>
      </c>
      <c r="AD355" t="s">
        <v>645</v>
      </c>
      <c r="AE355">
        <v>2195</v>
      </c>
      <c r="AF355" s="3">
        <v>2212</v>
      </c>
      <c r="AG355" s="2">
        <v>98</v>
      </c>
      <c r="AH355" s="2" t="s">
        <v>21</v>
      </c>
      <c r="AI355" s="2">
        <v>2.01775625504439E-3</v>
      </c>
      <c r="AJ355">
        <v>0</v>
      </c>
      <c r="AK355">
        <v>5</v>
      </c>
      <c r="AL355">
        <v>6</v>
      </c>
      <c r="AM355">
        <f t="shared" si="58"/>
        <v>1</v>
      </c>
      <c r="AO355">
        <f t="shared" si="65"/>
        <v>4.9019607843137254E-3</v>
      </c>
      <c r="AP355">
        <v>353</v>
      </c>
      <c r="AQ355">
        <f t="shared" si="55"/>
        <v>53.802259887005647</v>
      </c>
      <c r="AR355">
        <f t="shared" si="63"/>
        <v>0.19774011299435021</v>
      </c>
      <c r="AS355">
        <f t="shared" si="61"/>
        <v>0.98901443816698054</v>
      </c>
      <c r="AU355" t="s">
        <v>303</v>
      </c>
      <c r="AX355" s="12">
        <v>0</v>
      </c>
      <c r="AY355">
        <v>175</v>
      </c>
      <c r="AZ355" t="s">
        <v>297</v>
      </c>
      <c r="BA355" t="s">
        <v>0</v>
      </c>
    </row>
    <row r="356" spans="1:53" x14ac:dyDescent="0.35">
      <c r="A356" t="s">
        <v>298</v>
      </c>
      <c r="B356">
        <v>2</v>
      </c>
      <c r="C356" t="s">
        <v>5</v>
      </c>
      <c r="D356" t="s">
        <v>4</v>
      </c>
      <c r="E356" t="s">
        <v>3</v>
      </c>
      <c r="F356" s="1">
        <v>0.72</v>
      </c>
      <c r="G356" t="s">
        <v>284</v>
      </c>
      <c r="H356">
        <v>7</v>
      </c>
      <c r="I356">
        <v>3</v>
      </c>
      <c r="J356">
        <v>8</v>
      </c>
      <c r="K356">
        <v>36</v>
      </c>
      <c r="L356">
        <v>18</v>
      </c>
      <c r="M356">
        <f t="shared" si="59"/>
        <v>54</v>
      </c>
      <c r="N356">
        <v>63</v>
      </c>
      <c r="O356">
        <v>1.9</v>
      </c>
      <c r="P356">
        <v>0.13</v>
      </c>
      <c r="Q356">
        <f t="shared" si="56"/>
        <v>1.0336995523220682E-2</v>
      </c>
      <c r="R356" s="6">
        <v>102</v>
      </c>
      <c r="S356">
        <v>0.7</v>
      </c>
      <c r="T356">
        <v>0.9</v>
      </c>
      <c r="U356">
        <v>1</v>
      </c>
      <c r="V356">
        <v>0.95</v>
      </c>
      <c r="W356">
        <f t="shared" si="60"/>
        <v>1.4249999999999998</v>
      </c>
      <c r="X356">
        <f t="shared" si="57"/>
        <v>2.8499999999999996</v>
      </c>
      <c r="Y356">
        <v>0.86</v>
      </c>
      <c r="Z356">
        <v>19.899999999999999</v>
      </c>
      <c r="AA356">
        <v>19.899999999999999</v>
      </c>
      <c r="AB356" s="3">
        <v>11</v>
      </c>
      <c r="AC356" s="3">
        <v>2003</v>
      </c>
      <c r="AD356" t="s">
        <v>646</v>
      </c>
      <c r="AE356">
        <v>2195</v>
      </c>
      <c r="AF356" s="3">
        <v>2212</v>
      </c>
      <c r="AG356" s="2">
        <v>1773</v>
      </c>
      <c r="AH356" s="2">
        <v>1.02845E-2</v>
      </c>
      <c r="AI356" s="2" t="s">
        <v>21</v>
      </c>
      <c r="AJ356">
        <v>1</v>
      </c>
      <c r="AK356">
        <v>13</v>
      </c>
      <c r="AL356">
        <v>241</v>
      </c>
      <c r="AM356">
        <f t="shared" si="58"/>
        <v>228</v>
      </c>
      <c r="AO356">
        <f t="shared" si="65"/>
        <v>1.1176470588235294</v>
      </c>
      <c r="AP356">
        <v>354</v>
      </c>
      <c r="AQ356" t="str">
        <f t="shared" si="55"/>
        <v>NA</v>
      </c>
      <c r="AR356" t="str">
        <f t="shared" si="63"/>
        <v>NA</v>
      </c>
      <c r="AS356" t="str">
        <f t="shared" si="61"/>
        <v>NA</v>
      </c>
      <c r="AU356" t="s">
        <v>303</v>
      </c>
      <c r="AX356" s="13">
        <v>1</v>
      </c>
      <c r="AY356">
        <v>176</v>
      </c>
      <c r="AZ356" t="s">
        <v>298</v>
      </c>
      <c r="BA356" t="s">
        <v>5</v>
      </c>
    </row>
    <row r="357" spans="1:53" x14ac:dyDescent="0.35">
      <c r="A357" t="s">
        <v>298</v>
      </c>
      <c r="B357">
        <v>2</v>
      </c>
      <c r="C357" t="s">
        <v>0</v>
      </c>
      <c r="D357" t="s">
        <v>4</v>
      </c>
      <c r="E357" t="s">
        <v>3</v>
      </c>
      <c r="F357" s="1">
        <v>0.72</v>
      </c>
      <c r="G357" t="s">
        <v>284</v>
      </c>
      <c r="H357">
        <v>7</v>
      </c>
      <c r="I357">
        <v>3</v>
      </c>
      <c r="J357">
        <v>8</v>
      </c>
      <c r="K357">
        <v>36</v>
      </c>
      <c r="L357">
        <v>18</v>
      </c>
      <c r="M357">
        <f t="shared" si="59"/>
        <v>54</v>
      </c>
      <c r="N357">
        <v>63</v>
      </c>
      <c r="O357">
        <v>1.9</v>
      </c>
      <c r="P357">
        <v>0.13</v>
      </c>
      <c r="Q357">
        <f t="shared" si="56"/>
        <v>1.0336995523220682E-2</v>
      </c>
      <c r="R357" s="6">
        <v>102</v>
      </c>
      <c r="S357">
        <v>0.7</v>
      </c>
      <c r="T357">
        <v>0.9</v>
      </c>
      <c r="U357">
        <v>1</v>
      </c>
      <c r="V357">
        <v>0.95</v>
      </c>
      <c r="W357">
        <f t="shared" si="60"/>
        <v>1.4249999999999998</v>
      </c>
      <c r="X357">
        <f t="shared" si="57"/>
        <v>2.8499999999999996</v>
      </c>
      <c r="Y357">
        <v>0.86</v>
      </c>
      <c r="Z357">
        <v>19.899999999999999</v>
      </c>
      <c r="AA357">
        <v>19.899999999999999</v>
      </c>
      <c r="AB357" s="3">
        <v>11</v>
      </c>
      <c r="AC357" s="3">
        <v>2003</v>
      </c>
      <c r="AD357" t="s">
        <v>647</v>
      </c>
      <c r="AE357">
        <v>2195</v>
      </c>
      <c r="AF357" s="3">
        <v>2212</v>
      </c>
      <c r="AG357" s="2">
        <v>1773</v>
      </c>
      <c r="AH357" s="2" t="s">
        <v>21</v>
      </c>
      <c r="AI357" s="2">
        <v>2.01775625504439E-3</v>
      </c>
      <c r="AJ357">
        <v>1</v>
      </c>
      <c r="AK357">
        <v>8</v>
      </c>
      <c r="AL357">
        <f>AK357+AL356-AK356</f>
        <v>236</v>
      </c>
      <c r="AM357">
        <f t="shared" si="58"/>
        <v>228</v>
      </c>
      <c r="AO357">
        <f t="shared" si="65"/>
        <v>1.1176470588235294</v>
      </c>
      <c r="AP357">
        <v>355</v>
      </c>
      <c r="AQ357">
        <f t="shared" si="55"/>
        <v>50.422518159806295</v>
      </c>
      <c r="AR357">
        <f t="shared" si="63"/>
        <v>3.5774818401937036</v>
      </c>
      <c r="AS357">
        <f t="shared" si="61"/>
        <v>0.80125100887812761</v>
      </c>
      <c r="AU357" t="s">
        <v>303</v>
      </c>
      <c r="AX357" s="13">
        <v>1</v>
      </c>
      <c r="AY357">
        <v>176</v>
      </c>
      <c r="AZ357" t="s">
        <v>298</v>
      </c>
      <c r="BA357" t="s">
        <v>0</v>
      </c>
    </row>
    <row r="358" spans="1:53" x14ac:dyDescent="0.35">
      <c r="A358" t="s">
        <v>280</v>
      </c>
      <c r="B358">
        <v>1</v>
      </c>
      <c r="C358" t="s">
        <v>5</v>
      </c>
      <c r="D358" t="s">
        <v>4</v>
      </c>
      <c r="E358" t="s">
        <v>3</v>
      </c>
      <c r="F358" s="1">
        <v>0.72</v>
      </c>
      <c r="G358" t="s">
        <v>284</v>
      </c>
      <c r="H358">
        <v>7</v>
      </c>
      <c r="I358">
        <v>3</v>
      </c>
      <c r="J358">
        <v>8</v>
      </c>
      <c r="K358">
        <v>42</v>
      </c>
      <c r="L358">
        <v>9</v>
      </c>
      <c r="M358">
        <f t="shared" si="59"/>
        <v>51</v>
      </c>
      <c r="N358">
        <v>66</v>
      </c>
      <c r="O358">
        <v>2.89</v>
      </c>
      <c r="P358">
        <v>0.15</v>
      </c>
      <c r="Q358">
        <f t="shared" si="56"/>
        <v>1.0254278212632183E-2</v>
      </c>
      <c r="R358" s="6">
        <v>103.8</v>
      </c>
      <c r="S358">
        <v>0.7</v>
      </c>
      <c r="T358">
        <v>0.9</v>
      </c>
      <c r="U358">
        <v>1.05</v>
      </c>
      <c r="V358">
        <v>1.1499999999999999</v>
      </c>
      <c r="W358">
        <f t="shared" si="60"/>
        <v>1.7249999999999999</v>
      </c>
      <c r="X358">
        <f t="shared" si="57"/>
        <v>3.4499999999999997</v>
      </c>
      <c r="Y358">
        <v>3.1</v>
      </c>
      <c r="Z358">
        <v>19.899999999999999</v>
      </c>
      <c r="AA358">
        <v>19.899999999999999</v>
      </c>
      <c r="AB358" s="3">
        <v>5</v>
      </c>
      <c r="AC358" s="3">
        <v>1553</v>
      </c>
      <c r="AD358" t="s">
        <v>648</v>
      </c>
      <c r="AE358">
        <v>1594</v>
      </c>
      <c r="AF358" s="3">
        <v>1592</v>
      </c>
      <c r="AG358" s="2">
        <v>94</v>
      </c>
      <c r="AH358" s="2">
        <v>1.2962696240818E-2</v>
      </c>
      <c r="AI358" s="2" t="s">
        <v>21</v>
      </c>
      <c r="AJ358">
        <v>0</v>
      </c>
      <c r="AK358">
        <v>4</v>
      </c>
      <c r="AL358">
        <v>7</v>
      </c>
      <c r="AM358">
        <f t="shared" si="58"/>
        <v>3</v>
      </c>
      <c r="AO358">
        <f t="shared" si="65"/>
        <v>1.4450867052023121E-2</v>
      </c>
      <c r="AP358">
        <v>356</v>
      </c>
      <c r="AQ358" t="str">
        <f t="shared" si="55"/>
        <v>NA</v>
      </c>
      <c r="AR358" t="str">
        <f t="shared" si="63"/>
        <v>NA</v>
      </c>
      <c r="AS358" t="str">
        <f t="shared" si="61"/>
        <v>NA</v>
      </c>
      <c r="AT358" s="5" t="s">
        <v>383</v>
      </c>
      <c r="AU358" t="s">
        <v>303</v>
      </c>
      <c r="AX358" s="12">
        <v>0</v>
      </c>
      <c r="AY358">
        <v>177</v>
      </c>
      <c r="AZ358" t="s">
        <v>280</v>
      </c>
      <c r="BA358" t="s">
        <v>5</v>
      </c>
    </row>
    <row r="359" spans="1:53" x14ac:dyDescent="0.35">
      <c r="A359" t="s">
        <v>280</v>
      </c>
      <c r="B359">
        <v>1</v>
      </c>
      <c r="C359" t="s">
        <v>0</v>
      </c>
      <c r="D359" t="s">
        <v>4</v>
      </c>
      <c r="E359" t="s">
        <v>3</v>
      </c>
      <c r="F359" s="1">
        <v>0.72</v>
      </c>
      <c r="G359" t="s">
        <v>284</v>
      </c>
      <c r="H359">
        <v>7</v>
      </c>
      <c r="I359">
        <v>3</v>
      </c>
      <c r="J359">
        <v>8</v>
      </c>
      <c r="K359">
        <v>42</v>
      </c>
      <c r="L359">
        <v>9</v>
      </c>
      <c r="M359">
        <f t="shared" si="59"/>
        <v>51</v>
      </c>
      <c r="N359">
        <v>66</v>
      </c>
      <c r="O359">
        <v>2.89</v>
      </c>
      <c r="P359">
        <v>0.15</v>
      </c>
      <c r="Q359">
        <f t="shared" si="56"/>
        <v>1.0254278212632183E-2</v>
      </c>
      <c r="R359" s="6">
        <v>103.8</v>
      </c>
      <c r="S359">
        <v>0.7</v>
      </c>
      <c r="T359">
        <v>0.9</v>
      </c>
      <c r="U359">
        <v>1.05</v>
      </c>
      <c r="V359">
        <v>1.1499999999999999</v>
      </c>
      <c r="W359">
        <f t="shared" si="60"/>
        <v>1.7249999999999999</v>
      </c>
      <c r="X359">
        <f t="shared" si="57"/>
        <v>3.4499999999999997</v>
      </c>
      <c r="Y359">
        <v>3.1</v>
      </c>
      <c r="Z359">
        <v>19.899999999999999</v>
      </c>
      <c r="AA359">
        <v>19.899999999999999</v>
      </c>
      <c r="AB359" s="2">
        <v>5</v>
      </c>
      <c r="AC359" s="3">
        <v>1553</v>
      </c>
      <c r="AD359" t="s">
        <v>649</v>
      </c>
      <c r="AE359">
        <v>1594</v>
      </c>
      <c r="AF359" s="3">
        <v>1592</v>
      </c>
      <c r="AG359" s="2">
        <v>94</v>
      </c>
      <c r="AH359" s="2" t="s">
        <v>21</v>
      </c>
      <c r="AI359" s="2">
        <v>2.01207243460764E-3</v>
      </c>
      <c r="AJ359">
        <v>0</v>
      </c>
      <c r="AK359">
        <v>11</v>
      </c>
      <c r="AL359">
        <v>14</v>
      </c>
      <c r="AM359">
        <f t="shared" si="58"/>
        <v>3</v>
      </c>
      <c r="AO359">
        <f t="shared" si="65"/>
        <v>1.4450867052023121E-2</v>
      </c>
      <c r="AP359">
        <v>357</v>
      </c>
      <c r="AQ359">
        <f t="shared" si="55"/>
        <v>50.810865191146881</v>
      </c>
      <c r="AR359">
        <f t="shared" si="63"/>
        <v>0.18913480885311815</v>
      </c>
      <c r="AS359">
        <f t="shared" si="61"/>
        <v>0.97898502123854236</v>
      </c>
      <c r="AU359" t="s">
        <v>303</v>
      </c>
      <c r="AX359" s="12">
        <v>0</v>
      </c>
      <c r="AY359">
        <v>177</v>
      </c>
      <c r="AZ359" t="s">
        <v>280</v>
      </c>
      <c r="BA359" t="s">
        <v>0</v>
      </c>
    </row>
    <row r="360" spans="1:53" x14ac:dyDescent="0.35">
      <c r="A360" t="s">
        <v>281</v>
      </c>
      <c r="B360">
        <v>1</v>
      </c>
      <c r="C360" t="s">
        <v>5</v>
      </c>
      <c r="D360" t="s">
        <v>4</v>
      </c>
      <c r="E360" t="s">
        <v>3</v>
      </c>
      <c r="F360" s="1">
        <v>0.72</v>
      </c>
      <c r="G360" t="s">
        <v>284</v>
      </c>
      <c r="H360">
        <v>7</v>
      </c>
      <c r="I360">
        <v>3</v>
      </c>
      <c r="J360">
        <v>8</v>
      </c>
      <c r="K360">
        <v>42</v>
      </c>
      <c r="L360">
        <v>9</v>
      </c>
      <c r="M360">
        <f t="shared" si="59"/>
        <v>51</v>
      </c>
      <c r="N360">
        <v>66</v>
      </c>
      <c r="O360">
        <v>2.89</v>
      </c>
      <c r="P360">
        <v>0.15</v>
      </c>
      <c r="Q360">
        <f t="shared" si="56"/>
        <v>1.0254278212632183E-2</v>
      </c>
      <c r="R360" s="6">
        <v>103.8</v>
      </c>
      <c r="S360">
        <v>0.7</v>
      </c>
      <c r="T360">
        <v>0.9</v>
      </c>
      <c r="U360">
        <v>1.05</v>
      </c>
      <c r="V360">
        <v>1.1499999999999999</v>
      </c>
      <c r="W360">
        <f t="shared" si="60"/>
        <v>1.7249999999999999</v>
      </c>
      <c r="X360">
        <f t="shared" si="57"/>
        <v>3.4499999999999997</v>
      </c>
      <c r="Y360">
        <v>3.1</v>
      </c>
      <c r="Z360">
        <v>19.899999999999999</v>
      </c>
      <c r="AA360">
        <v>19.899999999999999</v>
      </c>
      <c r="AB360" s="3">
        <v>5</v>
      </c>
      <c r="AC360" s="3">
        <v>1553</v>
      </c>
      <c r="AD360" t="s">
        <v>650</v>
      </c>
      <c r="AE360">
        <v>1594</v>
      </c>
      <c r="AF360" s="3">
        <v>1592</v>
      </c>
      <c r="AG360" s="2">
        <v>117</v>
      </c>
      <c r="AH360" s="2">
        <v>1.2962696240818E-2</v>
      </c>
      <c r="AI360" s="2" t="s">
        <v>21</v>
      </c>
      <c r="AJ360">
        <v>0</v>
      </c>
      <c r="AK360">
        <v>10</v>
      </c>
      <c r="AL360">
        <f>AK360+AL361-AK361</f>
        <v>14</v>
      </c>
      <c r="AM360">
        <f t="shared" si="58"/>
        <v>4</v>
      </c>
      <c r="AO360">
        <f t="shared" si="65"/>
        <v>1.926782273603083E-2</v>
      </c>
      <c r="AP360">
        <v>358</v>
      </c>
      <c r="AQ360" t="str">
        <f t="shared" si="55"/>
        <v>NA</v>
      </c>
      <c r="AR360" t="str">
        <f t="shared" si="63"/>
        <v>NA</v>
      </c>
      <c r="AS360" t="str">
        <f t="shared" si="61"/>
        <v>NA</v>
      </c>
      <c r="AU360" t="s">
        <v>303</v>
      </c>
      <c r="AX360" s="12">
        <v>0</v>
      </c>
      <c r="AY360">
        <v>178</v>
      </c>
      <c r="AZ360" t="s">
        <v>281</v>
      </c>
      <c r="BA360" t="s">
        <v>5</v>
      </c>
    </row>
    <row r="361" spans="1:53" x14ac:dyDescent="0.35">
      <c r="A361" t="s">
        <v>281</v>
      </c>
      <c r="B361">
        <v>1</v>
      </c>
      <c r="C361" t="s">
        <v>0</v>
      </c>
      <c r="D361" t="s">
        <v>4</v>
      </c>
      <c r="E361" t="s">
        <v>3</v>
      </c>
      <c r="F361" s="1">
        <v>0.72</v>
      </c>
      <c r="G361" t="s">
        <v>284</v>
      </c>
      <c r="H361">
        <v>7</v>
      </c>
      <c r="I361">
        <v>3</v>
      </c>
      <c r="J361">
        <v>8</v>
      </c>
      <c r="K361">
        <v>42</v>
      </c>
      <c r="L361">
        <v>9</v>
      </c>
      <c r="M361">
        <f t="shared" si="59"/>
        <v>51</v>
      </c>
      <c r="N361">
        <v>66</v>
      </c>
      <c r="O361">
        <v>2.89</v>
      </c>
      <c r="P361">
        <v>0.15</v>
      </c>
      <c r="Q361">
        <f t="shared" si="56"/>
        <v>1.0254278212632183E-2</v>
      </c>
      <c r="R361" s="6">
        <v>103.8</v>
      </c>
      <c r="S361">
        <v>0.7</v>
      </c>
      <c r="T361">
        <v>0.9</v>
      </c>
      <c r="U361">
        <v>1.05</v>
      </c>
      <c r="V361">
        <v>1.1499999999999999</v>
      </c>
      <c r="W361">
        <f t="shared" si="60"/>
        <v>1.7249999999999999</v>
      </c>
      <c r="X361">
        <f t="shared" si="57"/>
        <v>3.4499999999999997</v>
      </c>
      <c r="Y361">
        <v>3.1</v>
      </c>
      <c r="Z361">
        <v>19.899999999999999</v>
      </c>
      <c r="AA361">
        <v>19.899999999999999</v>
      </c>
      <c r="AB361" s="2">
        <v>5</v>
      </c>
      <c r="AC361" s="3">
        <v>1553</v>
      </c>
      <c r="AD361" t="s">
        <v>651</v>
      </c>
      <c r="AE361">
        <v>1594</v>
      </c>
      <c r="AF361" s="3">
        <v>1592</v>
      </c>
      <c r="AG361" s="2">
        <v>117</v>
      </c>
      <c r="AH361" s="2" t="s">
        <v>21</v>
      </c>
      <c r="AI361" s="2">
        <v>2.01207243460764E-3</v>
      </c>
      <c r="AJ361">
        <v>0</v>
      </c>
      <c r="AK361">
        <v>6</v>
      </c>
      <c r="AL361">
        <v>10</v>
      </c>
      <c r="AM361">
        <f t="shared" si="58"/>
        <v>4</v>
      </c>
      <c r="AO361">
        <f t="shared" si="65"/>
        <v>1.926782273603083E-2</v>
      </c>
      <c r="AP361">
        <v>359</v>
      </c>
      <c r="AQ361">
        <f t="shared" si="55"/>
        <v>50.764587525150908</v>
      </c>
      <c r="AR361">
        <f t="shared" si="63"/>
        <v>0.23541247484909389</v>
      </c>
      <c r="AS361">
        <f t="shared" si="61"/>
        <v>0.97384305835010077</v>
      </c>
      <c r="AU361" t="s">
        <v>303</v>
      </c>
      <c r="AX361" s="12">
        <v>0</v>
      </c>
      <c r="AY361">
        <v>178</v>
      </c>
      <c r="AZ361" t="s">
        <v>281</v>
      </c>
      <c r="BA361" t="s">
        <v>0</v>
      </c>
    </row>
    <row r="362" spans="1:53" x14ac:dyDescent="0.35">
      <c r="A362" t="s">
        <v>282</v>
      </c>
      <c r="B362">
        <v>1</v>
      </c>
      <c r="C362" t="s">
        <v>5</v>
      </c>
      <c r="D362" t="s">
        <v>4</v>
      </c>
      <c r="E362" t="s">
        <v>3</v>
      </c>
      <c r="F362" s="1">
        <v>0.72</v>
      </c>
      <c r="G362" t="s">
        <v>284</v>
      </c>
      <c r="H362">
        <v>7</v>
      </c>
      <c r="I362">
        <v>3</v>
      </c>
      <c r="J362">
        <v>8</v>
      </c>
      <c r="K362">
        <v>42</v>
      </c>
      <c r="L362">
        <v>9</v>
      </c>
      <c r="M362">
        <f t="shared" si="59"/>
        <v>51</v>
      </c>
      <c r="N362">
        <v>66</v>
      </c>
      <c r="O362">
        <v>2.89</v>
      </c>
      <c r="P362">
        <v>0.15</v>
      </c>
      <c r="Q362">
        <f t="shared" si="56"/>
        <v>1.0254278212632183E-2</v>
      </c>
      <c r="R362" s="6">
        <v>103.8</v>
      </c>
      <c r="S362">
        <v>0.7</v>
      </c>
      <c r="T362">
        <v>0.9</v>
      </c>
      <c r="U362">
        <v>1.05</v>
      </c>
      <c r="V362">
        <v>1.1499999999999999</v>
      </c>
      <c r="W362">
        <f t="shared" si="60"/>
        <v>1.7249999999999999</v>
      </c>
      <c r="X362">
        <f t="shared" si="57"/>
        <v>3.4499999999999997</v>
      </c>
      <c r="Y362">
        <v>3.1</v>
      </c>
      <c r="Z362">
        <v>19.899999999999999</v>
      </c>
      <c r="AA362">
        <v>19.899999999999999</v>
      </c>
      <c r="AB362" s="3">
        <v>5</v>
      </c>
      <c r="AC362" s="3">
        <v>1553</v>
      </c>
      <c r="AF362" s="3">
        <v>1592</v>
      </c>
      <c r="AG362" s="2">
        <v>877</v>
      </c>
      <c r="AH362" s="2">
        <v>1.2962696240818E-2</v>
      </c>
      <c r="AI362" s="2" t="s">
        <v>21</v>
      </c>
      <c r="AJ362">
        <v>0</v>
      </c>
      <c r="AK362">
        <v>14</v>
      </c>
      <c r="AL362">
        <v>76</v>
      </c>
      <c r="AM362">
        <f t="shared" si="58"/>
        <v>62</v>
      </c>
      <c r="AO362">
        <f t="shared" si="65"/>
        <v>0.29865125240847784</v>
      </c>
      <c r="AP362">
        <v>360</v>
      </c>
      <c r="AQ362" t="str">
        <f t="shared" si="55"/>
        <v>NA</v>
      </c>
      <c r="AR362" t="str">
        <f t="shared" si="63"/>
        <v>NA</v>
      </c>
      <c r="AS362" t="str">
        <f t="shared" si="61"/>
        <v>NA</v>
      </c>
      <c r="AU362" t="s">
        <v>303</v>
      </c>
      <c r="AW362" t="s">
        <v>434</v>
      </c>
      <c r="AX362" s="12">
        <v>0</v>
      </c>
      <c r="AY362">
        <v>179</v>
      </c>
      <c r="AZ362" t="s">
        <v>282</v>
      </c>
      <c r="BA362" t="s">
        <v>5</v>
      </c>
    </row>
    <row r="363" spans="1:53" x14ac:dyDescent="0.35">
      <c r="A363" t="s">
        <v>282</v>
      </c>
      <c r="B363">
        <v>1</v>
      </c>
      <c r="C363" t="s">
        <v>0</v>
      </c>
      <c r="D363" t="s">
        <v>4</v>
      </c>
      <c r="E363" t="s">
        <v>3</v>
      </c>
      <c r="F363" s="1">
        <v>0.72</v>
      </c>
      <c r="G363" t="s">
        <v>284</v>
      </c>
      <c r="H363">
        <v>7</v>
      </c>
      <c r="I363">
        <v>3</v>
      </c>
      <c r="J363">
        <v>8</v>
      </c>
      <c r="K363">
        <v>42</v>
      </c>
      <c r="L363">
        <v>9</v>
      </c>
      <c r="M363">
        <f t="shared" si="59"/>
        <v>51</v>
      </c>
      <c r="N363">
        <v>66</v>
      </c>
      <c r="O363">
        <v>2.89</v>
      </c>
      <c r="P363">
        <v>0.15</v>
      </c>
      <c r="Q363">
        <f t="shared" si="56"/>
        <v>1.0254278212632183E-2</v>
      </c>
      <c r="R363" s="6">
        <v>103.8</v>
      </c>
      <c r="S363">
        <v>0.7</v>
      </c>
      <c r="T363">
        <v>0.9</v>
      </c>
      <c r="U363">
        <v>1.05</v>
      </c>
      <c r="V363">
        <v>1.1499999999999999</v>
      </c>
      <c r="W363">
        <f t="shared" si="60"/>
        <v>1.7249999999999999</v>
      </c>
      <c r="X363">
        <f t="shared" si="57"/>
        <v>3.4499999999999997</v>
      </c>
      <c r="Y363">
        <v>3.1</v>
      </c>
      <c r="Z363">
        <v>19.899999999999999</v>
      </c>
      <c r="AA363">
        <v>19.899999999999999</v>
      </c>
      <c r="AB363" s="2">
        <v>5</v>
      </c>
      <c r="AC363" s="3">
        <v>1553</v>
      </c>
      <c r="AF363" s="3">
        <v>1592</v>
      </c>
      <c r="AG363" s="2">
        <v>877</v>
      </c>
      <c r="AH363" s="2" t="s">
        <v>21</v>
      </c>
      <c r="AI363" s="2">
        <v>2.01207243460764E-3</v>
      </c>
      <c r="AJ363">
        <v>0</v>
      </c>
      <c r="AK363">
        <v>5</v>
      </c>
      <c r="AL363">
        <v>67</v>
      </c>
      <c r="AM363">
        <f t="shared" si="58"/>
        <v>62</v>
      </c>
      <c r="AO363">
        <f t="shared" si="65"/>
        <v>0.29865125240847784</v>
      </c>
      <c r="AP363">
        <v>361</v>
      </c>
      <c r="AQ363">
        <f t="shared" si="55"/>
        <v>49.235412474849099</v>
      </c>
      <c r="AR363">
        <f t="shared" si="63"/>
        <v>1.7645875251509002</v>
      </c>
      <c r="AS363">
        <f t="shared" si="61"/>
        <v>0.8039347194276778</v>
      </c>
      <c r="AU363" t="s">
        <v>303</v>
      </c>
      <c r="AW363" t="s">
        <v>434</v>
      </c>
      <c r="AX363" s="12">
        <v>0</v>
      </c>
      <c r="AY363">
        <v>179</v>
      </c>
      <c r="AZ363" t="s">
        <v>282</v>
      </c>
      <c r="BA363" t="s">
        <v>0</v>
      </c>
    </row>
    <row r="364" spans="1:53" x14ac:dyDescent="0.35">
      <c r="A364" t="s">
        <v>299</v>
      </c>
      <c r="B364">
        <v>1</v>
      </c>
      <c r="C364" t="s">
        <v>5</v>
      </c>
      <c r="D364" t="s">
        <v>4</v>
      </c>
      <c r="E364" t="s">
        <v>3</v>
      </c>
      <c r="F364" s="1">
        <v>0.72</v>
      </c>
      <c r="G364" t="s">
        <v>284</v>
      </c>
      <c r="H364">
        <v>7</v>
      </c>
      <c r="I364">
        <v>3</v>
      </c>
      <c r="J364">
        <v>8</v>
      </c>
      <c r="K364">
        <v>42</v>
      </c>
      <c r="L364">
        <v>9</v>
      </c>
      <c r="M364">
        <f t="shared" si="59"/>
        <v>51</v>
      </c>
      <c r="N364">
        <v>66</v>
      </c>
      <c r="O364">
        <v>2.89</v>
      </c>
      <c r="P364">
        <v>0.15</v>
      </c>
      <c r="Q364">
        <f t="shared" si="56"/>
        <v>1.0254278212632183E-2</v>
      </c>
      <c r="R364" s="6">
        <v>103.8</v>
      </c>
      <c r="S364">
        <v>0.7</v>
      </c>
      <c r="T364">
        <v>0.9</v>
      </c>
      <c r="U364">
        <v>1.05</v>
      </c>
      <c r="V364">
        <v>1.1499999999999999</v>
      </c>
      <c r="W364">
        <f t="shared" si="60"/>
        <v>1.7249999999999999</v>
      </c>
      <c r="X364">
        <f t="shared" si="57"/>
        <v>3.4499999999999997</v>
      </c>
      <c r="Y364">
        <v>3.1</v>
      </c>
      <c r="Z364">
        <v>19.899999999999999</v>
      </c>
      <c r="AA364">
        <v>19.899999999999999</v>
      </c>
      <c r="AB364" s="3">
        <v>5</v>
      </c>
      <c r="AC364" s="3">
        <v>1553</v>
      </c>
      <c r="AD364" t="s">
        <v>652</v>
      </c>
      <c r="AE364">
        <v>1594</v>
      </c>
      <c r="AF364" s="3">
        <v>1592</v>
      </c>
      <c r="AG364" s="2">
        <v>1840</v>
      </c>
      <c r="AH364" s="2">
        <v>1.2962696240818E-2</v>
      </c>
      <c r="AI364" s="2" t="s">
        <v>21</v>
      </c>
      <c r="AJ364">
        <v>1</v>
      </c>
      <c r="AK364">
        <v>8</v>
      </c>
      <c r="AL364">
        <v>326</v>
      </c>
      <c r="AM364">
        <f t="shared" si="58"/>
        <v>318</v>
      </c>
      <c r="AO364">
        <f t="shared" si="65"/>
        <v>1.5317919075144508</v>
      </c>
      <c r="AP364">
        <v>362</v>
      </c>
      <c r="AQ364" t="str">
        <f t="shared" si="55"/>
        <v>NA</v>
      </c>
      <c r="AR364" t="str">
        <f t="shared" si="63"/>
        <v>NA</v>
      </c>
      <c r="AS364" t="str">
        <f t="shared" si="61"/>
        <v>NA</v>
      </c>
      <c r="AU364" t="s">
        <v>303</v>
      </c>
      <c r="AX364" s="13">
        <v>1</v>
      </c>
      <c r="AY364">
        <v>180</v>
      </c>
      <c r="AZ364" t="s">
        <v>299</v>
      </c>
      <c r="BA364" t="s">
        <v>5</v>
      </c>
    </row>
    <row r="365" spans="1:53" x14ac:dyDescent="0.35">
      <c r="A365" t="s">
        <v>299</v>
      </c>
      <c r="B365">
        <v>1</v>
      </c>
      <c r="C365" t="s">
        <v>0</v>
      </c>
      <c r="D365" t="s">
        <v>4</v>
      </c>
      <c r="E365" t="s">
        <v>3</v>
      </c>
      <c r="F365" s="1">
        <v>0.72</v>
      </c>
      <c r="G365" t="s">
        <v>284</v>
      </c>
      <c r="H365">
        <v>7</v>
      </c>
      <c r="I365">
        <v>3</v>
      </c>
      <c r="J365">
        <v>8</v>
      </c>
      <c r="K365">
        <v>42</v>
      </c>
      <c r="L365">
        <v>9</v>
      </c>
      <c r="M365">
        <f t="shared" si="59"/>
        <v>51</v>
      </c>
      <c r="N365">
        <v>66</v>
      </c>
      <c r="O365">
        <v>2.89</v>
      </c>
      <c r="P365">
        <v>0.15</v>
      </c>
      <c r="Q365">
        <f t="shared" si="56"/>
        <v>1.0254278212632183E-2</v>
      </c>
      <c r="R365" s="6">
        <v>103.8</v>
      </c>
      <c r="S365">
        <v>0.7</v>
      </c>
      <c r="T365">
        <v>0.9</v>
      </c>
      <c r="U365">
        <v>1.05</v>
      </c>
      <c r="V365">
        <v>1.1499999999999999</v>
      </c>
      <c r="W365">
        <f t="shared" si="60"/>
        <v>1.7249999999999999</v>
      </c>
      <c r="X365">
        <f t="shared" si="57"/>
        <v>3.4499999999999997</v>
      </c>
      <c r="Y365">
        <v>3.1</v>
      </c>
      <c r="Z365">
        <v>19.899999999999999</v>
      </c>
      <c r="AA365">
        <v>19.899999999999999</v>
      </c>
      <c r="AB365" s="2">
        <v>5</v>
      </c>
      <c r="AC365" s="3">
        <v>1553</v>
      </c>
      <c r="AD365" t="s">
        <v>653</v>
      </c>
      <c r="AE365">
        <v>1594</v>
      </c>
      <c r="AF365" s="3">
        <v>1592</v>
      </c>
      <c r="AG365" s="2">
        <v>1840</v>
      </c>
      <c r="AH365" s="2" t="s">
        <v>21</v>
      </c>
      <c r="AI365" s="2">
        <v>2.01207243460764E-3</v>
      </c>
      <c r="AJ365">
        <v>1</v>
      </c>
      <c r="AK365">
        <v>4</v>
      </c>
      <c r="AL365">
        <f>AK365+AL364-AK364</f>
        <v>322</v>
      </c>
      <c r="AM365">
        <f t="shared" si="58"/>
        <v>318</v>
      </c>
      <c r="AO365">
        <f t="shared" si="65"/>
        <v>1.5317919075144508</v>
      </c>
      <c r="AP365">
        <v>363</v>
      </c>
      <c r="AQ365">
        <f t="shared" si="55"/>
        <v>47.297786720321945</v>
      </c>
      <c r="AR365">
        <f t="shared" si="63"/>
        <v>3.7022132796780576</v>
      </c>
      <c r="AS365">
        <f t="shared" si="61"/>
        <v>0.58864296892466028</v>
      </c>
      <c r="AU365" t="s">
        <v>303</v>
      </c>
      <c r="AX365" s="13">
        <v>1</v>
      </c>
      <c r="AY365">
        <v>180</v>
      </c>
      <c r="AZ365" t="s">
        <v>299</v>
      </c>
      <c r="BA365" t="s">
        <v>0</v>
      </c>
    </row>
    <row r="366" spans="1:53" x14ac:dyDescent="0.35">
      <c r="A366" t="s">
        <v>285</v>
      </c>
      <c r="B366">
        <v>2</v>
      </c>
      <c r="C366" t="s">
        <v>5</v>
      </c>
      <c r="D366" t="s">
        <v>4</v>
      </c>
      <c r="E366" t="s">
        <v>3</v>
      </c>
      <c r="F366" s="1">
        <v>0.73</v>
      </c>
      <c r="G366" t="s">
        <v>286</v>
      </c>
      <c r="H366">
        <v>10</v>
      </c>
      <c r="I366">
        <v>7</v>
      </c>
      <c r="J366">
        <v>5</v>
      </c>
      <c r="K366">
        <v>37</v>
      </c>
      <c r="L366">
        <v>12</v>
      </c>
      <c r="M366">
        <f t="shared" si="59"/>
        <v>49</v>
      </c>
      <c r="N366">
        <v>56</v>
      </c>
      <c r="O366">
        <v>2.65</v>
      </c>
      <c r="P366">
        <v>0.13</v>
      </c>
      <c r="Q366">
        <f t="shared" si="56"/>
        <v>9.5401233899464633E-3</v>
      </c>
      <c r="R366" s="6">
        <v>106</v>
      </c>
      <c r="S366">
        <v>0.75</v>
      </c>
      <c r="T366">
        <v>0.95</v>
      </c>
      <c r="U366">
        <v>1.05</v>
      </c>
      <c r="V366">
        <v>0.95</v>
      </c>
      <c r="W366">
        <f t="shared" si="60"/>
        <v>1.4249999999999998</v>
      </c>
      <c r="X366">
        <f t="shared" si="57"/>
        <v>2.8499999999999996</v>
      </c>
      <c r="Y366">
        <v>0.86</v>
      </c>
      <c r="Z366">
        <v>19.899999999999999</v>
      </c>
      <c r="AA366">
        <v>19.899999999999999</v>
      </c>
      <c r="AB366" s="2">
        <v>13</v>
      </c>
      <c r="AC366" s="3">
        <v>1952</v>
      </c>
      <c r="AD366" t="s">
        <v>654</v>
      </c>
      <c r="AE366">
        <v>2168</v>
      </c>
      <c r="AF366" s="3">
        <v>2157</v>
      </c>
      <c r="AG366" s="2">
        <v>223</v>
      </c>
      <c r="AH366" s="2">
        <v>1.0379425671779401E-2</v>
      </c>
      <c r="AI366" s="2" t="s">
        <v>21</v>
      </c>
      <c r="AJ366">
        <v>1</v>
      </c>
      <c r="AK366">
        <v>7</v>
      </c>
      <c r="AL366">
        <v>336</v>
      </c>
      <c r="AM366">
        <f t="shared" si="58"/>
        <v>329</v>
      </c>
      <c r="AO366">
        <f t="shared" si="65"/>
        <v>1.5518867924528301</v>
      </c>
      <c r="AP366">
        <v>364</v>
      </c>
      <c r="AQ366" t="str">
        <f t="shared" si="55"/>
        <v>NA</v>
      </c>
      <c r="AR366" t="str">
        <f t="shared" si="63"/>
        <v>NA</v>
      </c>
      <c r="AS366" t="str">
        <f t="shared" si="61"/>
        <v>NA</v>
      </c>
      <c r="AT366" s="5" t="s">
        <v>382</v>
      </c>
      <c r="AU366" t="s">
        <v>303</v>
      </c>
      <c r="AW366" t="s">
        <v>456</v>
      </c>
      <c r="AX366" s="13">
        <v>1</v>
      </c>
      <c r="AY366">
        <v>181</v>
      </c>
      <c r="AZ366" t="s">
        <v>285</v>
      </c>
      <c r="BA366" t="s">
        <v>5</v>
      </c>
    </row>
    <row r="367" spans="1:53" x14ac:dyDescent="0.35">
      <c r="A367" t="s">
        <v>285</v>
      </c>
      <c r="B367">
        <v>2</v>
      </c>
      <c r="C367" t="s">
        <v>0</v>
      </c>
      <c r="D367" t="s">
        <v>4</v>
      </c>
      <c r="E367" t="s">
        <v>3</v>
      </c>
      <c r="F367" s="1">
        <v>0.73</v>
      </c>
      <c r="G367" t="s">
        <v>286</v>
      </c>
      <c r="H367">
        <v>10</v>
      </c>
      <c r="I367">
        <v>7</v>
      </c>
      <c r="J367">
        <v>5</v>
      </c>
      <c r="K367">
        <v>37</v>
      </c>
      <c r="L367">
        <v>12</v>
      </c>
      <c r="M367">
        <f t="shared" si="59"/>
        <v>49</v>
      </c>
      <c r="N367">
        <v>56</v>
      </c>
      <c r="O367">
        <v>2.65</v>
      </c>
      <c r="P367">
        <v>0.13</v>
      </c>
      <c r="Q367">
        <f t="shared" si="56"/>
        <v>9.5401233899464633E-3</v>
      </c>
      <c r="R367" s="6">
        <v>106</v>
      </c>
      <c r="S367">
        <v>0.75</v>
      </c>
      <c r="T367">
        <v>0.95</v>
      </c>
      <c r="U367">
        <v>1.05</v>
      </c>
      <c r="V367">
        <v>0.95</v>
      </c>
      <c r="W367">
        <f t="shared" si="60"/>
        <v>1.4249999999999998</v>
      </c>
      <c r="X367">
        <f t="shared" si="57"/>
        <v>2.8499999999999996</v>
      </c>
      <c r="Y367">
        <v>0.86</v>
      </c>
      <c r="Z367">
        <v>19.899999999999999</v>
      </c>
      <c r="AA367">
        <v>19.899999999999999</v>
      </c>
      <c r="AB367" s="2">
        <v>13</v>
      </c>
      <c r="AC367" s="3">
        <v>1952</v>
      </c>
      <c r="AD367" t="s">
        <v>655</v>
      </c>
      <c r="AE367">
        <v>2168</v>
      </c>
      <c r="AF367" s="3">
        <v>2157</v>
      </c>
      <c r="AG367" s="2">
        <v>223</v>
      </c>
      <c r="AH367" s="2" t="s">
        <v>21</v>
      </c>
      <c r="AI367" s="2">
        <v>2.0020821654520701E-3</v>
      </c>
      <c r="AJ367">
        <v>1</v>
      </c>
      <c r="AK367">
        <v>4</v>
      </c>
      <c r="AL367">
        <f>AK367+AL366-AK366</f>
        <v>333</v>
      </c>
      <c r="AM367">
        <f t="shared" si="58"/>
        <v>329</v>
      </c>
      <c r="AO367">
        <f t="shared" si="65"/>
        <v>1.5518867924528301</v>
      </c>
      <c r="AP367">
        <v>365</v>
      </c>
      <c r="AQ367">
        <f t="shared" si="55"/>
        <v>48.553535677104186</v>
      </c>
      <c r="AR367">
        <f t="shared" si="63"/>
        <v>0.44646432289581162</v>
      </c>
      <c r="AS367">
        <f t="shared" si="61"/>
        <v>0.96279463975868229</v>
      </c>
      <c r="AU367" t="s">
        <v>303</v>
      </c>
      <c r="AW367" t="s">
        <v>456</v>
      </c>
      <c r="AX367" s="13">
        <v>1</v>
      </c>
      <c r="AY367">
        <v>181</v>
      </c>
      <c r="AZ367" t="s">
        <v>285</v>
      </c>
      <c r="BA367" t="s">
        <v>0</v>
      </c>
    </row>
    <row r="368" spans="1:53" x14ac:dyDescent="0.35">
      <c r="A368" t="s">
        <v>287</v>
      </c>
      <c r="B368">
        <v>1</v>
      </c>
      <c r="C368" t="s">
        <v>5</v>
      </c>
      <c r="D368" t="s">
        <v>4</v>
      </c>
      <c r="E368" t="s">
        <v>3</v>
      </c>
      <c r="F368" s="1">
        <v>0.73</v>
      </c>
      <c r="G368" t="s">
        <v>286</v>
      </c>
      <c r="H368">
        <v>10</v>
      </c>
      <c r="I368">
        <v>7</v>
      </c>
      <c r="J368">
        <v>6</v>
      </c>
      <c r="K368">
        <v>33</v>
      </c>
      <c r="L368">
        <v>12</v>
      </c>
      <c r="M368">
        <f t="shared" si="59"/>
        <v>45</v>
      </c>
      <c r="N368">
        <v>56</v>
      </c>
      <c r="O368">
        <v>2.2999999999999998</v>
      </c>
      <c r="P368">
        <v>0.14000000000000001</v>
      </c>
      <c r="Q368">
        <f t="shared" si="56"/>
        <v>8.7272233176461586E-3</v>
      </c>
      <c r="R368" s="6">
        <f>AVERAGE((-818+1036),(-1036+1260),(-1260+1475),(-1475+1693),(-1693+1908),(-1908+2104))/2</f>
        <v>107.16666666666667</v>
      </c>
      <c r="S368">
        <v>0.75</v>
      </c>
      <c r="T368">
        <v>1.05</v>
      </c>
      <c r="U368">
        <v>1.1000000000000001</v>
      </c>
      <c r="V368">
        <v>1.1000000000000001</v>
      </c>
      <c r="W368">
        <f t="shared" si="60"/>
        <v>1.6500000000000001</v>
      </c>
      <c r="X368">
        <f t="shared" si="57"/>
        <v>3.3000000000000003</v>
      </c>
      <c r="Y368">
        <v>3.1</v>
      </c>
      <c r="Z368">
        <v>19.899999999999999</v>
      </c>
      <c r="AA368">
        <v>19.899999999999999</v>
      </c>
      <c r="AB368" s="3">
        <v>5</v>
      </c>
      <c r="AC368" s="3">
        <v>1546</v>
      </c>
      <c r="AF368" s="3">
        <v>1671</v>
      </c>
      <c r="AG368" s="2">
        <v>785</v>
      </c>
      <c r="AH368" s="2">
        <v>1.29273197357081E-2</v>
      </c>
      <c r="AI368" s="2" t="s">
        <v>21</v>
      </c>
      <c r="AJ368">
        <v>1</v>
      </c>
      <c r="AK368">
        <v>5</v>
      </c>
      <c r="AL368">
        <f>AK368+AM368</f>
        <v>247</v>
      </c>
      <c r="AM368">
        <v>242</v>
      </c>
      <c r="AO368">
        <f t="shared" si="65"/>
        <v>1.1290824261275272</v>
      </c>
      <c r="AP368">
        <v>366</v>
      </c>
      <c r="AQ368" t="str">
        <f t="shared" si="55"/>
        <v>NA</v>
      </c>
      <c r="AR368" t="str">
        <f t="shared" si="63"/>
        <v>NA</v>
      </c>
      <c r="AS368" t="str">
        <f t="shared" si="61"/>
        <v>NA</v>
      </c>
      <c r="AT368" s="5" t="s">
        <v>381</v>
      </c>
      <c r="AU368" t="s">
        <v>303</v>
      </c>
      <c r="AW368" t="s">
        <v>300</v>
      </c>
      <c r="AX368" s="9" t="s">
        <v>452</v>
      </c>
      <c r="AY368">
        <v>182</v>
      </c>
      <c r="AZ368" t="s">
        <v>287</v>
      </c>
      <c r="BA368" t="s">
        <v>5</v>
      </c>
    </row>
    <row r="369" spans="1:53" x14ac:dyDescent="0.35">
      <c r="A369" t="s">
        <v>287</v>
      </c>
      <c r="B369">
        <v>1</v>
      </c>
      <c r="C369" t="s">
        <v>0</v>
      </c>
      <c r="D369" t="s">
        <v>4</v>
      </c>
      <c r="E369" t="s">
        <v>3</v>
      </c>
      <c r="F369" s="1">
        <v>0.73</v>
      </c>
      <c r="G369" t="s">
        <v>286</v>
      </c>
      <c r="H369">
        <v>10</v>
      </c>
      <c r="I369">
        <v>7</v>
      </c>
      <c r="J369">
        <v>6</v>
      </c>
      <c r="K369">
        <v>33</v>
      </c>
      <c r="L369">
        <v>12</v>
      </c>
      <c r="M369">
        <f t="shared" si="59"/>
        <v>45</v>
      </c>
      <c r="N369">
        <v>56</v>
      </c>
      <c r="O369">
        <v>2.2999999999999998</v>
      </c>
      <c r="P369">
        <v>0.14000000000000001</v>
      </c>
      <c r="Q369">
        <f t="shared" si="56"/>
        <v>8.7272233176461586E-3</v>
      </c>
      <c r="R369" s="6">
        <f>AVERAGE((-818+1036),(-1036+1260),(-1260+1475),(-1475+1693),(-1693+1908),(-1908+2104))/2</f>
        <v>107.16666666666667</v>
      </c>
      <c r="S369">
        <v>0.75</v>
      </c>
      <c r="T369">
        <v>1.05</v>
      </c>
      <c r="U369">
        <v>1.1000000000000001</v>
      </c>
      <c r="V369">
        <v>1.1000000000000001</v>
      </c>
      <c r="W369">
        <f t="shared" si="60"/>
        <v>1.6500000000000001</v>
      </c>
      <c r="X369">
        <f t="shared" si="57"/>
        <v>3.3000000000000003</v>
      </c>
      <c r="Y369">
        <v>3.1</v>
      </c>
      <c r="Z369">
        <v>19.899999999999999</v>
      </c>
      <c r="AA369">
        <v>19.899999999999999</v>
      </c>
      <c r="AB369" s="3">
        <v>5</v>
      </c>
      <c r="AC369" s="3">
        <v>1546</v>
      </c>
      <c r="AF369" s="3">
        <v>1671</v>
      </c>
      <c r="AG369" s="2">
        <v>785</v>
      </c>
      <c r="AH369" s="2" t="s">
        <v>21</v>
      </c>
      <c r="AI369" s="2">
        <v>1.9985011241568798E-3</v>
      </c>
      <c r="AJ369">
        <v>1</v>
      </c>
      <c r="AK369">
        <v>4</v>
      </c>
      <c r="AL369">
        <f>AK369+AL368-AK368</f>
        <v>246</v>
      </c>
      <c r="AM369">
        <f t="shared" si="58"/>
        <v>242</v>
      </c>
      <c r="AO369">
        <f t="shared" si="65"/>
        <v>1.1290824261275272</v>
      </c>
      <c r="AP369">
        <v>367</v>
      </c>
      <c r="AQ369">
        <f t="shared" si="55"/>
        <v>43.431176617536849</v>
      </c>
      <c r="AR369">
        <f t="shared" si="63"/>
        <v>1.5688233824631508</v>
      </c>
      <c r="AS369">
        <f t="shared" si="61"/>
        <v>0.86926471812807071</v>
      </c>
      <c r="AU369" t="s">
        <v>303</v>
      </c>
      <c r="AW369" t="s">
        <v>300</v>
      </c>
      <c r="AX369" s="9" t="s">
        <v>452</v>
      </c>
      <c r="AY369">
        <v>182</v>
      </c>
      <c r="AZ369" t="s">
        <v>287</v>
      </c>
      <c r="BA369" t="s">
        <v>0</v>
      </c>
    </row>
    <row r="370" spans="1:53" x14ac:dyDescent="0.35">
      <c r="A370" t="s">
        <v>288</v>
      </c>
      <c r="B370">
        <v>1</v>
      </c>
      <c r="C370" t="s">
        <v>5</v>
      </c>
      <c r="D370" t="s">
        <v>4</v>
      </c>
      <c r="E370" t="s">
        <v>3</v>
      </c>
      <c r="F370" s="1">
        <v>0.73</v>
      </c>
      <c r="G370" t="s">
        <v>286</v>
      </c>
      <c r="H370">
        <v>10</v>
      </c>
      <c r="I370">
        <v>7</v>
      </c>
      <c r="J370">
        <v>6</v>
      </c>
      <c r="K370">
        <v>33</v>
      </c>
      <c r="L370">
        <v>12</v>
      </c>
      <c r="M370">
        <f t="shared" si="59"/>
        <v>45</v>
      </c>
      <c r="N370">
        <v>56</v>
      </c>
      <c r="O370">
        <v>2.2999999999999998</v>
      </c>
      <c r="P370">
        <v>0.14000000000000001</v>
      </c>
      <c r="Q370">
        <f t="shared" si="56"/>
        <v>8.7272233176461586E-3</v>
      </c>
      <c r="R370" s="6">
        <f>AVERAGE((-818+1036),(-1036+1260),(-1260+1475),(-1475+1693),(-1693+1908),(-1908+2104))/2</f>
        <v>107.16666666666667</v>
      </c>
      <c r="S370">
        <v>0.75</v>
      </c>
      <c r="T370">
        <v>1.05</v>
      </c>
      <c r="U370">
        <v>1.1000000000000001</v>
      </c>
      <c r="V370">
        <v>1.1000000000000001</v>
      </c>
      <c r="W370">
        <f t="shared" si="60"/>
        <v>1.6500000000000001</v>
      </c>
      <c r="X370">
        <f t="shared" si="57"/>
        <v>3.3000000000000003</v>
      </c>
      <c r="Y370">
        <v>3.1</v>
      </c>
      <c r="Z370">
        <v>19.899999999999999</v>
      </c>
      <c r="AA370">
        <v>19.899999999999999</v>
      </c>
      <c r="AB370" s="3">
        <v>5</v>
      </c>
      <c r="AC370" s="3">
        <v>1546</v>
      </c>
      <c r="AD370" t="s">
        <v>656</v>
      </c>
      <c r="AE370">
        <v>1625</v>
      </c>
      <c r="AF370" s="3">
        <v>1671</v>
      </c>
      <c r="AG370" s="2">
        <v>2666</v>
      </c>
      <c r="AH370" s="2">
        <v>1.29273197357081E-2</v>
      </c>
      <c r="AI370" s="2" t="s">
        <v>21</v>
      </c>
      <c r="AJ370">
        <v>0</v>
      </c>
      <c r="AK370">
        <v>19</v>
      </c>
      <c r="AL370">
        <v>50</v>
      </c>
      <c r="AM370">
        <f t="shared" si="58"/>
        <v>31</v>
      </c>
      <c r="AO370">
        <f t="shared" si="65"/>
        <v>0.14463452566096421</v>
      </c>
      <c r="AP370">
        <v>368</v>
      </c>
      <c r="AQ370" t="str">
        <f t="shared" si="55"/>
        <v>NA</v>
      </c>
      <c r="AR370" t="str">
        <f t="shared" si="63"/>
        <v>NA</v>
      </c>
      <c r="AS370" t="str">
        <f t="shared" si="61"/>
        <v>NA</v>
      </c>
      <c r="AU370" t="s">
        <v>303</v>
      </c>
      <c r="AX370" s="12">
        <v>0</v>
      </c>
      <c r="AY370">
        <v>183</v>
      </c>
      <c r="AZ370" t="s">
        <v>288</v>
      </c>
      <c r="BA370" t="s">
        <v>5</v>
      </c>
    </row>
    <row r="371" spans="1:53" x14ac:dyDescent="0.35">
      <c r="A371" t="s">
        <v>288</v>
      </c>
      <c r="B371">
        <v>1</v>
      </c>
      <c r="C371" t="s">
        <v>0</v>
      </c>
      <c r="D371" t="s">
        <v>4</v>
      </c>
      <c r="E371" t="s">
        <v>3</v>
      </c>
      <c r="F371" s="1">
        <v>0.73</v>
      </c>
      <c r="G371" t="s">
        <v>286</v>
      </c>
      <c r="H371">
        <v>10</v>
      </c>
      <c r="I371">
        <v>7</v>
      </c>
      <c r="J371">
        <v>6</v>
      </c>
      <c r="K371">
        <v>33</v>
      </c>
      <c r="L371">
        <v>12</v>
      </c>
      <c r="M371">
        <f t="shared" si="59"/>
        <v>45</v>
      </c>
      <c r="N371">
        <v>56</v>
      </c>
      <c r="O371">
        <v>2.2999999999999998</v>
      </c>
      <c r="P371">
        <v>0.14000000000000001</v>
      </c>
      <c r="Q371">
        <f t="shared" si="56"/>
        <v>8.7272233176461586E-3</v>
      </c>
      <c r="R371" s="6">
        <f>AVERAGE((-818+1036),(-1036+1260),(-1260+1475),(-1475+1693),(-1693+1908),(-1908+2104))/2</f>
        <v>107.16666666666667</v>
      </c>
      <c r="S371">
        <v>0.75</v>
      </c>
      <c r="T371">
        <v>1.05</v>
      </c>
      <c r="U371">
        <v>1.1000000000000001</v>
      </c>
      <c r="V371">
        <v>1.1000000000000001</v>
      </c>
      <c r="W371">
        <f t="shared" si="60"/>
        <v>1.6500000000000001</v>
      </c>
      <c r="X371">
        <f t="shared" si="57"/>
        <v>3.3000000000000003</v>
      </c>
      <c r="Y371">
        <v>3.1</v>
      </c>
      <c r="Z371">
        <v>19.899999999999999</v>
      </c>
      <c r="AA371">
        <v>19.899999999999999</v>
      </c>
      <c r="AB371" s="3">
        <v>5</v>
      </c>
      <c r="AC371" s="3">
        <v>1546</v>
      </c>
      <c r="AD371" t="s">
        <v>657</v>
      </c>
      <c r="AE371">
        <v>1625</v>
      </c>
      <c r="AF371" s="3">
        <v>1671</v>
      </c>
      <c r="AG371" s="2">
        <v>2666</v>
      </c>
      <c r="AH371" s="2" t="s">
        <v>21</v>
      </c>
      <c r="AI371" s="2">
        <v>1.9985011241568798E-3</v>
      </c>
      <c r="AJ371">
        <v>0</v>
      </c>
      <c r="AK371">
        <v>13</v>
      </c>
      <c r="AL371">
        <v>44</v>
      </c>
      <c r="AM371">
        <f t="shared" si="58"/>
        <v>31</v>
      </c>
      <c r="AO371">
        <f t="shared" si="65"/>
        <v>0.14463452566096421</v>
      </c>
      <c r="AP371">
        <v>369</v>
      </c>
      <c r="AQ371">
        <f t="shared" si="55"/>
        <v>39.671996002997759</v>
      </c>
      <c r="AR371">
        <f t="shared" si="63"/>
        <v>5.3280039970022415</v>
      </c>
      <c r="AS371">
        <f t="shared" si="61"/>
        <v>0.55599966691647984</v>
      </c>
      <c r="AU371" t="s">
        <v>303</v>
      </c>
      <c r="AX371" s="12">
        <v>0</v>
      </c>
      <c r="AY371">
        <v>183</v>
      </c>
      <c r="AZ371" t="s">
        <v>288</v>
      </c>
      <c r="BA371" t="s">
        <v>0</v>
      </c>
    </row>
    <row r="372" spans="1:53" x14ac:dyDescent="0.35">
      <c r="A372" t="s">
        <v>289</v>
      </c>
      <c r="B372">
        <v>2</v>
      </c>
      <c r="C372" t="s">
        <v>5</v>
      </c>
      <c r="D372" t="s">
        <v>4</v>
      </c>
      <c r="E372" t="s">
        <v>3</v>
      </c>
      <c r="F372" s="1">
        <v>0.73</v>
      </c>
      <c r="G372" t="s">
        <v>286</v>
      </c>
      <c r="H372">
        <v>10</v>
      </c>
      <c r="I372">
        <v>7</v>
      </c>
      <c r="J372">
        <v>6</v>
      </c>
      <c r="K372">
        <v>36</v>
      </c>
      <c r="L372">
        <v>16</v>
      </c>
      <c r="M372">
        <f t="shared" si="59"/>
        <v>52</v>
      </c>
      <c r="N372">
        <v>60</v>
      </c>
      <c r="O372">
        <v>3.74</v>
      </c>
      <c r="P372">
        <v>0.17</v>
      </c>
      <c r="Q372">
        <f t="shared" si="56"/>
        <v>1.1827908339069815E-2</v>
      </c>
      <c r="R372" s="6">
        <f>AVERAGE((-1977+2207),(-2207+2411),(-2411+2637),(-2637+2827),(-2827+3038),(-3038+3248),(-3248+3455),(-3455+3674))/2</f>
        <v>106.0625</v>
      </c>
      <c r="S372">
        <v>0.8</v>
      </c>
      <c r="T372">
        <v>0.9</v>
      </c>
      <c r="U372">
        <v>1</v>
      </c>
      <c r="V372">
        <v>1.1000000000000001</v>
      </c>
      <c r="W372">
        <f t="shared" si="60"/>
        <v>1.6500000000000001</v>
      </c>
      <c r="X372">
        <f t="shared" si="57"/>
        <v>3.3000000000000003</v>
      </c>
      <c r="Y372">
        <v>0.86</v>
      </c>
      <c r="Z372">
        <v>19.899999999999999</v>
      </c>
      <c r="AA372">
        <v>19.899999999999999</v>
      </c>
      <c r="AB372" s="2">
        <v>12</v>
      </c>
      <c r="AC372" s="4">
        <v>1987.5715311692061</v>
      </c>
      <c r="AD372" t="s">
        <v>658</v>
      </c>
      <c r="AE372">
        <v>2162</v>
      </c>
      <c r="AF372" s="3">
        <v>2157</v>
      </c>
      <c r="AG372" s="2">
        <v>781</v>
      </c>
      <c r="AH372" s="2">
        <v>1.00553041729512E-2</v>
      </c>
      <c r="AI372" s="2" t="s">
        <v>21</v>
      </c>
      <c r="AJ372">
        <v>1</v>
      </c>
      <c r="AK372">
        <v>4</v>
      </c>
      <c r="AL372">
        <v>251</v>
      </c>
      <c r="AM372">
        <f t="shared" si="58"/>
        <v>247</v>
      </c>
      <c r="AO372">
        <f t="shared" si="65"/>
        <v>1.164407778432528</v>
      </c>
      <c r="AP372">
        <v>370</v>
      </c>
      <c r="AQ372" t="str">
        <f t="shared" si="55"/>
        <v>NA</v>
      </c>
      <c r="AR372" t="str">
        <f t="shared" si="63"/>
        <v>NA</v>
      </c>
      <c r="AS372" t="str">
        <f t="shared" si="61"/>
        <v>NA</v>
      </c>
      <c r="AT372" s="5" t="s">
        <v>380</v>
      </c>
      <c r="AU372" t="s">
        <v>303</v>
      </c>
      <c r="AX372" s="13">
        <v>1</v>
      </c>
      <c r="AY372">
        <v>184</v>
      </c>
      <c r="AZ372" t="s">
        <v>289</v>
      </c>
      <c r="BA372" t="s">
        <v>5</v>
      </c>
    </row>
    <row r="373" spans="1:53" x14ac:dyDescent="0.35">
      <c r="A373" t="s">
        <v>289</v>
      </c>
      <c r="B373">
        <v>2</v>
      </c>
      <c r="C373" t="s">
        <v>0</v>
      </c>
      <c r="D373" t="s">
        <v>4</v>
      </c>
      <c r="E373" t="s">
        <v>3</v>
      </c>
      <c r="F373" s="1">
        <v>0.73</v>
      </c>
      <c r="G373" t="s">
        <v>286</v>
      </c>
      <c r="H373">
        <v>10</v>
      </c>
      <c r="I373">
        <v>7</v>
      </c>
      <c r="J373">
        <v>6</v>
      </c>
      <c r="K373">
        <v>36</v>
      </c>
      <c r="L373">
        <v>16</v>
      </c>
      <c r="M373">
        <f t="shared" si="59"/>
        <v>52</v>
      </c>
      <c r="N373">
        <v>60</v>
      </c>
      <c r="O373">
        <v>3.74</v>
      </c>
      <c r="P373">
        <v>0.17</v>
      </c>
      <c r="Q373">
        <f t="shared" si="56"/>
        <v>1.1827908339069815E-2</v>
      </c>
      <c r="R373" s="6">
        <f>AVERAGE((-1977+2207),(-2207+2411),(-2411+2637),(-2637+2827),(-2827+3038),(-3038+3248),(-3248+3455),(-3455+3674))/2</f>
        <v>106.0625</v>
      </c>
      <c r="S373">
        <v>0.8</v>
      </c>
      <c r="T373">
        <v>0.9</v>
      </c>
      <c r="U373">
        <v>1</v>
      </c>
      <c r="V373">
        <v>1.1000000000000001</v>
      </c>
      <c r="W373">
        <f t="shared" si="60"/>
        <v>1.6500000000000001</v>
      </c>
      <c r="X373">
        <f t="shared" si="57"/>
        <v>3.3000000000000003</v>
      </c>
      <c r="Y373">
        <v>0.86</v>
      </c>
      <c r="Z373">
        <v>19.899999999999999</v>
      </c>
      <c r="AA373">
        <v>19.899999999999999</v>
      </c>
      <c r="AB373" s="2">
        <v>12</v>
      </c>
      <c r="AC373" s="4">
        <v>1987.5715311692061</v>
      </c>
      <c r="AD373" t="s">
        <v>659</v>
      </c>
      <c r="AE373">
        <v>2162</v>
      </c>
      <c r="AF373" s="3">
        <v>2157</v>
      </c>
      <c r="AG373" s="2">
        <v>781</v>
      </c>
      <c r="AH373" s="2" t="s">
        <v>21</v>
      </c>
      <c r="AI373" s="2">
        <v>1.94514685858782E-3</v>
      </c>
      <c r="AJ373">
        <v>1</v>
      </c>
      <c r="AK373">
        <v>4</v>
      </c>
      <c r="AL373">
        <f>AK373+AL372-AK372</f>
        <v>251</v>
      </c>
      <c r="AM373">
        <f t="shared" si="58"/>
        <v>247</v>
      </c>
      <c r="AO373">
        <f t="shared" si="65"/>
        <v>1.164407778432528</v>
      </c>
      <c r="AP373">
        <v>371</v>
      </c>
      <c r="AQ373">
        <f t="shared" si="55"/>
        <v>50.480840303442911</v>
      </c>
      <c r="AR373">
        <f t="shared" si="63"/>
        <v>1.5191596965570875</v>
      </c>
      <c r="AS373">
        <f t="shared" si="61"/>
        <v>0.90505251896518202</v>
      </c>
      <c r="AU373" t="s">
        <v>303</v>
      </c>
      <c r="AX373" s="13">
        <v>1</v>
      </c>
      <c r="AY373">
        <v>184</v>
      </c>
      <c r="AZ373" t="s">
        <v>289</v>
      </c>
      <c r="BA373" t="s">
        <v>0</v>
      </c>
    </row>
    <row r="374" spans="1:53" x14ac:dyDescent="0.35">
      <c r="A374" t="s">
        <v>305</v>
      </c>
      <c r="B374">
        <v>1</v>
      </c>
      <c r="C374" t="s">
        <v>5</v>
      </c>
      <c r="D374" t="s">
        <v>4</v>
      </c>
      <c r="E374" t="s">
        <v>3</v>
      </c>
      <c r="F374" s="1">
        <v>0.74</v>
      </c>
      <c r="G374" t="s">
        <v>291</v>
      </c>
      <c r="H374">
        <v>6</v>
      </c>
      <c r="I374">
        <v>6</v>
      </c>
      <c r="J374">
        <v>5</v>
      </c>
      <c r="K374">
        <v>41</v>
      </c>
      <c r="L374">
        <v>11</v>
      </c>
      <c r="M374">
        <f t="shared" si="59"/>
        <v>52</v>
      </c>
      <c r="N374">
        <v>62</v>
      </c>
      <c r="O374">
        <v>2.2000000000000002</v>
      </c>
      <c r="P374">
        <v>0.14000000000000001</v>
      </c>
      <c r="Q374">
        <f t="shared" si="56"/>
        <v>9.7944194215732732E-3</v>
      </c>
      <c r="R374" s="6">
        <f>AT374/2</f>
        <v>106.5</v>
      </c>
      <c r="S374">
        <v>0.75</v>
      </c>
      <c r="T374">
        <v>0.85</v>
      </c>
      <c r="U374">
        <v>1.07</v>
      </c>
      <c r="V374">
        <v>1.1000000000000001</v>
      </c>
      <c r="W374">
        <f t="shared" si="60"/>
        <v>1.6500000000000001</v>
      </c>
      <c r="X374">
        <f t="shared" si="57"/>
        <v>3.3000000000000003</v>
      </c>
      <c r="Y374">
        <v>3.1</v>
      </c>
      <c r="Z374">
        <v>19.899999999999999</v>
      </c>
      <c r="AA374">
        <v>19.899999999999999</v>
      </c>
      <c r="AB374" s="3">
        <v>2</v>
      </c>
      <c r="AC374" s="3">
        <v>1396</v>
      </c>
      <c r="AD374" t="s">
        <v>660</v>
      </c>
      <c r="AE374">
        <v>1506</v>
      </c>
      <c r="AF374" s="3">
        <v>1501</v>
      </c>
      <c r="AG374" s="2">
        <v>2575</v>
      </c>
      <c r="AH374" s="2">
        <v>1.4042314173375699E-2</v>
      </c>
      <c r="AI374" s="2" t="s">
        <v>21</v>
      </c>
      <c r="AJ374">
        <v>1</v>
      </c>
      <c r="AK374">
        <v>6</v>
      </c>
      <c r="AL374">
        <f>AK374+AM374</f>
        <v>256</v>
      </c>
      <c r="AM374">
        <v>250</v>
      </c>
      <c r="AO374">
        <f t="shared" si="65"/>
        <v>1.1737089201877935</v>
      </c>
      <c r="AP374">
        <v>372</v>
      </c>
      <c r="AQ374" t="str">
        <f t="shared" si="55"/>
        <v>NA</v>
      </c>
      <c r="AR374" t="str">
        <f t="shared" si="63"/>
        <v>NA</v>
      </c>
      <c r="AS374" t="str">
        <f t="shared" si="61"/>
        <v>NA</v>
      </c>
      <c r="AT374" s="5" t="s">
        <v>379</v>
      </c>
      <c r="AU374" t="s">
        <v>303</v>
      </c>
      <c r="AX374" s="9" t="s">
        <v>452</v>
      </c>
      <c r="AY374">
        <f>IF(BA373="top",AY373+1,AY3721)</f>
        <v>185</v>
      </c>
      <c r="AZ374" t="s">
        <v>290</v>
      </c>
      <c r="BA374" t="s">
        <v>5</v>
      </c>
    </row>
    <row r="375" spans="1:53" x14ac:dyDescent="0.35">
      <c r="A375" t="s">
        <v>305</v>
      </c>
      <c r="B375">
        <v>1</v>
      </c>
      <c r="C375" t="s">
        <v>0</v>
      </c>
      <c r="D375" t="s">
        <v>4</v>
      </c>
      <c r="E375" t="s">
        <v>3</v>
      </c>
      <c r="F375" s="1">
        <v>0.74</v>
      </c>
      <c r="G375" t="s">
        <v>291</v>
      </c>
      <c r="H375">
        <v>6</v>
      </c>
      <c r="I375">
        <v>6</v>
      </c>
      <c r="J375">
        <v>5</v>
      </c>
      <c r="K375">
        <v>41</v>
      </c>
      <c r="L375">
        <v>11</v>
      </c>
      <c r="M375">
        <f t="shared" si="59"/>
        <v>52</v>
      </c>
      <c r="N375">
        <v>62</v>
      </c>
      <c r="O375">
        <v>2.2000000000000002</v>
      </c>
      <c r="P375">
        <v>0.14000000000000001</v>
      </c>
      <c r="Q375">
        <f t="shared" si="56"/>
        <v>9.7944194215732732E-3</v>
      </c>
      <c r="R375" s="6">
        <v>106.5</v>
      </c>
      <c r="S375">
        <v>0.75</v>
      </c>
      <c r="T375">
        <v>0.85</v>
      </c>
      <c r="U375">
        <v>1.07</v>
      </c>
      <c r="V375">
        <v>1.1000000000000001</v>
      </c>
      <c r="W375">
        <f t="shared" si="60"/>
        <v>1.6500000000000001</v>
      </c>
      <c r="X375">
        <f t="shared" si="57"/>
        <v>3.3000000000000003</v>
      </c>
      <c r="Y375">
        <v>3.1</v>
      </c>
      <c r="Z375">
        <v>19.899999999999999</v>
      </c>
      <c r="AA375">
        <v>19.899999999999999</v>
      </c>
      <c r="AB375" s="3">
        <v>2</v>
      </c>
      <c r="AC375" s="3">
        <v>1396</v>
      </c>
      <c r="AD375" t="s">
        <v>661</v>
      </c>
      <c r="AE375">
        <v>1506</v>
      </c>
      <c r="AF375" s="3">
        <v>1501</v>
      </c>
      <c r="AG375" s="2">
        <v>2575</v>
      </c>
      <c r="AH375" s="2" t="s">
        <v>21</v>
      </c>
      <c r="AI375" s="2">
        <v>1.97563384919328E-3</v>
      </c>
      <c r="AJ375">
        <v>1</v>
      </c>
      <c r="AK375">
        <v>5</v>
      </c>
      <c r="AL375">
        <f>AK375+AL374-AK374</f>
        <v>255</v>
      </c>
      <c r="AM375">
        <f t="shared" si="58"/>
        <v>250</v>
      </c>
      <c r="AO375">
        <f t="shared" si="65"/>
        <v>1.1737089201877935</v>
      </c>
      <c r="AP375">
        <v>373</v>
      </c>
      <c r="AQ375">
        <f t="shared" si="55"/>
        <v>46.912742838327304</v>
      </c>
      <c r="AR375">
        <f t="shared" si="63"/>
        <v>5.0872571616726958</v>
      </c>
      <c r="AS375">
        <f t="shared" si="61"/>
        <v>0.53752207621157311</v>
      </c>
      <c r="AU375" t="s">
        <v>303</v>
      </c>
      <c r="AX375" s="9" t="s">
        <v>452</v>
      </c>
      <c r="AY375">
        <f>IF(BA374="top",AY374+1,AY374)</f>
        <v>185</v>
      </c>
      <c r="AZ375" t="s">
        <v>290</v>
      </c>
      <c r="BA375" t="s">
        <v>0</v>
      </c>
    </row>
    <row r="376" spans="1:53" x14ac:dyDescent="0.35">
      <c r="A376" t="s">
        <v>306</v>
      </c>
      <c r="B376">
        <v>2</v>
      </c>
      <c r="C376" t="s">
        <v>5</v>
      </c>
      <c r="D376" t="s">
        <v>4</v>
      </c>
      <c r="E376" t="s">
        <v>3</v>
      </c>
      <c r="F376" s="1">
        <v>0.74</v>
      </c>
      <c r="G376" t="s">
        <v>291</v>
      </c>
      <c r="H376">
        <v>6</v>
      </c>
      <c r="I376">
        <v>6</v>
      </c>
      <c r="J376">
        <v>5</v>
      </c>
      <c r="K376">
        <v>47</v>
      </c>
      <c r="L376">
        <v>15</v>
      </c>
      <c r="M376">
        <f t="shared" si="59"/>
        <v>62</v>
      </c>
      <c r="N376">
        <v>63</v>
      </c>
      <c r="O376">
        <v>2.2999999999999998</v>
      </c>
      <c r="P376">
        <v>0.14000000000000001</v>
      </c>
      <c r="Q376">
        <f t="shared" si="56"/>
        <v>1.3440417437355157E-2</v>
      </c>
      <c r="R376" s="6">
        <f>AVERAGE((-7030+7246),(-7246+7452),(-7452+7635),(-7635+7835))/2</f>
        <v>100.625</v>
      </c>
      <c r="S376">
        <v>0.75</v>
      </c>
      <c r="T376">
        <v>0.8</v>
      </c>
      <c r="U376">
        <v>0.8</v>
      </c>
      <c r="V376">
        <v>0.9</v>
      </c>
      <c r="W376">
        <f t="shared" si="60"/>
        <v>1.35</v>
      </c>
      <c r="X376">
        <f t="shared" si="57"/>
        <v>2.7</v>
      </c>
      <c r="Y376">
        <v>0.86</v>
      </c>
      <c r="Z376">
        <v>19.899999999999999</v>
      </c>
      <c r="AA376">
        <v>19.899999999999999</v>
      </c>
      <c r="AB376" s="3">
        <v>7</v>
      </c>
      <c r="AC376" s="3">
        <v>1832</v>
      </c>
      <c r="AD376" t="s">
        <v>662</v>
      </c>
      <c r="AE376">
        <v>1724</v>
      </c>
      <c r="AF376" s="3">
        <v>1898</v>
      </c>
      <c r="AG376" s="2">
        <v>1673</v>
      </c>
      <c r="AH376" s="2">
        <v>1.08225108225108E-2</v>
      </c>
      <c r="AI376" s="2" t="s">
        <v>21</v>
      </c>
      <c r="AJ376">
        <v>1</v>
      </c>
      <c r="AK376">
        <v>4</v>
      </c>
      <c r="AL376">
        <v>218</v>
      </c>
      <c r="AM376">
        <f t="shared" si="58"/>
        <v>214</v>
      </c>
      <c r="AO376">
        <f t="shared" si="65"/>
        <v>1.0633540372670807</v>
      </c>
      <c r="AP376">
        <v>374</v>
      </c>
      <c r="AQ376" t="str">
        <f t="shared" si="55"/>
        <v>NA</v>
      </c>
      <c r="AR376" t="str">
        <f t="shared" si="63"/>
        <v>NA</v>
      </c>
      <c r="AS376" t="str">
        <f t="shared" si="61"/>
        <v>NA</v>
      </c>
      <c r="AT376" s="5" t="s">
        <v>378</v>
      </c>
      <c r="AU376" t="s">
        <v>303</v>
      </c>
      <c r="AX376" s="13">
        <v>1</v>
      </c>
      <c r="AY376">
        <f>IF(BA375="top",AY375+1,AY3723)</f>
        <v>186</v>
      </c>
      <c r="AZ376" t="s">
        <v>292</v>
      </c>
      <c r="BA376" t="s">
        <v>5</v>
      </c>
    </row>
    <row r="377" spans="1:53" x14ac:dyDescent="0.35">
      <c r="A377" t="s">
        <v>306</v>
      </c>
      <c r="B377">
        <v>2</v>
      </c>
      <c r="C377" t="s">
        <v>0</v>
      </c>
      <c r="D377" t="s">
        <v>4</v>
      </c>
      <c r="E377" t="s">
        <v>3</v>
      </c>
      <c r="F377" s="1">
        <v>0.74</v>
      </c>
      <c r="G377" t="s">
        <v>291</v>
      </c>
      <c r="H377">
        <v>6</v>
      </c>
      <c r="I377">
        <v>6</v>
      </c>
      <c r="J377">
        <v>5</v>
      </c>
      <c r="K377">
        <v>47</v>
      </c>
      <c r="L377">
        <v>15</v>
      </c>
      <c r="M377">
        <f t="shared" si="59"/>
        <v>62</v>
      </c>
      <c r="N377">
        <v>63</v>
      </c>
      <c r="O377">
        <v>2.2999999999999998</v>
      </c>
      <c r="P377">
        <v>0.14000000000000001</v>
      </c>
      <c r="Q377">
        <f t="shared" si="56"/>
        <v>1.3440417437355157E-2</v>
      </c>
      <c r="R377" s="6">
        <f>AVERAGE((-7030+7246),(-7246+7452),(-7452+7635),(-7635+7835))/2</f>
        <v>100.625</v>
      </c>
      <c r="S377">
        <v>0.75</v>
      </c>
      <c r="T377">
        <v>0.8</v>
      </c>
      <c r="U377">
        <v>0.8</v>
      </c>
      <c r="V377">
        <v>0.9</v>
      </c>
      <c r="W377">
        <f t="shared" si="60"/>
        <v>1.35</v>
      </c>
      <c r="X377">
        <f t="shared" si="57"/>
        <v>2.7</v>
      </c>
      <c r="Y377">
        <v>0.86</v>
      </c>
      <c r="Z377">
        <v>19.899999999999999</v>
      </c>
      <c r="AA377">
        <v>19.899999999999999</v>
      </c>
      <c r="AB377" s="3">
        <v>7</v>
      </c>
      <c r="AC377" s="3">
        <v>1832</v>
      </c>
      <c r="AD377" t="s">
        <v>663</v>
      </c>
      <c r="AE377">
        <v>1724</v>
      </c>
      <c r="AF377" s="3">
        <v>1898</v>
      </c>
      <c r="AG377" s="2">
        <v>1673</v>
      </c>
      <c r="AH377" s="2" t="s">
        <v>21</v>
      </c>
      <c r="AI377" s="2">
        <v>2.0060180541624801E-3</v>
      </c>
      <c r="AJ377">
        <v>1</v>
      </c>
      <c r="AK377">
        <v>8</v>
      </c>
      <c r="AL377">
        <f>AK377+AL376-AK376</f>
        <v>222</v>
      </c>
      <c r="AM377">
        <f t="shared" si="58"/>
        <v>214</v>
      </c>
      <c r="AO377">
        <f t="shared" si="65"/>
        <v>1.0633540372670807</v>
      </c>
      <c r="AP377">
        <v>375</v>
      </c>
      <c r="AQ377">
        <f t="shared" si="55"/>
        <v>58.643931795386173</v>
      </c>
      <c r="AR377">
        <f t="shared" si="63"/>
        <v>3.356068204613829</v>
      </c>
      <c r="AS377">
        <f t="shared" si="61"/>
        <v>0.77626211969241143</v>
      </c>
      <c r="AU377" t="s">
        <v>303</v>
      </c>
      <c r="AX377" s="13">
        <v>1</v>
      </c>
      <c r="AY377">
        <f>IF(BA376="top",AY376+1,AY376)</f>
        <v>186</v>
      </c>
      <c r="AZ377" t="s">
        <v>292</v>
      </c>
      <c r="BA377" t="s">
        <v>0</v>
      </c>
    </row>
    <row r="378" spans="1:53" x14ac:dyDescent="0.35">
      <c r="A378" t="s">
        <v>307</v>
      </c>
      <c r="B378">
        <v>1</v>
      </c>
      <c r="C378" t="s">
        <v>5</v>
      </c>
      <c r="D378" t="s">
        <v>4</v>
      </c>
      <c r="E378" t="s">
        <v>3</v>
      </c>
      <c r="F378" s="1">
        <v>0.75</v>
      </c>
      <c r="G378" t="s">
        <v>296</v>
      </c>
      <c r="H378">
        <v>3</v>
      </c>
      <c r="I378">
        <v>10</v>
      </c>
      <c r="J378">
        <v>4</v>
      </c>
      <c r="K378">
        <v>46</v>
      </c>
      <c r="L378">
        <v>11</v>
      </c>
      <c r="M378">
        <f t="shared" si="59"/>
        <v>57</v>
      </c>
      <c r="N378">
        <v>62</v>
      </c>
      <c r="O378">
        <v>3.25</v>
      </c>
      <c r="P378">
        <v>0.21</v>
      </c>
      <c r="Q378">
        <f t="shared" si="56"/>
        <v>1.2010344947529889E-2</v>
      </c>
      <c r="R378" s="6">
        <v>97.25</v>
      </c>
      <c r="S378">
        <v>0.8</v>
      </c>
      <c r="T378">
        <v>0.9</v>
      </c>
      <c r="U378">
        <v>1.25</v>
      </c>
      <c r="V378">
        <v>1.2</v>
      </c>
      <c r="W378">
        <f t="shared" si="60"/>
        <v>1.7999999999999998</v>
      </c>
      <c r="X378">
        <f t="shared" si="57"/>
        <v>3.5999999999999996</v>
      </c>
      <c r="Y378">
        <v>3.1</v>
      </c>
      <c r="Z378">
        <v>19.899999999999999</v>
      </c>
      <c r="AA378">
        <v>19.899999999999999</v>
      </c>
      <c r="AB378" s="3">
        <v>9</v>
      </c>
      <c r="AC378" s="3">
        <v>1512</v>
      </c>
      <c r="AD378" t="s">
        <v>664</v>
      </c>
      <c r="AE378">
        <v>1565</v>
      </c>
      <c r="AF378" s="3">
        <v>1561</v>
      </c>
      <c r="AG378" s="2">
        <v>445</v>
      </c>
      <c r="AH378" s="2">
        <v>1.3331358317286299E-2</v>
      </c>
      <c r="AI378" s="2" t="s">
        <v>21</v>
      </c>
      <c r="AJ378">
        <v>0</v>
      </c>
      <c r="AK378">
        <v>4</v>
      </c>
      <c r="AL378">
        <v>63</v>
      </c>
      <c r="AM378">
        <f t="shared" si="58"/>
        <v>59</v>
      </c>
      <c r="AO378">
        <f t="shared" si="65"/>
        <v>0.30334190231362468</v>
      </c>
      <c r="AP378">
        <v>376</v>
      </c>
      <c r="AQ378" t="str">
        <f t="shared" si="55"/>
        <v>NA</v>
      </c>
      <c r="AR378" t="str">
        <f t="shared" si="63"/>
        <v>NA</v>
      </c>
      <c r="AS378" t="str">
        <f t="shared" si="61"/>
        <v>NA</v>
      </c>
      <c r="AT378" s="5" t="s">
        <v>377</v>
      </c>
      <c r="AU378" t="s">
        <v>303</v>
      </c>
      <c r="AX378" s="12">
        <v>0</v>
      </c>
      <c r="AY378">
        <f>IF(BA377="top",AY377+1,AY3725)</f>
        <v>187</v>
      </c>
      <c r="AZ378" t="s">
        <v>293</v>
      </c>
      <c r="BA378" t="s">
        <v>5</v>
      </c>
    </row>
    <row r="379" spans="1:53" x14ac:dyDescent="0.35">
      <c r="A379" t="s">
        <v>307</v>
      </c>
      <c r="B379">
        <v>1</v>
      </c>
      <c r="C379" t="s">
        <v>0</v>
      </c>
      <c r="D379" t="s">
        <v>4</v>
      </c>
      <c r="E379" t="s">
        <v>3</v>
      </c>
      <c r="F379" s="1">
        <v>0.75</v>
      </c>
      <c r="G379" t="s">
        <v>296</v>
      </c>
      <c r="H379">
        <v>3</v>
      </c>
      <c r="I379">
        <v>10</v>
      </c>
      <c r="J379">
        <v>4</v>
      </c>
      <c r="K379">
        <v>46</v>
      </c>
      <c r="L379">
        <v>11</v>
      </c>
      <c r="M379">
        <f t="shared" si="59"/>
        <v>57</v>
      </c>
      <c r="N379">
        <v>62</v>
      </c>
      <c r="O379">
        <v>3.25</v>
      </c>
      <c r="P379">
        <v>0.21</v>
      </c>
      <c r="Q379">
        <f t="shared" si="56"/>
        <v>1.2010344947529889E-2</v>
      </c>
      <c r="R379" s="6">
        <v>97.25</v>
      </c>
      <c r="S379">
        <v>0.8</v>
      </c>
      <c r="T379">
        <v>0.9</v>
      </c>
      <c r="U379">
        <v>1.25</v>
      </c>
      <c r="V379">
        <v>1.2</v>
      </c>
      <c r="W379">
        <f t="shared" si="60"/>
        <v>1.7999999999999998</v>
      </c>
      <c r="X379">
        <f t="shared" si="57"/>
        <v>3.5999999999999996</v>
      </c>
      <c r="Y379">
        <v>3.1</v>
      </c>
      <c r="Z379">
        <v>19.899999999999999</v>
      </c>
      <c r="AA379">
        <v>19.899999999999999</v>
      </c>
      <c r="AB379" s="3">
        <v>9</v>
      </c>
      <c r="AC379" s="3">
        <v>1512</v>
      </c>
      <c r="AD379" t="s">
        <v>665</v>
      </c>
      <c r="AE379">
        <v>1565</v>
      </c>
      <c r="AF379" s="3">
        <v>1561</v>
      </c>
      <c r="AG379" s="2">
        <v>445</v>
      </c>
      <c r="AH379" s="2" t="s">
        <v>21</v>
      </c>
      <c r="AI379" s="2">
        <v>1.96155355041192E-3</v>
      </c>
      <c r="AJ379">
        <v>0</v>
      </c>
      <c r="AK379">
        <v>7</v>
      </c>
      <c r="AL379">
        <v>66</v>
      </c>
      <c r="AM379">
        <f t="shared" si="58"/>
        <v>59</v>
      </c>
      <c r="AO379">
        <f t="shared" si="65"/>
        <v>0.30334190231362468</v>
      </c>
      <c r="AP379">
        <v>377</v>
      </c>
      <c r="AQ379">
        <f t="shared" si="55"/>
        <v>56.127108670066697</v>
      </c>
      <c r="AR379">
        <f t="shared" si="63"/>
        <v>0.87289132993330443</v>
      </c>
      <c r="AS379">
        <f t="shared" si="61"/>
        <v>0.92064624273333595</v>
      </c>
      <c r="AU379" t="s">
        <v>303</v>
      </c>
      <c r="AX379" s="12">
        <v>0</v>
      </c>
      <c r="AY379">
        <f>IF(BA378="top",AY378+1,AY378)</f>
        <v>187</v>
      </c>
      <c r="AZ379" t="s">
        <v>293</v>
      </c>
      <c r="BA379" t="s">
        <v>0</v>
      </c>
    </row>
    <row r="380" spans="1:53" x14ac:dyDescent="0.35">
      <c r="A380" t="s">
        <v>308</v>
      </c>
      <c r="B380">
        <v>1</v>
      </c>
      <c r="C380" t="s">
        <v>5</v>
      </c>
      <c r="D380" t="s">
        <v>4</v>
      </c>
      <c r="E380" t="s">
        <v>3</v>
      </c>
      <c r="F380" s="1">
        <v>0.75</v>
      </c>
      <c r="G380" t="s">
        <v>296</v>
      </c>
      <c r="H380">
        <v>3</v>
      </c>
      <c r="I380">
        <v>10</v>
      </c>
      <c r="J380">
        <v>4</v>
      </c>
      <c r="K380">
        <v>46</v>
      </c>
      <c r="L380">
        <v>11</v>
      </c>
      <c r="M380">
        <f t="shared" si="59"/>
        <v>57</v>
      </c>
      <c r="N380">
        <v>62</v>
      </c>
      <c r="O380">
        <v>3.25</v>
      </c>
      <c r="P380">
        <v>0.21</v>
      </c>
      <c r="Q380">
        <f t="shared" si="56"/>
        <v>1.2010344947529889E-2</v>
      </c>
      <c r="R380" s="6">
        <v>97.25</v>
      </c>
      <c r="S380">
        <v>0.8</v>
      </c>
      <c r="T380">
        <v>0.9</v>
      </c>
      <c r="U380">
        <v>1.25</v>
      </c>
      <c r="V380">
        <v>1.2</v>
      </c>
      <c r="W380">
        <f t="shared" si="60"/>
        <v>1.7999999999999998</v>
      </c>
      <c r="X380">
        <f t="shared" si="57"/>
        <v>3.5999999999999996</v>
      </c>
      <c r="Y380">
        <v>3.1</v>
      </c>
      <c r="Z380">
        <v>19.899999999999999</v>
      </c>
      <c r="AA380">
        <v>19.899999999999999</v>
      </c>
      <c r="AB380" s="3">
        <v>9</v>
      </c>
      <c r="AC380" s="3">
        <v>1512</v>
      </c>
      <c r="AD380" t="s">
        <v>666</v>
      </c>
      <c r="AE380">
        <v>1565</v>
      </c>
      <c r="AF380" s="3">
        <v>1561</v>
      </c>
      <c r="AG380" s="2">
        <v>551</v>
      </c>
      <c r="AH380" s="2">
        <v>1.3331358317286299E-2</v>
      </c>
      <c r="AI380" s="2" t="s">
        <v>21</v>
      </c>
      <c r="AJ380">
        <v>0</v>
      </c>
      <c r="AK380">
        <v>4</v>
      </c>
      <c r="AL380">
        <v>85</v>
      </c>
      <c r="AM380">
        <f t="shared" si="58"/>
        <v>81</v>
      </c>
      <c r="AO380">
        <f t="shared" si="65"/>
        <v>0.41645244215938304</v>
      </c>
      <c r="AP380">
        <v>378</v>
      </c>
      <c r="AQ380" t="str">
        <f t="shared" si="55"/>
        <v>NA</v>
      </c>
      <c r="AR380" t="str">
        <f t="shared" si="63"/>
        <v>NA</v>
      </c>
      <c r="AS380" t="str">
        <f t="shared" si="61"/>
        <v>NA</v>
      </c>
      <c r="AU380" t="s">
        <v>303</v>
      </c>
      <c r="AX380" s="12">
        <v>0</v>
      </c>
      <c r="AY380">
        <f>IF(BA379="top",AY379+1,AY3727)</f>
        <v>188</v>
      </c>
      <c r="AZ380" t="s">
        <v>294</v>
      </c>
      <c r="BA380" t="s">
        <v>5</v>
      </c>
    </row>
    <row r="381" spans="1:53" x14ac:dyDescent="0.35">
      <c r="A381" t="s">
        <v>308</v>
      </c>
      <c r="B381">
        <v>1</v>
      </c>
      <c r="C381" t="s">
        <v>0</v>
      </c>
      <c r="D381" t="s">
        <v>4</v>
      </c>
      <c r="E381" t="s">
        <v>3</v>
      </c>
      <c r="F381" s="1">
        <v>0.75</v>
      </c>
      <c r="G381" t="s">
        <v>296</v>
      </c>
      <c r="H381">
        <v>3</v>
      </c>
      <c r="I381">
        <v>10</v>
      </c>
      <c r="J381">
        <v>4</v>
      </c>
      <c r="K381">
        <v>46</v>
      </c>
      <c r="L381">
        <v>11</v>
      </c>
      <c r="M381">
        <f t="shared" si="59"/>
        <v>57</v>
      </c>
      <c r="N381">
        <v>62</v>
      </c>
      <c r="O381">
        <v>3.25</v>
      </c>
      <c r="P381">
        <v>0.21</v>
      </c>
      <c r="Q381">
        <f t="shared" si="56"/>
        <v>1.2010344947529889E-2</v>
      </c>
      <c r="R381" s="6">
        <v>97.25</v>
      </c>
      <c r="S381">
        <v>0.8</v>
      </c>
      <c r="T381">
        <v>0.9</v>
      </c>
      <c r="U381">
        <v>1.25</v>
      </c>
      <c r="V381">
        <v>1.2</v>
      </c>
      <c r="W381">
        <f t="shared" si="60"/>
        <v>1.7999999999999998</v>
      </c>
      <c r="X381">
        <f t="shared" si="57"/>
        <v>3.5999999999999996</v>
      </c>
      <c r="Y381">
        <v>3.1</v>
      </c>
      <c r="Z381">
        <v>19.899999999999999</v>
      </c>
      <c r="AA381">
        <v>19.899999999999999</v>
      </c>
      <c r="AB381" s="3">
        <v>9</v>
      </c>
      <c r="AC381" s="3">
        <v>1512</v>
      </c>
      <c r="AD381" t="s">
        <v>667</v>
      </c>
      <c r="AE381">
        <v>1565</v>
      </c>
      <c r="AF381" s="3">
        <v>1561</v>
      </c>
      <c r="AG381" s="2">
        <v>551</v>
      </c>
      <c r="AH381" s="2" t="s">
        <v>21</v>
      </c>
      <c r="AI381" s="2">
        <v>1.96155355041192E-3</v>
      </c>
      <c r="AJ381">
        <v>0</v>
      </c>
      <c r="AK381">
        <v>6</v>
      </c>
      <c r="AL381">
        <v>87</v>
      </c>
      <c r="AM381">
        <f t="shared" si="58"/>
        <v>81</v>
      </c>
      <c r="AO381">
        <f t="shared" si="65"/>
        <v>0.41645244215938304</v>
      </c>
      <c r="AP381">
        <v>379</v>
      </c>
      <c r="AQ381">
        <f t="shared" si="55"/>
        <v>55.919183993723031</v>
      </c>
      <c r="AR381">
        <f t="shared" si="63"/>
        <v>1.0808160062769678</v>
      </c>
      <c r="AS381">
        <f t="shared" si="61"/>
        <v>0.90174399942936645</v>
      </c>
      <c r="AU381" t="s">
        <v>303</v>
      </c>
      <c r="AX381" s="12">
        <v>0</v>
      </c>
      <c r="AY381">
        <f>IF(BA380="top",AY380+1,AY380)</f>
        <v>188</v>
      </c>
      <c r="AZ381" t="s">
        <v>294</v>
      </c>
      <c r="BA381" t="s">
        <v>0</v>
      </c>
    </row>
    <row r="382" spans="1:53" x14ac:dyDescent="0.35">
      <c r="A382" t="s">
        <v>309</v>
      </c>
      <c r="B382">
        <v>1</v>
      </c>
      <c r="C382" t="s">
        <v>5</v>
      </c>
      <c r="D382" t="s">
        <v>4</v>
      </c>
      <c r="E382" t="s">
        <v>3</v>
      </c>
      <c r="F382" s="1">
        <v>0.75</v>
      </c>
      <c r="G382" t="s">
        <v>296</v>
      </c>
      <c r="H382">
        <v>3</v>
      </c>
      <c r="I382">
        <v>10</v>
      </c>
      <c r="J382">
        <v>4</v>
      </c>
      <c r="K382">
        <v>46</v>
      </c>
      <c r="L382">
        <v>11</v>
      </c>
      <c r="M382">
        <f t="shared" si="59"/>
        <v>57</v>
      </c>
      <c r="N382">
        <v>62</v>
      </c>
      <c r="O382">
        <v>3.25</v>
      </c>
      <c r="P382">
        <v>0.21</v>
      </c>
      <c r="Q382">
        <f t="shared" si="56"/>
        <v>1.2010344947529889E-2</v>
      </c>
      <c r="R382" s="6">
        <v>97.25</v>
      </c>
      <c r="S382">
        <v>0.8</v>
      </c>
      <c r="T382">
        <v>0.9</v>
      </c>
      <c r="U382">
        <v>1.25</v>
      </c>
      <c r="V382">
        <v>1.2</v>
      </c>
      <c r="W382">
        <f t="shared" si="60"/>
        <v>1.7999999999999998</v>
      </c>
      <c r="X382">
        <f t="shared" si="57"/>
        <v>3.5999999999999996</v>
      </c>
      <c r="Y382">
        <v>3.1</v>
      </c>
      <c r="Z382">
        <v>19.899999999999999</v>
      </c>
      <c r="AA382">
        <v>19.899999999999999</v>
      </c>
      <c r="AB382" s="3">
        <v>9</v>
      </c>
      <c r="AC382" s="3">
        <v>1512</v>
      </c>
      <c r="AD382" t="s">
        <v>668</v>
      </c>
      <c r="AE382">
        <v>1565</v>
      </c>
      <c r="AF382" s="3">
        <v>1561</v>
      </c>
      <c r="AG382" s="2">
        <v>916</v>
      </c>
      <c r="AH382" s="2">
        <v>1.3331358317286299E-2</v>
      </c>
      <c r="AI382" s="2" t="s">
        <v>21</v>
      </c>
      <c r="AJ382">
        <v>1</v>
      </c>
      <c r="AK382">
        <v>8</v>
      </c>
      <c r="AL382">
        <v>231</v>
      </c>
      <c r="AM382">
        <f t="shared" si="58"/>
        <v>223</v>
      </c>
      <c r="AO382">
        <f t="shared" si="65"/>
        <v>1.1465295629820051</v>
      </c>
      <c r="AP382">
        <v>380</v>
      </c>
      <c r="AQ382" t="str">
        <f t="shared" si="55"/>
        <v>NA</v>
      </c>
      <c r="AR382" t="str">
        <f t="shared" si="63"/>
        <v>NA</v>
      </c>
      <c r="AS382" t="str">
        <f t="shared" si="61"/>
        <v>NA</v>
      </c>
      <c r="AU382" t="s">
        <v>303</v>
      </c>
      <c r="AX382" s="13">
        <v>1</v>
      </c>
      <c r="AY382">
        <f>IF(BA381="top",AY381+1,AY3729)</f>
        <v>189</v>
      </c>
      <c r="AZ382" t="s">
        <v>295</v>
      </c>
      <c r="BA382" t="s">
        <v>5</v>
      </c>
    </row>
    <row r="383" spans="1:53" x14ac:dyDescent="0.35">
      <c r="A383" t="s">
        <v>309</v>
      </c>
      <c r="B383">
        <v>1</v>
      </c>
      <c r="C383" t="s">
        <v>0</v>
      </c>
      <c r="D383" t="s">
        <v>4</v>
      </c>
      <c r="E383" t="s">
        <v>3</v>
      </c>
      <c r="F383" s="1">
        <v>0.75</v>
      </c>
      <c r="G383" t="s">
        <v>296</v>
      </c>
      <c r="H383">
        <v>3</v>
      </c>
      <c r="I383">
        <v>10</v>
      </c>
      <c r="J383">
        <v>4</v>
      </c>
      <c r="K383">
        <v>46</v>
      </c>
      <c r="L383">
        <v>11</v>
      </c>
      <c r="M383">
        <f t="shared" si="59"/>
        <v>57</v>
      </c>
      <c r="N383">
        <v>62</v>
      </c>
      <c r="O383">
        <v>3.25</v>
      </c>
      <c r="P383">
        <v>0.21</v>
      </c>
      <c r="Q383">
        <f t="shared" si="56"/>
        <v>1.2010344947529889E-2</v>
      </c>
      <c r="R383" s="6">
        <v>97.25</v>
      </c>
      <c r="S383">
        <v>0.8</v>
      </c>
      <c r="T383">
        <v>0.9</v>
      </c>
      <c r="U383">
        <v>1.25</v>
      </c>
      <c r="V383">
        <v>1.2</v>
      </c>
      <c r="W383">
        <f t="shared" si="60"/>
        <v>1.7999999999999998</v>
      </c>
      <c r="X383">
        <f t="shared" si="57"/>
        <v>3.5999999999999996</v>
      </c>
      <c r="Y383">
        <v>3.1</v>
      </c>
      <c r="Z383">
        <v>19.899999999999999</v>
      </c>
      <c r="AA383">
        <v>19.899999999999999</v>
      </c>
      <c r="AB383" s="3">
        <v>9</v>
      </c>
      <c r="AC383" s="3">
        <v>1512</v>
      </c>
      <c r="AD383" t="s">
        <v>669</v>
      </c>
      <c r="AE383">
        <v>1565</v>
      </c>
      <c r="AF383" s="3">
        <v>1561</v>
      </c>
      <c r="AG383" s="2">
        <v>916</v>
      </c>
      <c r="AH383" s="2" t="s">
        <v>21</v>
      </c>
      <c r="AI383" s="2">
        <v>1.96155355041192E-3</v>
      </c>
      <c r="AJ383">
        <v>1</v>
      </c>
      <c r="AK383">
        <v>4</v>
      </c>
      <c r="AL383">
        <f>AK383+AL382-AK382</f>
        <v>227</v>
      </c>
      <c r="AM383">
        <f t="shared" si="58"/>
        <v>223</v>
      </c>
      <c r="AO383">
        <f t="shared" si="65"/>
        <v>1.1465295629820051</v>
      </c>
      <c r="AP383">
        <v>381</v>
      </c>
      <c r="AQ383">
        <f t="shared" si="55"/>
        <v>55.203216947822682</v>
      </c>
      <c r="AR383">
        <f t="shared" si="63"/>
        <v>1.7967830521773187</v>
      </c>
      <c r="AS383">
        <f t="shared" si="61"/>
        <v>0.83665608616569831</v>
      </c>
      <c r="AU383" t="s">
        <v>303</v>
      </c>
      <c r="AX383" s="13">
        <v>1</v>
      </c>
      <c r="AY383">
        <f>IF(BA382="top",AY382+1,AY382)</f>
        <v>189</v>
      </c>
      <c r="AZ383" t="s">
        <v>295</v>
      </c>
      <c r="BA383" t="s">
        <v>0</v>
      </c>
    </row>
    <row r="384" spans="1:53" x14ac:dyDescent="0.35">
      <c r="A384" t="s">
        <v>315</v>
      </c>
      <c r="B384">
        <v>2</v>
      </c>
      <c r="C384" t="s">
        <v>5</v>
      </c>
      <c r="D384" t="s">
        <v>4</v>
      </c>
      <c r="E384" t="s">
        <v>3</v>
      </c>
      <c r="F384" s="1">
        <v>0.79</v>
      </c>
      <c r="G384" t="s">
        <v>318</v>
      </c>
      <c r="H384">
        <v>8</v>
      </c>
      <c r="I384">
        <v>7</v>
      </c>
      <c r="J384">
        <v>6</v>
      </c>
      <c r="K384">
        <v>45</v>
      </c>
      <c r="L384">
        <v>13</v>
      </c>
      <c r="M384">
        <f t="shared" si="59"/>
        <v>58</v>
      </c>
      <c r="N384">
        <v>61</v>
      </c>
      <c r="O384">
        <v>2.35</v>
      </c>
      <c r="P384">
        <v>0.18</v>
      </c>
      <c r="Q384">
        <f t="shared" si="56"/>
        <v>1.8763200953975132E-2</v>
      </c>
      <c r="R384" s="6">
        <v>110.1</v>
      </c>
      <c r="S384">
        <v>0.6</v>
      </c>
      <c r="T384">
        <v>0.7</v>
      </c>
      <c r="U384">
        <v>0.77</v>
      </c>
      <c r="V384">
        <v>1</v>
      </c>
      <c r="W384">
        <f t="shared" si="60"/>
        <v>1.5</v>
      </c>
      <c r="X384">
        <f t="shared" si="57"/>
        <v>3</v>
      </c>
      <c r="Y384">
        <v>0.86</v>
      </c>
      <c r="Z384">
        <v>19.899999999999999</v>
      </c>
      <c r="AA384">
        <v>19.899999999999999</v>
      </c>
      <c r="AB384">
        <v>11</v>
      </c>
      <c r="AC384">
        <v>1863</v>
      </c>
      <c r="AD384" t="s">
        <v>670</v>
      </c>
      <c r="AE384">
        <v>2188</v>
      </c>
      <c r="AF384">
        <v>2177</v>
      </c>
      <c r="AG384">
        <v>439</v>
      </c>
      <c r="AH384">
        <v>1.0719390185802761E-2</v>
      </c>
      <c r="AI384">
        <v>1.9933933249800658E-3</v>
      </c>
      <c r="AJ384">
        <v>0</v>
      </c>
      <c r="AK384">
        <v>7</v>
      </c>
      <c r="AL384">
        <v>19</v>
      </c>
      <c r="AM384">
        <f t="shared" si="58"/>
        <v>12</v>
      </c>
      <c r="AO384">
        <f t="shared" si="65"/>
        <v>5.4495912806539509E-2</v>
      </c>
      <c r="AP384">
        <v>382</v>
      </c>
      <c r="AQ384">
        <f t="shared" si="55"/>
        <v>57.124900330333752</v>
      </c>
      <c r="AR384">
        <f t="shared" si="63"/>
        <v>0.87509966966624886</v>
      </c>
      <c r="AS384">
        <f t="shared" si="61"/>
        <v>0.93268464079490399</v>
      </c>
      <c r="AT384" s="5" t="s">
        <v>376</v>
      </c>
      <c r="AU384" t="s">
        <v>303</v>
      </c>
      <c r="AX384" s="12">
        <v>0</v>
      </c>
      <c r="AY384">
        <f>IF(BA383="top",AY383+1,AY3731)</f>
        <v>190</v>
      </c>
      <c r="AZ384" t="s">
        <v>315</v>
      </c>
      <c r="BA384" t="s">
        <v>5</v>
      </c>
    </row>
    <row r="385" spans="1:53" x14ac:dyDescent="0.35">
      <c r="A385" t="s">
        <v>315</v>
      </c>
      <c r="B385">
        <v>2</v>
      </c>
      <c r="C385" t="s">
        <v>0</v>
      </c>
      <c r="D385" t="s">
        <v>4</v>
      </c>
      <c r="E385" t="s">
        <v>3</v>
      </c>
      <c r="F385" s="1">
        <v>0.79</v>
      </c>
      <c r="G385" t="s">
        <v>318</v>
      </c>
      <c r="H385">
        <v>8</v>
      </c>
      <c r="I385">
        <v>7</v>
      </c>
      <c r="J385">
        <v>6</v>
      </c>
      <c r="K385">
        <v>45</v>
      </c>
      <c r="L385">
        <v>13</v>
      </c>
      <c r="M385">
        <f t="shared" si="59"/>
        <v>58</v>
      </c>
      <c r="N385">
        <v>61</v>
      </c>
      <c r="O385">
        <v>2.35</v>
      </c>
      <c r="P385">
        <v>0.18</v>
      </c>
      <c r="Q385">
        <f t="shared" si="56"/>
        <v>2.3471055154112273E-2</v>
      </c>
      <c r="R385" s="6">
        <v>110.1</v>
      </c>
      <c r="S385">
        <v>0.6</v>
      </c>
      <c r="U385">
        <v>0.77</v>
      </c>
      <c r="V385">
        <v>1</v>
      </c>
      <c r="W385">
        <f t="shared" si="60"/>
        <v>1.5</v>
      </c>
      <c r="X385">
        <f t="shared" si="57"/>
        <v>3</v>
      </c>
      <c r="Y385">
        <v>0.86</v>
      </c>
      <c r="Z385">
        <v>19.899999999999999</v>
      </c>
      <c r="AA385">
        <v>19.899999999999999</v>
      </c>
      <c r="AB385">
        <v>11</v>
      </c>
      <c r="AC385">
        <v>1863</v>
      </c>
      <c r="AD385" t="s">
        <v>671</v>
      </c>
      <c r="AE385">
        <v>2188</v>
      </c>
      <c r="AF385">
        <v>2177</v>
      </c>
      <c r="AG385">
        <v>439</v>
      </c>
      <c r="AH385">
        <v>1.0719390185802761E-2</v>
      </c>
      <c r="AI385">
        <v>1.9933933249800658E-3</v>
      </c>
      <c r="AJ385">
        <v>0</v>
      </c>
      <c r="AK385">
        <v>5</v>
      </c>
      <c r="AL385">
        <f>AK385+AL384-AK384</f>
        <v>17</v>
      </c>
      <c r="AM385">
        <f t="shared" si="58"/>
        <v>12</v>
      </c>
      <c r="AO385">
        <f t="shared" si="65"/>
        <v>5.4495912806539509E-2</v>
      </c>
      <c r="AP385">
        <v>383</v>
      </c>
      <c r="AQ385">
        <f t="shared" si="55"/>
        <v>57.124900330333752</v>
      </c>
      <c r="AR385">
        <f t="shared" si="63"/>
        <v>0.87509966966624886</v>
      </c>
      <c r="AS385">
        <f t="shared" si="61"/>
        <v>0.93268464079490399</v>
      </c>
      <c r="AU385" t="s">
        <v>303</v>
      </c>
      <c r="AX385" s="12">
        <v>0</v>
      </c>
      <c r="AY385">
        <f>IF(BA384="top",AY384+1,AY384)</f>
        <v>190</v>
      </c>
      <c r="AZ385" t="s">
        <v>315</v>
      </c>
      <c r="BA385" t="s">
        <v>0</v>
      </c>
    </row>
    <row r="386" spans="1:53" x14ac:dyDescent="0.35">
      <c r="A386" t="s">
        <v>323</v>
      </c>
      <c r="B386">
        <v>2</v>
      </c>
      <c r="C386" t="s">
        <v>5</v>
      </c>
      <c r="D386" t="s">
        <v>4</v>
      </c>
      <c r="E386" t="s">
        <v>3</v>
      </c>
      <c r="F386" s="1">
        <v>0.79</v>
      </c>
      <c r="G386" t="s">
        <v>318</v>
      </c>
      <c r="H386">
        <v>8</v>
      </c>
      <c r="I386">
        <v>7</v>
      </c>
      <c r="J386">
        <v>6</v>
      </c>
      <c r="K386">
        <v>45</v>
      </c>
      <c r="L386">
        <v>13</v>
      </c>
      <c r="M386">
        <f t="shared" si="59"/>
        <v>58</v>
      </c>
      <c r="N386">
        <v>61</v>
      </c>
      <c r="O386">
        <v>2.35</v>
      </c>
      <c r="P386">
        <v>0.18</v>
      </c>
      <c r="Q386">
        <f t="shared" si="56"/>
        <v>1.8763200953975132E-2</v>
      </c>
      <c r="R386" s="6">
        <v>110.1</v>
      </c>
      <c r="S386">
        <v>0.6</v>
      </c>
      <c r="T386">
        <v>0.7</v>
      </c>
      <c r="U386">
        <v>0.77</v>
      </c>
      <c r="V386">
        <v>1</v>
      </c>
      <c r="W386">
        <f t="shared" si="60"/>
        <v>1.5</v>
      </c>
      <c r="X386">
        <f t="shared" si="57"/>
        <v>3</v>
      </c>
      <c r="Y386">
        <v>0.86</v>
      </c>
      <c r="Z386">
        <v>19.899999999999999</v>
      </c>
      <c r="AA386">
        <v>19.899999999999999</v>
      </c>
      <c r="AB386">
        <v>11</v>
      </c>
      <c r="AC386">
        <v>1863</v>
      </c>
      <c r="AD386" t="s">
        <v>672</v>
      </c>
      <c r="AE386">
        <v>2188</v>
      </c>
      <c r="AF386">
        <v>2177</v>
      </c>
      <c r="AG386">
        <v>1015</v>
      </c>
      <c r="AH386">
        <v>1.0719390185802761E-2</v>
      </c>
      <c r="AI386">
        <v>1.9933933249800658E-3</v>
      </c>
      <c r="AJ386">
        <v>1</v>
      </c>
      <c r="AK386">
        <v>9</v>
      </c>
      <c r="AL386">
        <v>203</v>
      </c>
      <c r="AM386">
        <f t="shared" si="58"/>
        <v>194</v>
      </c>
      <c r="AO386">
        <f t="shared" si="65"/>
        <v>0.88101725703905542</v>
      </c>
      <c r="AP386">
        <v>384</v>
      </c>
      <c r="AQ386">
        <f t="shared" ref="AQ386:AQ439" si="66">IF(AI386&lt;&gt;"NA",K386+L386-AG386*AI386,"NA")</f>
        <v>55.976705775145234</v>
      </c>
      <c r="AR386">
        <f t="shared" si="63"/>
        <v>2.0232942248547667</v>
      </c>
      <c r="AS386">
        <f t="shared" si="61"/>
        <v>0.84436198270347951</v>
      </c>
      <c r="AU386" t="s">
        <v>303</v>
      </c>
      <c r="AX386" s="13">
        <v>1</v>
      </c>
      <c r="AY386">
        <f>IF(BA385="top",AY385+1,AY3733)</f>
        <v>191</v>
      </c>
      <c r="AZ386" t="s">
        <v>323</v>
      </c>
      <c r="BA386" t="s">
        <v>5</v>
      </c>
    </row>
    <row r="387" spans="1:53" x14ac:dyDescent="0.35">
      <c r="A387" t="s">
        <v>323</v>
      </c>
      <c r="B387">
        <v>2</v>
      </c>
      <c r="C387" t="s">
        <v>0</v>
      </c>
      <c r="D387" t="s">
        <v>4</v>
      </c>
      <c r="E387" t="s">
        <v>3</v>
      </c>
      <c r="F387" s="1">
        <v>0.79</v>
      </c>
      <c r="G387" t="s">
        <v>318</v>
      </c>
      <c r="H387">
        <v>8</v>
      </c>
      <c r="I387">
        <v>7</v>
      </c>
      <c r="J387">
        <v>6</v>
      </c>
      <c r="K387">
        <v>45</v>
      </c>
      <c r="L387">
        <v>13</v>
      </c>
      <c r="M387">
        <f t="shared" si="59"/>
        <v>58</v>
      </c>
      <c r="N387">
        <v>61</v>
      </c>
      <c r="O387">
        <v>2.35</v>
      </c>
      <c r="P387">
        <v>0.18</v>
      </c>
      <c r="Q387">
        <f t="shared" ref="Q387:Q399" si="67">P387/(PI()*(5*(S387/2)^2+5*(T387/2)^2+5*(U387/2)^2+5*(V387/2)^2))</f>
        <v>1.8763200953975132E-2</v>
      </c>
      <c r="R387" s="6">
        <v>110.1</v>
      </c>
      <c r="S387">
        <v>0.6</v>
      </c>
      <c r="T387">
        <v>0.7</v>
      </c>
      <c r="U387">
        <v>0.77</v>
      </c>
      <c r="V387">
        <v>1</v>
      </c>
      <c r="W387">
        <f t="shared" si="60"/>
        <v>1.5</v>
      </c>
      <c r="X387">
        <f t="shared" ref="X387:X399" si="68">W387*2</f>
        <v>3</v>
      </c>
      <c r="Y387">
        <v>0.86</v>
      </c>
      <c r="Z387">
        <v>19.899999999999999</v>
      </c>
      <c r="AA387">
        <v>19.899999999999999</v>
      </c>
      <c r="AB387">
        <v>11</v>
      </c>
      <c r="AC387">
        <v>1863</v>
      </c>
      <c r="AD387" t="s">
        <v>673</v>
      </c>
      <c r="AE387">
        <v>2188</v>
      </c>
      <c r="AF387">
        <v>2177</v>
      </c>
      <c r="AG387">
        <v>1015</v>
      </c>
      <c r="AH387">
        <v>1.0719390185802761E-2</v>
      </c>
      <c r="AI387">
        <v>1.9933933249800658E-3</v>
      </c>
      <c r="AJ387">
        <v>1</v>
      </c>
      <c r="AK387">
        <v>4</v>
      </c>
      <c r="AL387">
        <f>AK387+AL386-AK386</f>
        <v>198</v>
      </c>
      <c r="AM387">
        <f t="shared" ref="AM387:AM439" si="69">AL387-AK387</f>
        <v>194</v>
      </c>
      <c r="AO387">
        <f t="shared" si="65"/>
        <v>0.88101725703905542</v>
      </c>
      <c r="AP387">
        <v>385</v>
      </c>
      <c r="AQ387">
        <f t="shared" si="66"/>
        <v>55.976705775145234</v>
      </c>
      <c r="AR387">
        <f t="shared" si="63"/>
        <v>2.0232942248547667</v>
      </c>
      <c r="AS387">
        <f t="shared" si="61"/>
        <v>0.84436198270347951</v>
      </c>
      <c r="AU387" t="s">
        <v>303</v>
      </c>
      <c r="AX387" s="13">
        <v>1</v>
      </c>
      <c r="AY387">
        <f>IF(BA386="top",AY386+1,AY386)</f>
        <v>191</v>
      </c>
      <c r="AZ387" t="s">
        <v>323</v>
      </c>
      <c r="BA387" t="s">
        <v>0</v>
      </c>
    </row>
    <row r="388" spans="1:53" x14ac:dyDescent="0.35">
      <c r="A388" t="s">
        <v>316</v>
      </c>
      <c r="B388">
        <v>2</v>
      </c>
      <c r="C388" t="s">
        <v>5</v>
      </c>
      <c r="D388" t="s">
        <v>4</v>
      </c>
      <c r="E388" t="s">
        <v>3</v>
      </c>
      <c r="F388" s="1">
        <v>0.8</v>
      </c>
      <c r="G388" t="s">
        <v>319</v>
      </c>
      <c r="H388">
        <v>7</v>
      </c>
      <c r="I388">
        <v>7</v>
      </c>
      <c r="J388">
        <v>7</v>
      </c>
      <c r="K388">
        <v>30</v>
      </c>
      <c r="L388">
        <v>10</v>
      </c>
      <c r="M388">
        <f t="shared" ref="M388:M439" si="70">K388+L388</f>
        <v>40</v>
      </c>
      <c r="N388">
        <v>45</v>
      </c>
      <c r="O388">
        <v>3.1</v>
      </c>
      <c r="P388">
        <v>0.2</v>
      </c>
      <c r="Q388">
        <f t="shared" si="67"/>
        <v>1.1996697945823974E-2</v>
      </c>
      <c r="R388" s="6">
        <f>AVERAGE(R1:R386)</f>
        <v>100.85788103069264</v>
      </c>
      <c r="S388">
        <v>0.82</v>
      </c>
      <c r="T388">
        <v>1.02</v>
      </c>
      <c r="U388">
        <v>1.1000000000000001</v>
      </c>
      <c r="V388">
        <v>1.1499999999999999</v>
      </c>
      <c r="W388">
        <f t="shared" ref="W388:W399" si="71">V388*1.5</f>
        <v>1.7249999999999999</v>
      </c>
      <c r="X388">
        <f t="shared" si="68"/>
        <v>3.4499999999999997</v>
      </c>
      <c r="Y388">
        <v>0.86</v>
      </c>
      <c r="Z388">
        <v>19.899999999999999</v>
      </c>
      <c r="AA388">
        <v>19.899999999999999</v>
      </c>
      <c r="AB388">
        <v>18</v>
      </c>
      <c r="AC388">
        <v>1912</v>
      </c>
      <c r="AF388">
        <v>3310</v>
      </c>
      <c r="AG388">
        <v>1449</v>
      </c>
      <c r="AH388">
        <v>1.058014459530947E-2</v>
      </c>
      <c r="AI388">
        <v>1.998201618543311E-3</v>
      </c>
      <c r="AJ388">
        <v>1</v>
      </c>
      <c r="AK388">
        <v>59</v>
      </c>
      <c r="AL388">
        <v>192</v>
      </c>
      <c r="AM388">
        <f t="shared" si="69"/>
        <v>133</v>
      </c>
      <c r="AO388">
        <f t="shared" si="65"/>
        <v>0.65934361618962634</v>
      </c>
      <c r="AP388">
        <v>386</v>
      </c>
      <c r="AQ388">
        <f t="shared" si="66"/>
        <v>37.104605854730742</v>
      </c>
      <c r="AR388">
        <f t="shared" si="63"/>
        <v>2.8953941452692575</v>
      </c>
      <c r="AS388">
        <f t="shared" si="61"/>
        <v>0.71046058547307422</v>
      </c>
      <c r="AU388" t="s">
        <v>326</v>
      </c>
      <c r="AX388" s="14">
        <v>1</v>
      </c>
      <c r="AY388">
        <f>IF(BA387="top",AY387+1,AY3735)</f>
        <v>192</v>
      </c>
      <c r="AZ388" t="s">
        <v>316</v>
      </c>
      <c r="BA388" t="s">
        <v>5</v>
      </c>
    </row>
    <row r="389" spans="1:53" ht="15" customHeight="1" x14ac:dyDescent="0.35">
      <c r="A389" t="s">
        <v>316</v>
      </c>
      <c r="B389">
        <v>2</v>
      </c>
      <c r="C389" t="s">
        <v>0</v>
      </c>
      <c r="D389" t="s">
        <v>4</v>
      </c>
      <c r="E389" t="s">
        <v>3</v>
      </c>
      <c r="F389" s="1">
        <v>0.8</v>
      </c>
      <c r="G389" t="s">
        <v>319</v>
      </c>
      <c r="H389">
        <v>7</v>
      </c>
      <c r="I389">
        <v>7</v>
      </c>
      <c r="J389">
        <v>7</v>
      </c>
      <c r="K389">
        <v>30</v>
      </c>
      <c r="L389">
        <v>10</v>
      </c>
      <c r="M389">
        <f t="shared" si="70"/>
        <v>40</v>
      </c>
      <c r="N389">
        <v>45</v>
      </c>
      <c r="O389">
        <v>3.1</v>
      </c>
      <c r="P389">
        <v>0.2</v>
      </c>
      <c r="Q389">
        <f t="shared" si="67"/>
        <v>1.1996697945823974E-2</v>
      </c>
      <c r="R389" s="6">
        <f>AVERAGE(R2:R387)</f>
        <v>100.88182434408463</v>
      </c>
      <c r="S389">
        <v>0.82</v>
      </c>
      <c r="T389">
        <v>1.02</v>
      </c>
      <c r="U389">
        <v>1.1000000000000001</v>
      </c>
      <c r="V389">
        <v>1.1499999999999999</v>
      </c>
      <c r="W389">
        <f t="shared" si="71"/>
        <v>1.7249999999999999</v>
      </c>
      <c r="X389">
        <f t="shared" si="68"/>
        <v>3.4499999999999997</v>
      </c>
      <c r="Y389">
        <v>0.86</v>
      </c>
      <c r="Z389">
        <v>19.899999999999999</v>
      </c>
      <c r="AA389">
        <v>19.899999999999999</v>
      </c>
      <c r="AB389">
        <v>18</v>
      </c>
      <c r="AC389">
        <v>1912</v>
      </c>
      <c r="AF389">
        <v>3310</v>
      </c>
      <c r="AG389">
        <v>1449</v>
      </c>
      <c r="AH389">
        <v>1.058014459530947E-2</v>
      </c>
      <c r="AI389">
        <v>1.998201618543311E-3</v>
      </c>
      <c r="AJ389">
        <v>1</v>
      </c>
      <c r="AK389">
        <v>5</v>
      </c>
      <c r="AL389">
        <f>AK389+AL388-AK388</f>
        <v>138</v>
      </c>
      <c r="AM389">
        <f t="shared" si="69"/>
        <v>133</v>
      </c>
      <c r="AO389">
        <f t="shared" si="65"/>
        <v>0.65918712743718666</v>
      </c>
      <c r="AP389">
        <v>387</v>
      </c>
      <c r="AQ389">
        <f t="shared" si="66"/>
        <v>37.104605854730742</v>
      </c>
      <c r="AR389">
        <f t="shared" si="63"/>
        <v>2.8953941452692575</v>
      </c>
      <c r="AS389">
        <f t="shared" si="61"/>
        <v>0.71046058547307422</v>
      </c>
      <c r="AU389" t="s">
        <v>326</v>
      </c>
      <c r="AX389" s="14">
        <v>1</v>
      </c>
      <c r="AY389">
        <f>IF(BA388="top",AY388+1,AY388)</f>
        <v>192</v>
      </c>
      <c r="AZ389" t="s">
        <v>316</v>
      </c>
      <c r="BA389" t="s">
        <v>0</v>
      </c>
    </row>
    <row r="390" spans="1:53" x14ac:dyDescent="0.35">
      <c r="A390" t="s">
        <v>317</v>
      </c>
      <c r="B390">
        <v>1</v>
      </c>
      <c r="C390" t="s">
        <v>5</v>
      </c>
      <c r="D390" t="s">
        <v>4</v>
      </c>
      <c r="E390" t="s">
        <v>3</v>
      </c>
      <c r="F390" s="1">
        <v>0.82</v>
      </c>
      <c r="G390" t="s">
        <v>320</v>
      </c>
      <c r="H390">
        <v>5</v>
      </c>
      <c r="I390">
        <v>4</v>
      </c>
      <c r="J390">
        <v>5</v>
      </c>
      <c r="K390">
        <v>38</v>
      </c>
      <c r="L390">
        <v>11</v>
      </c>
      <c r="M390">
        <f t="shared" si="70"/>
        <v>49</v>
      </c>
      <c r="N390">
        <v>57</v>
      </c>
      <c r="O390">
        <v>2.15</v>
      </c>
      <c r="P390">
        <v>0.18</v>
      </c>
      <c r="Q390">
        <f t="shared" si="67"/>
        <v>1.4038782116528594E-2</v>
      </c>
      <c r="R390" s="6">
        <f>159.5/2</f>
        <v>79.75</v>
      </c>
      <c r="S390">
        <v>0.8</v>
      </c>
      <c r="T390">
        <v>0.85</v>
      </c>
      <c r="U390">
        <v>0.95</v>
      </c>
      <c r="V390">
        <v>1</v>
      </c>
      <c r="W390">
        <f t="shared" si="71"/>
        <v>1.5</v>
      </c>
      <c r="X390">
        <f t="shared" si="68"/>
        <v>3</v>
      </c>
      <c r="Y390">
        <v>3.1</v>
      </c>
      <c r="Z390">
        <v>19.899999999999999</v>
      </c>
      <c r="AA390">
        <v>19.899999999999999</v>
      </c>
      <c r="AB390">
        <v>15</v>
      </c>
      <c r="AC390">
        <v>1515</v>
      </c>
      <c r="AD390" t="s">
        <v>674</v>
      </c>
      <c r="AE390">
        <v>1691</v>
      </c>
      <c r="AF390">
        <v>1795</v>
      </c>
      <c r="AG390">
        <v>1864</v>
      </c>
      <c r="AH390">
        <v>1.3163668275559461E-2</v>
      </c>
      <c r="AI390">
        <v>1.923323503013207E-3</v>
      </c>
      <c r="AJ390">
        <v>1</v>
      </c>
      <c r="AK390">
        <v>8</v>
      </c>
      <c r="AL390">
        <v>237</v>
      </c>
      <c r="AM390">
        <f t="shared" si="69"/>
        <v>229</v>
      </c>
      <c r="AO390">
        <f>(AL390-AK390)/(2*R392)</f>
        <v>1.2378378378378379</v>
      </c>
      <c r="AP390">
        <v>388</v>
      </c>
      <c r="AQ390">
        <f t="shared" si="66"/>
        <v>45.414924990383383</v>
      </c>
      <c r="AR390">
        <f t="shared" si="63"/>
        <v>3.585075009616618</v>
      </c>
      <c r="AS390">
        <f t="shared" si="61"/>
        <v>0.67408409003485292</v>
      </c>
      <c r="AT390" s="5" t="s">
        <v>375</v>
      </c>
      <c r="AU390" t="s">
        <v>303</v>
      </c>
      <c r="AX390" s="13">
        <v>1</v>
      </c>
      <c r="AY390">
        <f>IF(BA389="top",AY389+1,AY3737)</f>
        <v>193</v>
      </c>
      <c r="AZ390" t="s">
        <v>317</v>
      </c>
      <c r="BA390" t="s">
        <v>5</v>
      </c>
    </row>
    <row r="391" spans="1:53" x14ac:dyDescent="0.35">
      <c r="A391" t="s">
        <v>317</v>
      </c>
      <c r="B391">
        <v>1</v>
      </c>
      <c r="C391" t="s">
        <v>0</v>
      </c>
      <c r="D391" t="s">
        <v>4</v>
      </c>
      <c r="E391" t="s">
        <v>3</v>
      </c>
      <c r="F391" s="1">
        <v>0.82</v>
      </c>
      <c r="G391" t="s">
        <v>320</v>
      </c>
      <c r="H391">
        <v>5</v>
      </c>
      <c r="I391">
        <v>4</v>
      </c>
      <c r="J391">
        <v>5</v>
      </c>
      <c r="K391">
        <v>38</v>
      </c>
      <c r="L391">
        <v>11</v>
      </c>
      <c r="M391">
        <f t="shared" si="70"/>
        <v>49</v>
      </c>
      <c r="N391">
        <v>57</v>
      </c>
      <c r="O391">
        <v>2.15</v>
      </c>
      <c r="P391">
        <v>0.18</v>
      </c>
      <c r="Q391">
        <f t="shared" si="67"/>
        <v>1.4038782116528594E-2</v>
      </c>
      <c r="R391" s="6">
        <f>159.5/2</f>
        <v>79.75</v>
      </c>
      <c r="S391">
        <v>0.8</v>
      </c>
      <c r="T391">
        <v>0.85</v>
      </c>
      <c r="U391">
        <v>0.95</v>
      </c>
      <c r="V391">
        <v>1</v>
      </c>
      <c r="W391">
        <f t="shared" si="71"/>
        <v>1.5</v>
      </c>
      <c r="X391">
        <f t="shared" si="68"/>
        <v>3</v>
      </c>
      <c r="Y391">
        <v>3.1</v>
      </c>
      <c r="Z391">
        <v>19.899999999999999</v>
      </c>
      <c r="AA391">
        <v>19.899999999999999</v>
      </c>
      <c r="AB391">
        <v>15</v>
      </c>
      <c r="AC391">
        <v>1515</v>
      </c>
      <c r="AD391" t="s">
        <v>675</v>
      </c>
      <c r="AE391">
        <v>1691</v>
      </c>
      <c r="AF391">
        <v>1795</v>
      </c>
      <c r="AG391">
        <v>1864</v>
      </c>
      <c r="AH391">
        <v>1.3163668275559461E-2</v>
      </c>
      <c r="AI391">
        <v>1.923323503013207E-3</v>
      </c>
      <c r="AJ391">
        <v>1</v>
      </c>
      <c r="AK391">
        <v>10</v>
      </c>
      <c r="AL391">
        <f>AK391+AL390-AK390</f>
        <v>239</v>
      </c>
      <c r="AM391">
        <f t="shared" si="69"/>
        <v>229</v>
      </c>
      <c r="AO391">
        <f>(AL391-AK391)/(2*R393)</f>
        <v>1.2378378378378379</v>
      </c>
      <c r="AP391">
        <v>389</v>
      </c>
      <c r="AQ391">
        <f t="shared" si="66"/>
        <v>45.414924990383383</v>
      </c>
      <c r="AR391">
        <f t="shared" si="63"/>
        <v>3.585075009616618</v>
      </c>
      <c r="AS391">
        <f t="shared" si="61"/>
        <v>0.67408409003485292</v>
      </c>
      <c r="AU391" t="s">
        <v>303</v>
      </c>
      <c r="AX391" s="13">
        <v>1</v>
      </c>
      <c r="AY391">
        <f>IF(BA390="top",AY390+1,AY390)</f>
        <v>193</v>
      </c>
      <c r="AZ391" t="s">
        <v>317</v>
      </c>
      <c r="BA391" t="s">
        <v>0</v>
      </c>
    </row>
    <row r="392" spans="1:53" x14ac:dyDescent="0.35">
      <c r="A392" t="s">
        <v>321</v>
      </c>
      <c r="B392">
        <v>2</v>
      </c>
      <c r="C392" t="s">
        <v>5</v>
      </c>
      <c r="D392" t="s">
        <v>4</v>
      </c>
      <c r="E392" t="s">
        <v>3</v>
      </c>
      <c r="F392" s="1">
        <v>0.81</v>
      </c>
      <c r="G392" t="s">
        <v>322</v>
      </c>
      <c r="H392">
        <v>7</v>
      </c>
      <c r="I392">
        <v>5</v>
      </c>
      <c r="J392">
        <v>15</v>
      </c>
      <c r="K392">
        <v>37</v>
      </c>
      <c r="L392">
        <v>13</v>
      </c>
      <c r="M392">
        <f t="shared" si="70"/>
        <v>50</v>
      </c>
      <c r="N392">
        <v>50</v>
      </c>
      <c r="O392">
        <v>2.5</v>
      </c>
      <c r="P392">
        <v>0.16</v>
      </c>
      <c r="Q392">
        <f t="shared" si="67"/>
        <v>1.5355266990097689E-2</v>
      </c>
      <c r="R392" s="6">
        <f>AT392/2</f>
        <v>92.5</v>
      </c>
      <c r="S392">
        <v>0.65</v>
      </c>
      <c r="T392">
        <v>0.72</v>
      </c>
      <c r="U392">
        <v>0.9</v>
      </c>
      <c r="V392">
        <v>0.95</v>
      </c>
      <c r="W392">
        <f t="shared" si="71"/>
        <v>1.4249999999999998</v>
      </c>
      <c r="X392">
        <f t="shared" si="68"/>
        <v>2.8499999999999996</v>
      </c>
      <c r="Y392">
        <v>0.86</v>
      </c>
      <c r="Z392">
        <v>19.899999999999999</v>
      </c>
      <c r="AA392">
        <v>19.899999999999999</v>
      </c>
      <c r="AB392">
        <v>16</v>
      </c>
      <c r="AC392">
        <v>1908</v>
      </c>
      <c r="AD392" t="s">
        <v>676</v>
      </c>
      <c r="AE392">
        <v>2504</v>
      </c>
      <c r="AF392">
        <v>2874</v>
      </c>
      <c r="AG392">
        <v>391</v>
      </c>
      <c r="AH392">
        <v>1.05726872246696E-2</v>
      </c>
      <c r="AI392">
        <v>1.9927407301971391E-3</v>
      </c>
      <c r="AJ392">
        <v>1</v>
      </c>
      <c r="AK392">
        <v>3</v>
      </c>
      <c r="AL392">
        <v>243</v>
      </c>
      <c r="AM392">
        <f t="shared" si="69"/>
        <v>240</v>
      </c>
      <c r="AO392" t="e">
        <f>(AL392-AK392)/(2*#REF!)</f>
        <v>#REF!</v>
      </c>
      <c r="AP392">
        <v>390</v>
      </c>
      <c r="AQ392">
        <f t="shared" si="66"/>
        <v>49.220838374492921</v>
      </c>
      <c r="AR392">
        <f t="shared" si="63"/>
        <v>0.77916162550708135</v>
      </c>
      <c r="AS392">
        <f t="shared" ref="AS392:AS455" si="72">IF(AR392&lt;&gt;"NA",(L392-AR392)/L392,"NA")</f>
        <v>0.94006449034560913</v>
      </c>
      <c r="AT392" s="5" t="s">
        <v>374</v>
      </c>
      <c r="AU392" t="s">
        <v>303</v>
      </c>
      <c r="AX392" s="13">
        <v>1</v>
      </c>
      <c r="AY392">
        <f>IF(BA391="top",AY391+1,AY3739)</f>
        <v>194</v>
      </c>
      <c r="AZ392" t="s">
        <v>321</v>
      </c>
      <c r="BA392" t="s">
        <v>5</v>
      </c>
    </row>
    <row r="393" spans="1:53" x14ac:dyDescent="0.35">
      <c r="A393" t="s">
        <v>321</v>
      </c>
      <c r="B393">
        <v>2</v>
      </c>
      <c r="C393" t="s">
        <v>0</v>
      </c>
      <c r="D393" t="s">
        <v>4</v>
      </c>
      <c r="E393" t="s">
        <v>3</v>
      </c>
      <c r="F393" s="1">
        <v>0.81</v>
      </c>
      <c r="G393" t="s">
        <v>322</v>
      </c>
      <c r="H393">
        <v>7</v>
      </c>
      <c r="I393">
        <v>5</v>
      </c>
      <c r="J393">
        <v>15</v>
      </c>
      <c r="K393">
        <v>37</v>
      </c>
      <c r="L393">
        <v>13</v>
      </c>
      <c r="M393">
        <f t="shared" si="70"/>
        <v>50</v>
      </c>
      <c r="N393">
        <v>50</v>
      </c>
      <c r="O393">
        <v>2.5</v>
      </c>
      <c r="P393">
        <v>0.16</v>
      </c>
      <c r="Q393">
        <f t="shared" si="67"/>
        <v>1.5355266990097689E-2</v>
      </c>
      <c r="R393" s="6">
        <v>92.5</v>
      </c>
      <c r="S393">
        <v>0.65</v>
      </c>
      <c r="T393">
        <v>0.72</v>
      </c>
      <c r="U393">
        <v>0.9</v>
      </c>
      <c r="V393">
        <v>0.95</v>
      </c>
      <c r="W393">
        <f t="shared" si="71"/>
        <v>1.4249999999999998</v>
      </c>
      <c r="X393">
        <f t="shared" si="68"/>
        <v>2.8499999999999996</v>
      </c>
      <c r="Y393">
        <v>0.86</v>
      </c>
      <c r="Z393">
        <v>19.899999999999999</v>
      </c>
      <c r="AA393">
        <v>19.899999999999999</v>
      </c>
      <c r="AB393">
        <v>16</v>
      </c>
      <c r="AC393">
        <v>1908</v>
      </c>
      <c r="AD393" t="s">
        <v>677</v>
      </c>
      <c r="AE393">
        <v>2504</v>
      </c>
      <c r="AF393">
        <v>2874</v>
      </c>
      <c r="AG393">
        <v>391</v>
      </c>
      <c r="AH393">
        <v>1.05726872246696E-2</v>
      </c>
      <c r="AI393">
        <v>1.9927407301971391E-3</v>
      </c>
      <c r="AJ393">
        <v>1</v>
      </c>
      <c r="AK393">
        <v>6</v>
      </c>
      <c r="AL393">
        <f>AK393+AL392-AK392</f>
        <v>246</v>
      </c>
      <c r="AM393">
        <f t="shared" si="69"/>
        <v>240</v>
      </c>
      <c r="AO393" t="e">
        <f>(AL393-AK393)/(2*#REF!)</f>
        <v>#REF!</v>
      </c>
      <c r="AP393">
        <v>391</v>
      </c>
      <c r="AQ393">
        <f t="shared" si="66"/>
        <v>49.220838374492921</v>
      </c>
      <c r="AR393">
        <f t="shared" si="63"/>
        <v>0.77916162550708135</v>
      </c>
      <c r="AS393">
        <f t="shared" si="72"/>
        <v>0.94006449034560913</v>
      </c>
      <c r="AU393" t="s">
        <v>303</v>
      </c>
      <c r="AX393" s="13">
        <v>1</v>
      </c>
      <c r="AY393">
        <f>IF(BA392="top",AY392+1,AY392)</f>
        <v>194</v>
      </c>
      <c r="AZ393" t="s">
        <v>321</v>
      </c>
      <c r="BA393" t="s">
        <v>0</v>
      </c>
    </row>
    <row r="394" spans="1:53" x14ac:dyDescent="0.35">
      <c r="A394" t="s">
        <v>324</v>
      </c>
      <c r="B394">
        <v>2</v>
      </c>
      <c r="C394" t="s">
        <v>5</v>
      </c>
      <c r="D394" t="s">
        <v>4</v>
      </c>
      <c r="E394" t="s">
        <v>3</v>
      </c>
      <c r="F394" s="1">
        <v>0.83</v>
      </c>
      <c r="G394" t="s">
        <v>331</v>
      </c>
      <c r="H394">
        <v>9</v>
      </c>
      <c r="I394">
        <v>7</v>
      </c>
      <c r="J394">
        <v>13</v>
      </c>
      <c r="K394">
        <v>31</v>
      </c>
      <c r="L394">
        <v>11</v>
      </c>
      <c r="M394">
        <f t="shared" si="70"/>
        <v>42</v>
      </c>
      <c r="N394">
        <v>48</v>
      </c>
      <c r="O394">
        <v>2.4</v>
      </c>
      <c r="P394">
        <v>0.12</v>
      </c>
      <c r="Q394">
        <f t="shared" si="67"/>
        <v>1.0969504639280576E-2</v>
      </c>
      <c r="R394" s="6">
        <f>177.5/2</f>
        <v>88.75</v>
      </c>
      <c r="S394">
        <v>0.78</v>
      </c>
      <c r="T394" s="1">
        <v>0.77</v>
      </c>
      <c r="U394" s="1">
        <v>0.9</v>
      </c>
      <c r="V394">
        <v>0.88</v>
      </c>
      <c r="W394">
        <f t="shared" si="71"/>
        <v>1.32</v>
      </c>
      <c r="X394">
        <f t="shared" si="68"/>
        <v>2.64</v>
      </c>
      <c r="Y394">
        <v>0.86</v>
      </c>
      <c r="Z394">
        <v>19.899999999999999</v>
      </c>
      <c r="AA394">
        <v>19.899999999999999</v>
      </c>
      <c r="AB394">
        <v>15</v>
      </c>
      <c r="AC394">
        <v>1900</v>
      </c>
      <c r="AD394" t="s">
        <v>678</v>
      </c>
      <c r="AE394">
        <v>2591</v>
      </c>
      <c r="AF394">
        <v>2878</v>
      </c>
      <c r="AG394">
        <v>517</v>
      </c>
      <c r="AH394">
        <v>1.058201058201058E-2</v>
      </c>
      <c r="AI394">
        <v>2.005615724027277E-3</v>
      </c>
      <c r="AJ394">
        <v>1</v>
      </c>
      <c r="AK394">
        <v>8</v>
      </c>
      <c r="AL394">
        <v>212</v>
      </c>
      <c r="AM394">
        <f t="shared" si="69"/>
        <v>204</v>
      </c>
      <c r="AO394">
        <f t="shared" ref="AO394:AO439" si="73">(AL394-AK394)/(2*R394)</f>
        <v>1.1492957746478873</v>
      </c>
      <c r="AP394">
        <v>392</v>
      </c>
      <c r="AQ394">
        <f t="shared" si="66"/>
        <v>40.963096670677899</v>
      </c>
      <c r="AR394">
        <f t="shared" si="63"/>
        <v>1.0369033293221022</v>
      </c>
      <c r="AS394">
        <f t="shared" si="72"/>
        <v>0.9057360609707179</v>
      </c>
      <c r="AT394" s="5" t="s">
        <v>373</v>
      </c>
      <c r="AU394" t="s">
        <v>303</v>
      </c>
      <c r="AX394" s="13">
        <v>1</v>
      </c>
      <c r="AY394">
        <f>IF(BA393="top",AY393+1,AY3741)</f>
        <v>195</v>
      </c>
      <c r="AZ394" t="s">
        <v>324</v>
      </c>
      <c r="BA394" t="s">
        <v>5</v>
      </c>
    </row>
    <row r="395" spans="1:53" x14ac:dyDescent="0.35">
      <c r="A395" t="s">
        <v>324</v>
      </c>
      <c r="B395">
        <v>2</v>
      </c>
      <c r="C395" t="s">
        <v>0</v>
      </c>
      <c r="D395" t="s">
        <v>4</v>
      </c>
      <c r="E395" t="s">
        <v>3</v>
      </c>
      <c r="F395" s="1">
        <v>0.83</v>
      </c>
      <c r="G395" t="s">
        <v>332</v>
      </c>
      <c r="H395">
        <v>9</v>
      </c>
      <c r="I395">
        <v>7</v>
      </c>
      <c r="J395">
        <v>13</v>
      </c>
      <c r="K395">
        <v>31</v>
      </c>
      <c r="L395">
        <v>11</v>
      </c>
      <c r="M395">
        <f t="shared" si="70"/>
        <v>42</v>
      </c>
      <c r="N395">
        <v>48</v>
      </c>
      <c r="O395">
        <v>2.4</v>
      </c>
      <c r="P395">
        <v>0.12</v>
      </c>
      <c r="Q395">
        <f t="shared" si="67"/>
        <v>1.0969504639280576E-2</v>
      </c>
      <c r="R395" s="6">
        <f>AVERAGE(-1119+1289,-1289+1474)/2</f>
        <v>88.75</v>
      </c>
      <c r="S395">
        <v>0.78</v>
      </c>
      <c r="T395" s="1">
        <v>0.77</v>
      </c>
      <c r="U395" s="1">
        <v>0.9</v>
      </c>
      <c r="V395">
        <v>0.88</v>
      </c>
      <c r="W395">
        <f t="shared" si="71"/>
        <v>1.32</v>
      </c>
      <c r="X395">
        <f t="shared" si="68"/>
        <v>2.64</v>
      </c>
      <c r="Y395">
        <v>0.86</v>
      </c>
      <c r="Z395">
        <v>19.899999999999999</v>
      </c>
      <c r="AA395">
        <v>19.899999999999999</v>
      </c>
      <c r="AB395">
        <v>15</v>
      </c>
      <c r="AC395">
        <v>1900</v>
      </c>
      <c r="AD395" t="s">
        <v>679</v>
      </c>
      <c r="AE395">
        <v>2591</v>
      </c>
      <c r="AF395">
        <v>2878</v>
      </c>
      <c r="AG395">
        <v>517</v>
      </c>
      <c r="AH395">
        <v>1.058201058201058E-2</v>
      </c>
      <c r="AI395">
        <v>2.005615724027277E-3</v>
      </c>
      <c r="AJ395">
        <v>1</v>
      </c>
      <c r="AK395">
        <v>6</v>
      </c>
      <c r="AL395">
        <f>AK395+AL394-AK394</f>
        <v>210</v>
      </c>
      <c r="AM395">
        <f t="shared" si="69"/>
        <v>204</v>
      </c>
      <c r="AO395">
        <f t="shared" si="73"/>
        <v>1.1492957746478873</v>
      </c>
      <c r="AP395">
        <v>393</v>
      </c>
      <c r="AQ395">
        <f t="shared" si="66"/>
        <v>40.963096670677899</v>
      </c>
      <c r="AR395">
        <f t="shared" si="63"/>
        <v>1.0369033293221022</v>
      </c>
      <c r="AS395">
        <f t="shared" si="72"/>
        <v>0.9057360609707179</v>
      </c>
      <c r="AU395" t="s">
        <v>303</v>
      </c>
      <c r="AX395" s="13">
        <v>1</v>
      </c>
      <c r="AY395">
        <f>IF(BA394="top",AY394+1,AY394)</f>
        <v>195</v>
      </c>
      <c r="AZ395" t="s">
        <v>324</v>
      </c>
      <c r="BA395" t="s">
        <v>0</v>
      </c>
    </row>
    <row r="396" spans="1:53" x14ac:dyDescent="0.35">
      <c r="A396" t="s">
        <v>329</v>
      </c>
      <c r="B396">
        <v>1</v>
      </c>
      <c r="C396" t="s">
        <v>5</v>
      </c>
      <c r="D396" t="s">
        <v>4</v>
      </c>
      <c r="E396" t="s">
        <v>3</v>
      </c>
      <c r="F396" s="1">
        <v>0.86</v>
      </c>
      <c r="G396" t="s">
        <v>333</v>
      </c>
      <c r="H396">
        <v>5</v>
      </c>
      <c r="I396">
        <v>5</v>
      </c>
      <c r="J396">
        <v>12</v>
      </c>
      <c r="K396">
        <v>40</v>
      </c>
      <c r="L396">
        <v>14</v>
      </c>
      <c r="M396">
        <f t="shared" si="70"/>
        <v>54</v>
      </c>
      <c r="N396">
        <v>85</v>
      </c>
      <c r="O396" t="s">
        <v>21</v>
      </c>
      <c r="P396">
        <v>0.17</v>
      </c>
      <c r="Q396">
        <f t="shared" si="67"/>
        <v>1.1566863816864087E-2</v>
      </c>
      <c r="R396" s="6">
        <v>78.75</v>
      </c>
      <c r="S396">
        <v>0.77</v>
      </c>
      <c r="T396">
        <v>0.95</v>
      </c>
      <c r="U396">
        <v>1.06</v>
      </c>
      <c r="V396">
        <v>1.06</v>
      </c>
      <c r="W396">
        <f t="shared" si="71"/>
        <v>1.59</v>
      </c>
      <c r="X396">
        <f t="shared" si="68"/>
        <v>3.18</v>
      </c>
      <c r="Y396">
        <v>3.1</v>
      </c>
      <c r="Z396">
        <v>19.899999999999999</v>
      </c>
      <c r="AA396">
        <v>19.899999999999999</v>
      </c>
      <c r="AB396">
        <v>7</v>
      </c>
      <c r="AC396">
        <v>1445</v>
      </c>
      <c r="AD396" t="s">
        <v>680</v>
      </c>
      <c r="AE396">
        <v>1508</v>
      </c>
      <c r="AF396">
        <v>1505</v>
      </c>
      <c r="AG396">
        <v>545</v>
      </c>
      <c r="AH396">
        <v>1.3419816595839859E-2</v>
      </c>
      <c r="AI396">
        <v>1.889962200755985E-3</v>
      </c>
      <c r="AJ396">
        <v>0</v>
      </c>
      <c r="AK396">
        <v>6</v>
      </c>
      <c r="AL396">
        <f>AK396+AL397-AK397</f>
        <v>21</v>
      </c>
      <c r="AM396">
        <f t="shared" si="69"/>
        <v>15</v>
      </c>
      <c r="AO396">
        <f t="shared" si="73"/>
        <v>9.5238095238095233E-2</v>
      </c>
      <c r="AP396">
        <v>394</v>
      </c>
      <c r="AQ396">
        <f t="shared" si="66"/>
        <v>52.969970600587985</v>
      </c>
      <c r="AR396">
        <f t="shared" ref="AR396:AR439" si="74">IF(AI396&lt;&gt;"NA",AG396*AI396,"NA")</f>
        <v>1.0300293994120118</v>
      </c>
      <c r="AS396">
        <f t="shared" si="72"/>
        <v>0.92642647147057056</v>
      </c>
      <c r="AT396" s="5" t="s">
        <v>372</v>
      </c>
      <c r="AU396" t="s">
        <v>303</v>
      </c>
      <c r="AX396" s="12">
        <v>0</v>
      </c>
      <c r="AY396">
        <f>IF(BA395="top",AY395+1,AY3743)</f>
        <v>196</v>
      </c>
      <c r="AZ396" t="s">
        <v>329</v>
      </c>
      <c r="BA396" t="s">
        <v>5</v>
      </c>
    </row>
    <row r="397" spans="1:53" x14ac:dyDescent="0.35">
      <c r="A397" t="s">
        <v>329</v>
      </c>
      <c r="B397">
        <v>1</v>
      </c>
      <c r="C397" t="s">
        <v>0</v>
      </c>
      <c r="D397" t="s">
        <v>4</v>
      </c>
      <c r="E397" t="s">
        <v>3</v>
      </c>
      <c r="F397" s="1">
        <v>0.86</v>
      </c>
      <c r="G397" t="s">
        <v>334</v>
      </c>
      <c r="H397">
        <v>5</v>
      </c>
      <c r="I397">
        <v>5</v>
      </c>
      <c r="J397">
        <v>12</v>
      </c>
      <c r="K397">
        <v>40</v>
      </c>
      <c r="L397">
        <v>14</v>
      </c>
      <c r="M397">
        <f t="shared" si="70"/>
        <v>54</v>
      </c>
      <c r="N397">
        <v>85</v>
      </c>
      <c r="O397" t="s">
        <v>21</v>
      </c>
      <c r="P397">
        <v>0.17</v>
      </c>
      <c r="Q397">
        <f t="shared" si="67"/>
        <v>1.1566863816864087E-2</v>
      </c>
      <c r="R397" s="6">
        <v>78.75</v>
      </c>
      <c r="S397">
        <v>0.77</v>
      </c>
      <c r="T397">
        <v>0.95</v>
      </c>
      <c r="U397">
        <v>1.06</v>
      </c>
      <c r="V397">
        <v>1.06</v>
      </c>
      <c r="W397">
        <f t="shared" si="71"/>
        <v>1.59</v>
      </c>
      <c r="X397">
        <f t="shared" si="68"/>
        <v>3.18</v>
      </c>
      <c r="Y397">
        <v>3.1</v>
      </c>
      <c r="Z397">
        <v>19.899999999999999</v>
      </c>
      <c r="AA397">
        <v>19.899999999999999</v>
      </c>
      <c r="AB397">
        <v>7</v>
      </c>
      <c r="AC397">
        <v>1445</v>
      </c>
      <c r="AD397" t="s">
        <v>681</v>
      </c>
      <c r="AE397">
        <v>1508</v>
      </c>
      <c r="AF397">
        <v>1505</v>
      </c>
      <c r="AG397">
        <v>545</v>
      </c>
      <c r="AH397">
        <v>1.3419816595839859E-2</v>
      </c>
      <c r="AI397">
        <v>1.889962200755985E-3</v>
      </c>
      <c r="AJ397">
        <v>0</v>
      </c>
      <c r="AK397">
        <v>3</v>
      </c>
      <c r="AL397">
        <v>18</v>
      </c>
      <c r="AM397">
        <f t="shared" si="69"/>
        <v>15</v>
      </c>
      <c r="AO397">
        <f t="shared" si="73"/>
        <v>9.5238095238095233E-2</v>
      </c>
      <c r="AP397">
        <v>395</v>
      </c>
      <c r="AQ397">
        <f t="shared" si="66"/>
        <v>52.969970600587985</v>
      </c>
      <c r="AR397">
        <f t="shared" si="74"/>
        <v>1.0300293994120118</v>
      </c>
      <c r="AS397">
        <f t="shared" si="72"/>
        <v>0.92642647147057056</v>
      </c>
      <c r="AU397" t="s">
        <v>303</v>
      </c>
      <c r="AX397" s="12">
        <v>0</v>
      </c>
      <c r="AY397">
        <f>IF(BA396="top",AY396+1,AY396)</f>
        <v>196</v>
      </c>
      <c r="AZ397" t="s">
        <v>329</v>
      </c>
      <c r="BA397" t="s">
        <v>0</v>
      </c>
    </row>
    <row r="398" spans="1:53" x14ac:dyDescent="0.35">
      <c r="A398" t="s">
        <v>330</v>
      </c>
      <c r="B398">
        <v>1</v>
      </c>
      <c r="C398" t="s">
        <v>5</v>
      </c>
      <c r="D398" t="s">
        <v>4</v>
      </c>
      <c r="E398" t="s">
        <v>3</v>
      </c>
      <c r="F398" s="1">
        <v>0.86</v>
      </c>
      <c r="G398" t="s">
        <v>335</v>
      </c>
      <c r="H398">
        <v>5</v>
      </c>
      <c r="I398">
        <v>5</v>
      </c>
      <c r="J398">
        <v>12</v>
      </c>
      <c r="K398">
        <v>40</v>
      </c>
      <c r="L398">
        <v>14</v>
      </c>
      <c r="M398">
        <f t="shared" si="70"/>
        <v>54</v>
      </c>
      <c r="N398">
        <v>85</v>
      </c>
      <c r="O398" t="s">
        <v>21</v>
      </c>
      <c r="P398">
        <v>0.17</v>
      </c>
      <c r="Q398">
        <f t="shared" si="67"/>
        <v>1.1566863816864087E-2</v>
      </c>
      <c r="R398" s="6">
        <v>78.75</v>
      </c>
      <c r="S398">
        <v>0.77</v>
      </c>
      <c r="T398">
        <v>0.95</v>
      </c>
      <c r="U398">
        <v>1.06</v>
      </c>
      <c r="V398">
        <v>1.06</v>
      </c>
      <c r="W398">
        <f t="shared" si="71"/>
        <v>1.59</v>
      </c>
      <c r="X398">
        <f t="shared" si="68"/>
        <v>3.18</v>
      </c>
      <c r="Y398">
        <v>3.1</v>
      </c>
      <c r="Z398">
        <v>19.899999999999999</v>
      </c>
      <c r="AA398">
        <v>19.899999999999999</v>
      </c>
      <c r="AB398">
        <v>7</v>
      </c>
      <c r="AC398">
        <v>1445</v>
      </c>
      <c r="AD398" t="s">
        <v>682</v>
      </c>
      <c r="AE398">
        <v>1508</v>
      </c>
      <c r="AF398">
        <v>1505</v>
      </c>
      <c r="AG398">
        <v>1068</v>
      </c>
      <c r="AH398">
        <v>1.3419816595839859E-2</v>
      </c>
      <c r="AI398">
        <v>1.889962200755985E-3</v>
      </c>
      <c r="AJ398">
        <v>1</v>
      </c>
      <c r="AK398">
        <v>11</v>
      </c>
      <c r="AL398">
        <v>149</v>
      </c>
      <c r="AM398">
        <f t="shared" si="69"/>
        <v>138</v>
      </c>
      <c r="AO398">
        <f t="shared" si="73"/>
        <v>0.87619047619047619</v>
      </c>
      <c r="AP398">
        <v>396</v>
      </c>
      <c r="AQ398">
        <f t="shared" si="66"/>
        <v>51.981520369592609</v>
      </c>
      <c r="AR398">
        <f t="shared" si="74"/>
        <v>2.0184796304073918</v>
      </c>
      <c r="AS398">
        <f t="shared" si="72"/>
        <v>0.85582288354232916</v>
      </c>
      <c r="AU398" t="s">
        <v>303</v>
      </c>
      <c r="AX398" s="13">
        <v>1</v>
      </c>
      <c r="AY398">
        <f>IF(BA397="top",AY397+1,AY3745)</f>
        <v>197</v>
      </c>
      <c r="AZ398" t="s">
        <v>330</v>
      </c>
      <c r="BA398" t="s">
        <v>5</v>
      </c>
    </row>
    <row r="399" spans="1:53" x14ac:dyDescent="0.35">
      <c r="A399" t="s">
        <v>330</v>
      </c>
      <c r="B399">
        <v>1</v>
      </c>
      <c r="C399" t="s">
        <v>0</v>
      </c>
      <c r="D399" t="s">
        <v>4</v>
      </c>
      <c r="E399" t="s">
        <v>3</v>
      </c>
      <c r="F399" s="1">
        <v>0.86</v>
      </c>
      <c r="G399" t="s">
        <v>336</v>
      </c>
      <c r="H399">
        <v>5</v>
      </c>
      <c r="I399">
        <v>5</v>
      </c>
      <c r="J399">
        <v>12</v>
      </c>
      <c r="K399">
        <v>40</v>
      </c>
      <c r="L399">
        <v>14</v>
      </c>
      <c r="M399">
        <f t="shared" si="70"/>
        <v>54</v>
      </c>
      <c r="N399">
        <v>85</v>
      </c>
      <c r="O399" t="s">
        <v>21</v>
      </c>
      <c r="P399">
        <v>0.17</v>
      </c>
      <c r="Q399">
        <f t="shared" si="67"/>
        <v>1.1566863816864087E-2</v>
      </c>
      <c r="R399" s="6">
        <v>78.75</v>
      </c>
      <c r="S399">
        <v>0.77</v>
      </c>
      <c r="T399">
        <v>0.95</v>
      </c>
      <c r="U399">
        <v>1.06</v>
      </c>
      <c r="V399">
        <v>1.06</v>
      </c>
      <c r="W399">
        <f t="shared" si="71"/>
        <v>1.59</v>
      </c>
      <c r="X399">
        <f t="shared" si="68"/>
        <v>3.18</v>
      </c>
      <c r="Y399">
        <v>3.1</v>
      </c>
      <c r="Z399">
        <v>19.899999999999999</v>
      </c>
      <c r="AA399">
        <v>19.899999999999999</v>
      </c>
      <c r="AB399">
        <v>7</v>
      </c>
      <c r="AC399">
        <v>1445</v>
      </c>
      <c r="AD399" t="s">
        <v>683</v>
      </c>
      <c r="AE399">
        <v>1508</v>
      </c>
      <c r="AF399">
        <v>1505</v>
      </c>
      <c r="AG399">
        <v>1068</v>
      </c>
      <c r="AH399">
        <v>1.3419816595839859E-2</v>
      </c>
      <c r="AI399">
        <v>1.889962200755985E-3</v>
      </c>
      <c r="AJ399">
        <v>1</v>
      </c>
      <c r="AK399">
        <v>5</v>
      </c>
      <c r="AL399">
        <f>AK399+AL398-AK398</f>
        <v>143</v>
      </c>
      <c r="AM399">
        <f t="shared" si="69"/>
        <v>138</v>
      </c>
      <c r="AO399">
        <f t="shared" si="73"/>
        <v>0.87619047619047619</v>
      </c>
      <c r="AP399">
        <v>397</v>
      </c>
      <c r="AQ399">
        <f t="shared" si="66"/>
        <v>51.981520369592609</v>
      </c>
      <c r="AR399">
        <f t="shared" si="74"/>
        <v>2.0184796304073918</v>
      </c>
      <c r="AS399">
        <f t="shared" si="72"/>
        <v>0.85582288354232916</v>
      </c>
      <c r="AU399" t="s">
        <v>303</v>
      </c>
      <c r="AX399" s="13">
        <v>1</v>
      </c>
      <c r="AY399">
        <f>IF(BA398="top",AY398+1,AY398)</f>
        <v>197</v>
      </c>
      <c r="AZ399" t="s">
        <v>330</v>
      </c>
      <c r="BA399" t="s">
        <v>0</v>
      </c>
    </row>
    <row r="400" spans="1:53" ht="15" customHeight="1" x14ac:dyDescent="0.35">
      <c r="A400" t="s">
        <v>337</v>
      </c>
      <c r="B400">
        <v>2</v>
      </c>
      <c r="C400" t="s">
        <v>5</v>
      </c>
      <c r="D400" t="s">
        <v>4</v>
      </c>
      <c r="E400" t="s">
        <v>3</v>
      </c>
      <c r="F400" s="1">
        <v>0.86</v>
      </c>
      <c r="G400" t="s">
        <v>333</v>
      </c>
      <c r="H400">
        <v>5</v>
      </c>
      <c r="I400">
        <v>5</v>
      </c>
      <c r="J400">
        <v>18</v>
      </c>
      <c r="K400">
        <v>43</v>
      </c>
      <c r="L400">
        <v>8</v>
      </c>
      <c r="M400">
        <f t="shared" si="70"/>
        <v>51</v>
      </c>
      <c r="N400">
        <v>56</v>
      </c>
      <c r="O400" t="s">
        <v>21</v>
      </c>
      <c r="P400" t="s">
        <v>21</v>
      </c>
      <c r="Q400">
        <f t="shared" ref="Q400:Q439" si="75">AVERAGE(Q9:Q399)</f>
        <v>1.2260378198578796E-2</v>
      </c>
      <c r="R400" s="6">
        <v>85</v>
      </c>
      <c r="S400">
        <v>0.64</v>
      </c>
      <c r="T400">
        <v>0.73</v>
      </c>
      <c r="U400">
        <v>0.81</v>
      </c>
      <c r="V400">
        <v>1.02</v>
      </c>
      <c r="W400">
        <v>1.22</v>
      </c>
      <c r="X400">
        <v>2.7</v>
      </c>
      <c r="Y400">
        <v>0.86</v>
      </c>
      <c r="Z400">
        <v>19.899999999999999</v>
      </c>
      <c r="AA400">
        <v>19.899999999999999</v>
      </c>
      <c r="AB400">
        <v>7</v>
      </c>
      <c r="AC400">
        <v>1898</v>
      </c>
      <c r="AD400" t="s">
        <v>684</v>
      </c>
      <c r="AE400">
        <v>2168</v>
      </c>
      <c r="AF400">
        <v>1959</v>
      </c>
      <c r="AG400">
        <v>1810</v>
      </c>
      <c r="AH400">
        <v>7.9723624767472755E-3</v>
      </c>
      <c r="AI400">
        <v>2.0044670981043469E-3</v>
      </c>
      <c r="AJ400">
        <v>1</v>
      </c>
      <c r="AK400">
        <v>15</v>
      </c>
      <c r="AL400">
        <v>221</v>
      </c>
      <c r="AM400">
        <f t="shared" si="69"/>
        <v>206</v>
      </c>
      <c r="AO400">
        <f t="shared" si="73"/>
        <v>1.2117647058823529</v>
      </c>
      <c r="AP400">
        <v>398</v>
      </c>
      <c r="AQ400">
        <f t="shared" si="66"/>
        <v>47.371914552431136</v>
      </c>
      <c r="AR400">
        <f t="shared" si="74"/>
        <v>3.6280854475688677</v>
      </c>
      <c r="AS400">
        <f t="shared" si="72"/>
        <v>0.54648931905389153</v>
      </c>
      <c r="AT400" s="5" t="s">
        <v>370</v>
      </c>
      <c r="AU400" t="s">
        <v>303</v>
      </c>
      <c r="AX400" s="13">
        <v>1</v>
      </c>
      <c r="AY400">
        <f>IF(BA399="top",AY399+1,AY3747)</f>
        <v>198</v>
      </c>
      <c r="AZ400" t="s">
        <v>337</v>
      </c>
      <c r="BA400" t="s">
        <v>5</v>
      </c>
    </row>
    <row r="401" spans="1:53" x14ac:dyDescent="0.35">
      <c r="A401" t="s">
        <v>337</v>
      </c>
      <c r="B401">
        <v>2</v>
      </c>
      <c r="C401" t="s">
        <v>0</v>
      </c>
      <c r="D401" t="s">
        <v>4</v>
      </c>
      <c r="E401" t="s">
        <v>3</v>
      </c>
      <c r="F401" s="1">
        <v>0.86</v>
      </c>
      <c r="G401" t="s">
        <v>334</v>
      </c>
      <c r="H401">
        <v>5</v>
      </c>
      <c r="I401">
        <v>5</v>
      </c>
      <c r="J401">
        <v>18</v>
      </c>
      <c r="K401">
        <v>43</v>
      </c>
      <c r="L401">
        <v>8</v>
      </c>
      <c r="M401">
        <f t="shared" si="70"/>
        <v>51</v>
      </c>
      <c r="N401">
        <v>56</v>
      </c>
      <c r="O401" t="s">
        <v>21</v>
      </c>
      <c r="P401" t="s">
        <v>21</v>
      </c>
      <c r="Q401">
        <f t="shared" si="75"/>
        <v>1.2261905745888868E-2</v>
      </c>
      <c r="R401" s="6">
        <v>85</v>
      </c>
      <c r="S401">
        <v>0.64</v>
      </c>
      <c r="T401">
        <v>0.73</v>
      </c>
      <c r="U401">
        <v>0.81</v>
      </c>
      <c r="V401">
        <v>1.02</v>
      </c>
      <c r="W401">
        <v>1.22</v>
      </c>
      <c r="X401">
        <v>2.7</v>
      </c>
      <c r="Y401">
        <v>0.86</v>
      </c>
      <c r="Z401">
        <v>19.899999999999999</v>
      </c>
      <c r="AA401">
        <v>19.899999999999999</v>
      </c>
      <c r="AB401">
        <v>7</v>
      </c>
      <c r="AC401">
        <v>1898</v>
      </c>
      <c r="AD401" t="s">
        <v>685</v>
      </c>
      <c r="AE401">
        <v>2168</v>
      </c>
      <c r="AF401">
        <v>1959</v>
      </c>
      <c r="AG401">
        <v>1810</v>
      </c>
      <c r="AH401">
        <v>7.9723624767472755E-3</v>
      </c>
      <c r="AI401">
        <v>2.0044670981043469E-3</v>
      </c>
      <c r="AJ401">
        <v>1</v>
      </c>
      <c r="AK401">
        <v>15</v>
      </c>
      <c r="AL401">
        <f>AK401+AL400-AK400</f>
        <v>221</v>
      </c>
      <c r="AM401">
        <f t="shared" si="69"/>
        <v>206</v>
      </c>
      <c r="AO401">
        <f t="shared" si="73"/>
        <v>1.2117647058823529</v>
      </c>
      <c r="AP401">
        <v>399</v>
      </c>
      <c r="AQ401">
        <f t="shared" si="66"/>
        <v>47.371914552431136</v>
      </c>
      <c r="AR401">
        <f t="shared" si="74"/>
        <v>3.6280854475688677</v>
      </c>
      <c r="AS401">
        <f t="shared" si="72"/>
        <v>0.54648931905389153</v>
      </c>
      <c r="AU401" t="s">
        <v>303</v>
      </c>
      <c r="AX401" s="13">
        <v>1</v>
      </c>
      <c r="AY401">
        <f>IF(BA400="top",AY400+1,AY400)</f>
        <v>198</v>
      </c>
      <c r="AZ401" t="s">
        <v>337</v>
      </c>
      <c r="BA401" t="s">
        <v>0</v>
      </c>
    </row>
    <row r="402" spans="1:53" x14ac:dyDescent="0.35">
      <c r="A402" t="s">
        <v>338</v>
      </c>
      <c r="B402">
        <v>2</v>
      </c>
      <c r="C402" t="s">
        <v>5</v>
      </c>
      <c r="D402" t="s">
        <v>4</v>
      </c>
      <c r="E402" t="s">
        <v>3</v>
      </c>
      <c r="F402" s="1">
        <v>0.86</v>
      </c>
      <c r="G402" t="s">
        <v>335</v>
      </c>
      <c r="H402">
        <v>5</v>
      </c>
      <c r="I402">
        <v>5</v>
      </c>
      <c r="J402">
        <v>18</v>
      </c>
      <c r="K402">
        <v>43</v>
      </c>
      <c r="L402">
        <v>8</v>
      </c>
      <c r="M402">
        <f t="shared" si="70"/>
        <v>51</v>
      </c>
      <c r="N402">
        <v>56</v>
      </c>
      <c r="O402" t="s">
        <v>21</v>
      </c>
      <c r="P402" t="s">
        <v>21</v>
      </c>
      <c r="Q402">
        <f t="shared" si="75"/>
        <v>1.2263437199969553E-2</v>
      </c>
      <c r="R402" s="6">
        <v>85</v>
      </c>
      <c r="S402">
        <v>0.64</v>
      </c>
      <c r="T402">
        <v>0.73</v>
      </c>
      <c r="U402">
        <v>0.81</v>
      </c>
      <c r="V402">
        <v>1.02</v>
      </c>
      <c r="W402">
        <v>1.22</v>
      </c>
      <c r="X402">
        <v>2.7</v>
      </c>
      <c r="Y402">
        <v>0.86</v>
      </c>
      <c r="Z402">
        <v>19.899999999999999</v>
      </c>
      <c r="AA402">
        <v>19.899999999999999</v>
      </c>
      <c r="AB402">
        <v>7</v>
      </c>
      <c r="AC402">
        <v>1898</v>
      </c>
      <c r="AD402" t="s">
        <v>686</v>
      </c>
      <c r="AE402">
        <v>2168</v>
      </c>
      <c r="AF402">
        <v>1959</v>
      </c>
      <c r="AG402">
        <v>1465</v>
      </c>
      <c r="AH402">
        <v>7.9723624767472755E-3</v>
      </c>
      <c r="AI402">
        <v>2.0044670981043469E-3</v>
      </c>
      <c r="AJ402">
        <v>0</v>
      </c>
      <c r="AK402">
        <v>6</v>
      </c>
      <c r="AL402">
        <v>109</v>
      </c>
      <c r="AM402">
        <f t="shared" si="69"/>
        <v>103</v>
      </c>
      <c r="AO402">
        <f t="shared" si="73"/>
        <v>0.60588235294117643</v>
      </c>
      <c r="AP402">
        <v>400</v>
      </c>
      <c r="AQ402">
        <f t="shared" si="66"/>
        <v>48.063455701277135</v>
      </c>
      <c r="AR402">
        <f t="shared" si="74"/>
        <v>2.9365442987228683</v>
      </c>
      <c r="AS402">
        <f t="shared" si="72"/>
        <v>0.63293196265964147</v>
      </c>
      <c r="AU402" t="s">
        <v>430</v>
      </c>
      <c r="AX402" s="14">
        <v>0</v>
      </c>
      <c r="AY402">
        <f>IF(BA401="top",AY401+1,AY3749)</f>
        <v>199</v>
      </c>
      <c r="AZ402" t="s">
        <v>338</v>
      </c>
      <c r="BA402" t="s">
        <v>5</v>
      </c>
    </row>
    <row r="403" spans="1:53" x14ac:dyDescent="0.35">
      <c r="A403" t="s">
        <v>338</v>
      </c>
      <c r="B403">
        <v>2</v>
      </c>
      <c r="C403" t="s">
        <v>0</v>
      </c>
      <c r="D403" t="s">
        <v>4</v>
      </c>
      <c r="E403" t="s">
        <v>3</v>
      </c>
      <c r="F403" s="1">
        <v>0.86</v>
      </c>
      <c r="G403" t="s">
        <v>336</v>
      </c>
      <c r="H403">
        <v>5</v>
      </c>
      <c r="I403">
        <v>5</v>
      </c>
      <c r="J403">
        <v>18</v>
      </c>
      <c r="K403">
        <v>43</v>
      </c>
      <c r="L403">
        <v>8</v>
      </c>
      <c r="M403">
        <f t="shared" si="70"/>
        <v>51</v>
      </c>
      <c r="N403">
        <v>56</v>
      </c>
      <c r="O403" t="s">
        <v>21</v>
      </c>
      <c r="P403" t="s">
        <v>21</v>
      </c>
      <c r="Q403">
        <f t="shared" si="75"/>
        <v>1.2227923150531089E-2</v>
      </c>
      <c r="R403" s="6">
        <v>85</v>
      </c>
      <c r="S403">
        <v>0.64</v>
      </c>
      <c r="T403">
        <v>0.73</v>
      </c>
      <c r="U403">
        <v>0.81</v>
      </c>
      <c r="V403">
        <v>1.02</v>
      </c>
      <c r="W403">
        <v>1.22</v>
      </c>
      <c r="X403">
        <v>2.7</v>
      </c>
      <c r="Y403">
        <v>0.86</v>
      </c>
      <c r="Z403">
        <v>19.899999999999999</v>
      </c>
      <c r="AA403">
        <v>19.899999999999999</v>
      </c>
      <c r="AB403">
        <v>7</v>
      </c>
      <c r="AC403">
        <v>1898</v>
      </c>
      <c r="AD403" t="s">
        <v>687</v>
      </c>
      <c r="AE403">
        <v>2168</v>
      </c>
      <c r="AF403">
        <v>1959</v>
      </c>
      <c r="AG403">
        <v>1465</v>
      </c>
      <c r="AH403">
        <v>7.9723624767472755E-3</v>
      </c>
      <c r="AI403">
        <v>2.0044670981043469E-3</v>
      </c>
      <c r="AJ403">
        <v>0</v>
      </c>
      <c r="AK403">
        <v>6</v>
      </c>
      <c r="AL403">
        <v>109</v>
      </c>
      <c r="AM403">
        <f t="shared" si="69"/>
        <v>103</v>
      </c>
      <c r="AO403">
        <f t="shared" si="73"/>
        <v>0.60588235294117643</v>
      </c>
      <c r="AP403">
        <v>401</v>
      </c>
      <c r="AQ403">
        <f t="shared" si="66"/>
        <v>48.063455701277135</v>
      </c>
      <c r="AR403">
        <f t="shared" si="74"/>
        <v>2.9365442987228683</v>
      </c>
      <c r="AS403">
        <f t="shared" si="72"/>
        <v>0.63293196265964147</v>
      </c>
      <c r="AU403" t="s">
        <v>430</v>
      </c>
      <c r="AX403" s="14">
        <v>0</v>
      </c>
      <c r="AY403">
        <f>IF(BA402="top",AY402+1,AY402)</f>
        <v>199</v>
      </c>
      <c r="AZ403" t="s">
        <v>338</v>
      </c>
      <c r="BA403" t="s">
        <v>0</v>
      </c>
    </row>
    <row r="404" spans="1:53" x14ac:dyDescent="0.35">
      <c r="A404" t="s">
        <v>339</v>
      </c>
      <c r="B404">
        <v>2</v>
      </c>
      <c r="C404" t="s">
        <v>5</v>
      </c>
      <c r="D404" t="s">
        <v>4</v>
      </c>
      <c r="E404" t="s">
        <v>3</v>
      </c>
      <c r="F404" s="1">
        <v>0.86</v>
      </c>
      <c r="G404" t="s">
        <v>342</v>
      </c>
      <c r="H404">
        <v>5</v>
      </c>
      <c r="I404">
        <v>5</v>
      </c>
      <c r="J404">
        <v>18</v>
      </c>
      <c r="K404">
        <v>43</v>
      </c>
      <c r="L404">
        <v>8</v>
      </c>
      <c r="M404">
        <f t="shared" si="70"/>
        <v>51</v>
      </c>
      <c r="N404">
        <v>56</v>
      </c>
      <c r="O404" t="s">
        <v>21</v>
      </c>
      <c r="P404" t="s">
        <v>21</v>
      </c>
      <c r="Q404">
        <f t="shared" si="75"/>
        <v>1.2192318272321683E-2</v>
      </c>
      <c r="R404" s="6">
        <v>85</v>
      </c>
      <c r="S404">
        <v>0.64</v>
      </c>
      <c r="T404">
        <v>0.73</v>
      </c>
      <c r="U404">
        <v>0.81</v>
      </c>
      <c r="V404">
        <v>1.02</v>
      </c>
      <c r="W404">
        <v>1.22</v>
      </c>
      <c r="X404">
        <v>2.7</v>
      </c>
      <c r="Y404">
        <v>0.86</v>
      </c>
      <c r="Z404">
        <v>19.899999999999999</v>
      </c>
      <c r="AA404">
        <v>19.899999999999999</v>
      </c>
      <c r="AB404">
        <v>7</v>
      </c>
      <c r="AC404">
        <v>1898</v>
      </c>
      <c r="AD404" t="s">
        <v>688</v>
      </c>
      <c r="AE404">
        <v>2168</v>
      </c>
      <c r="AF404">
        <v>1959</v>
      </c>
      <c r="AG404">
        <v>873</v>
      </c>
      <c r="AH404">
        <v>7.9723624767472755E-3</v>
      </c>
      <c r="AI404">
        <v>2.0044670981043469E-3</v>
      </c>
      <c r="AJ404">
        <v>1</v>
      </c>
      <c r="AK404">
        <v>9</v>
      </c>
      <c r="AL404">
        <v>263</v>
      </c>
      <c r="AM404">
        <f t="shared" si="69"/>
        <v>254</v>
      </c>
      <c r="AO404">
        <f t="shared" si="73"/>
        <v>1.4941176470588236</v>
      </c>
      <c r="AP404">
        <v>402</v>
      </c>
      <c r="AQ404">
        <f t="shared" si="66"/>
        <v>49.250100223354906</v>
      </c>
      <c r="AR404">
        <f t="shared" si="74"/>
        <v>1.7498997766450948</v>
      </c>
      <c r="AS404">
        <f t="shared" si="72"/>
        <v>0.78126252791936313</v>
      </c>
      <c r="AU404" t="s">
        <v>457</v>
      </c>
      <c r="AX404" s="14">
        <v>1</v>
      </c>
      <c r="AY404">
        <f>IF(BA403="top",AY403+1,AY3751)</f>
        <v>200</v>
      </c>
      <c r="AZ404" t="s">
        <v>339</v>
      </c>
      <c r="BA404" t="s">
        <v>5</v>
      </c>
    </row>
    <row r="405" spans="1:53" x14ac:dyDescent="0.35">
      <c r="A405" t="s">
        <v>339</v>
      </c>
      <c r="B405">
        <v>2</v>
      </c>
      <c r="C405" t="s">
        <v>0</v>
      </c>
      <c r="D405" t="s">
        <v>4</v>
      </c>
      <c r="E405" t="s">
        <v>3</v>
      </c>
      <c r="F405" s="1">
        <v>0.86</v>
      </c>
      <c r="G405" t="s">
        <v>343</v>
      </c>
      <c r="H405">
        <v>5</v>
      </c>
      <c r="I405">
        <v>5</v>
      </c>
      <c r="J405">
        <v>18</v>
      </c>
      <c r="K405">
        <v>43</v>
      </c>
      <c r="L405">
        <v>8</v>
      </c>
      <c r="M405">
        <f t="shared" si="70"/>
        <v>51</v>
      </c>
      <c r="N405">
        <v>56</v>
      </c>
      <c r="O405" t="s">
        <v>21</v>
      </c>
      <c r="P405" t="s">
        <v>21</v>
      </c>
      <c r="Q405">
        <f t="shared" si="75"/>
        <v>1.215662233304269E-2</v>
      </c>
      <c r="R405" s="6">
        <v>85</v>
      </c>
      <c r="S405">
        <v>0.64</v>
      </c>
      <c r="T405">
        <v>0.73</v>
      </c>
      <c r="U405">
        <v>0.81</v>
      </c>
      <c r="V405">
        <v>1.02</v>
      </c>
      <c r="W405">
        <v>1.22</v>
      </c>
      <c r="X405">
        <v>2.7</v>
      </c>
      <c r="Y405">
        <v>0.86</v>
      </c>
      <c r="Z405">
        <v>19.899999999999999</v>
      </c>
      <c r="AA405">
        <v>19.899999999999999</v>
      </c>
      <c r="AB405">
        <v>7</v>
      </c>
      <c r="AC405">
        <v>1898</v>
      </c>
      <c r="AD405" t="s">
        <v>689</v>
      </c>
      <c r="AE405">
        <v>2168</v>
      </c>
      <c r="AF405">
        <v>1959</v>
      </c>
      <c r="AG405">
        <v>873</v>
      </c>
      <c r="AH405">
        <v>7.9723624767472755E-3</v>
      </c>
      <c r="AI405">
        <v>2.0044670981043469E-3</v>
      </c>
      <c r="AJ405">
        <v>1</v>
      </c>
      <c r="AK405">
        <v>3</v>
      </c>
      <c r="AL405">
        <f>AK405+AL404-AK404</f>
        <v>257</v>
      </c>
      <c r="AM405">
        <f t="shared" si="69"/>
        <v>254</v>
      </c>
      <c r="AO405">
        <f t="shared" si="73"/>
        <v>1.4941176470588236</v>
      </c>
      <c r="AP405">
        <v>403</v>
      </c>
      <c r="AQ405">
        <f t="shared" si="66"/>
        <v>49.250100223354906</v>
      </c>
      <c r="AR405">
        <f t="shared" si="74"/>
        <v>1.7498997766450948</v>
      </c>
      <c r="AS405">
        <f t="shared" si="72"/>
        <v>0.78126252791936313</v>
      </c>
      <c r="AU405" t="s">
        <v>457</v>
      </c>
      <c r="AX405" s="14">
        <v>1</v>
      </c>
      <c r="AY405">
        <f>IF(BA404="top",AY404+1,AY404)</f>
        <v>200</v>
      </c>
      <c r="AZ405" t="s">
        <v>339</v>
      </c>
      <c r="BA405" t="s">
        <v>0</v>
      </c>
    </row>
    <row r="406" spans="1:53" ht="12.5" customHeight="1" x14ac:dyDescent="0.35">
      <c r="A406" t="s">
        <v>340</v>
      </c>
      <c r="B406">
        <v>3</v>
      </c>
      <c r="C406" t="s">
        <v>5</v>
      </c>
      <c r="D406" t="s">
        <v>4</v>
      </c>
      <c r="E406" t="s">
        <v>3</v>
      </c>
      <c r="F406" s="1">
        <v>0.87</v>
      </c>
      <c r="G406" t="s">
        <v>344</v>
      </c>
      <c r="H406">
        <v>4</v>
      </c>
      <c r="I406">
        <v>4</v>
      </c>
      <c r="J406">
        <v>15</v>
      </c>
      <c r="K406">
        <v>44</v>
      </c>
      <c r="L406">
        <v>17</v>
      </c>
      <c r="M406">
        <f t="shared" si="70"/>
        <v>61</v>
      </c>
      <c r="N406" t="s">
        <v>21</v>
      </c>
      <c r="O406" t="s">
        <v>21</v>
      </c>
      <c r="P406" t="s">
        <v>21</v>
      </c>
      <c r="Q406">
        <f t="shared" si="75"/>
        <v>1.2120835099801342E-2</v>
      </c>
      <c r="R406" s="6">
        <f>AT406/2</f>
        <v>99.5</v>
      </c>
      <c r="S406">
        <v>0.6</v>
      </c>
      <c r="T406">
        <v>0.83</v>
      </c>
      <c r="U406">
        <v>0.9</v>
      </c>
      <c r="V406">
        <v>0.9</v>
      </c>
      <c r="W406">
        <v>1.7</v>
      </c>
      <c r="X406">
        <v>3.2</v>
      </c>
      <c r="Y406">
        <f>IF(B406=1,0.86,IF(B406=2,3.1,IF(B406=3,0.2)))</f>
        <v>0.2</v>
      </c>
      <c r="Z406">
        <v>19.899999999999999</v>
      </c>
      <c r="AA406">
        <v>20</v>
      </c>
      <c r="AB406">
        <v>50</v>
      </c>
      <c r="AC406">
        <v>1776</v>
      </c>
      <c r="AD406" t="s">
        <v>690</v>
      </c>
      <c r="AE406">
        <v>2224</v>
      </c>
      <c r="AF406">
        <v>2218</v>
      </c>
      <c r="AG406">
        <v>1296</v>
      </c>
      <c r="AH406">
        <v>6.606474344857961E-3</v>
      </c>
      <c r="AI406">
        <v>2.1227666725632411E-3</v>
      </c>
      <c r="AJ406">
        <v>1</v>
      </c>
      <c r="AK406">
        <v>10</v>
      </c>
      <c r="AL406">
        <v>211</v>
      </c>
      <c r="AM406">
        <f t="shared" si="69"/>
        <v>201</v>
      </c>
      <c r="AO406">
        <f t="shared" si="73"/>
        <v>1.0100502512562815</v>
      </c>
      <c r="AP406">
        <v>404</v>
      </c>
      <c r="AQ406">
        <f t="shared" si="66"/>
        <v>58.248894392358039</v>
      </c>
      <c r="AR406">
        <f t="shared" si="74"/>
        <v>2.7511056076419607</v>
      </c>
      <c r="AS406">
        <f t="shared" si="72"/>
        <v>0.83817025837400227</v>
      </c>
      <c r="AT406" s="5" t="s">
        <v>369</v>
      </c>
      <c r="AU406" t="s">
        <v>303</v>
      </c>
      <c r="AX406" s="13">
        <v>1</v>
      </c>
      <c r="AY406">
        <f>IF(BA405="top",AY405+1,AY3753)</f>
        <v>201</v>
      </c>
      <c r="AZ406" t="s">
        <v>340</v>
      </c>
      <c r="BA406" t="s">
        <v>5</v>
      </c>
    </row>
    <row r="407" spans="1:53" x14ac:dyDescent="0.35">
      <c r="A407" t="s">
        <v>340</v>
      </c>
      <c r="B407">
        <v>3</v>
      </c>
      <c r="C407" t="s">
        <v>0</v>
      </c>
      <c r="D407" t="s">
        <v>4</v>
      </c>
      <c r="E407" t="s">
        <v>3</v>
      </c>
      <c r="F407" s="1">
        <v>0.87</v>
      </c>
      <c r="G407" t="s">
        <v>346</v>
      </c>
      <c r="H407">
        <v>4</v>
      </c>
      <c r="I407">
        <v>4</v>
      </c>
      <c r="J407">
        <v>15</v>
      </c>
      <c r="K407">
        <v>44</v>
      </c>
      <c r="L407">
        <v>17</v>
      </c>
      <c r="M407">
        <f t="shared" si="70"/>
        <v>61</v>
      </c>
      <c r="N407" t="s">
        <v>21</v>
      </c>
      <c r="O407" t="s">
        <v>21</v>
      </c>
      <c r="P407" t="s">
        <v>21</v>
      </c>
      <c r="Q407">
        <f t="shared" si="75"/>
        <v>1.208495633910925E-2</v>
      </c>
      <c r="R407" s="6">
        <v>99.5</v>
      </c>
      <c r="S407">
        <v>0.6</v>
      </c>
      <c r="T407">
        <v>0.83</v>
      </c>
      <c r="U407">
        <v>0.9</v>
      </c>
      <c r="V407">
        <v>0.9</v>
      </c>
      <c r="W407">
        <v>1.7</v>
      </c>
      <c r="X407">
        <v>3.2</v>
      </c>
      <c r="Y407">
        <f>IF(B407=1,0.86,IF(B407=2,3.1,IF(B407=3,0.2)))</f>
        <v>0.2</v>
      </c>
      <c r="Z407">
        <v>19.899999999999999</v>
      </c>
      <c r="AA407">
        <v>20</v>
      </c>
      <c r="AB407">
        <v>50</v>
      </c>
      <c r="AC407">
        <v>1776</v>
      </c>
      <c r="AD407" t="s">
        <v>691</v>
      </c>
      <c r="AE407">
        <v>2224</v>
      </c>
      <c r="AF407">
        <v>2218</v>
      </c>
      <c r="AG407">
        <v>1296</v>
      </c>
      <c r="AH407">
        <v>6.606474344857961E-3</v>
      </c>
      <c r="AI407">
        <v>2.1227666725632411E-3</v>
      </c>
      <c r="AJ407">
        <v>1</v>
      </c>
      <c r="AK407">
        <v>7</v>
      </c>
      <c r="AL407">
        <f>AK407+AL406-AK406</f>
        <v>208</v>
      </c>
      <c r="AM407">
        <f t="shared" si="69"/>
        <v>201</v>
      </c>
      <c r="AO407">
        <f t="shared" si="73"/>
        <v>1.0100502512562815</v>
      </c>
      <c r="AP407">
        <v>405</v>
      </c>
      <c r="AQ407">
        <f t="shared" si="66"/>
        <v>58.248894392358039</v>
      </c>
      <c r="AR407">
        <f t="shared" si="74"/>
        <v>2.7511056076419607</v>
      </c>
      <c r="AS407">
        <f t="shared" si="72"/>
        <v>0.83817025837400227</v>
      </c>
      <c r="AU407" t="s">
        <v>303</v>
      </c>
      <c r="AX407" s="13">
        <v>1</v>
      </c>
      <c r="AY407">
        <f>IF(BA406="top",AY406+1,AY406)</f>
        <v>201</v>
      </c>
      <c r="AZ407" t="s">
        <v>340</v>
      </c>
      <c r="BA407" t="s">
        <v>0</v>
      </c>
    </row>
    <row r="408" spans="1:53" x14ac:dyDescent="0.35">
      <c r="A408" t="s">
        <v>341</v>
      </c>
      <c r="B408">
        <v>3</v>
      </c>
      <c r="C408" t="s">
        <v>5</v>
      </c>
      <c r="D408" t="s">
        <v>4</v>
      </c>
      <c r="E408" t="s">
        <v>3</v>
      </c>
      <c r="F408" s="1">
        <v>0.88</v>
      </c>
      <c r="G408" t="s">
        <v>345</v>
      </c>
      <c r="H408">
        <v>4</v>
      </c>
      <c r="I408">
        <v>6</v>
      </c>
      <c r="J408">
        <v>10</v>
      </c>
      <c r="K408">
        <v>38</v>
      </c>
      <c r="L408">
        <v>19</v>
      </c>
      <c r="M408">
        <f t="shared" si="70"/>
        <v>57</v>
      </c>
      <c r="N408">
        <v>63</v>
      </c>
      <c r="O408" t="s">
        <v>21</v>
      </c>
      <c r="P408" t="s">
        <v>21</v>
      </c>
      <c r="Q408">
        <f t="shared" si="75"/>
        <v>1.2048985816880863E-2</v>
      </c>
      <c r="R408" s="6">
        <f>198.2/2</f>
        <v>99.1</v>
      </c>
      <c r="S408">
        <v>0.72</v>
      </c>
      <c r="T408">
        <v>0.86</v>
      </c>
      <c r="U408">
        <v>0.95</v>
      </c>
      <c r="V408">
        <v>1.02</v>
      </c>
      <c r="W408">
        <v>1.2</v>
      </c>
      <c r="X408">
        <v>3</v>
      </c>
      <c r="Y408">
        <f>IF(B408=1,0.86,IF(B408=2,3.1,IF(B408=3,0.2)))</f>
        <v>0.2</v>
      </c>
      <c r="Z408">
        <v>19.899999999999999</v>
      </c>
      <c r="AA408">
        <v>20</v>
      </c>
      <c r="AB408">
        <v>50</v>
      </c>
      <c r="AC408">
        <v>1753</v>
      </c>
      <c r="AD408" t="s">
        <v>692</v>
      </c>
      <c r="AE408">
        <v>1881</v>
      </c>
      <c r="AF408">
        <v>2210</v>
      </c>
      <c r="AG408">
        <v>346</v>
      </c>
      <c r="AH408">
        <v>1.085579880586213E-2</v>
      </c>
      <c r="AI408">
        <v>2.1399529210357369E-3</v>
      </c>
      <c r="AJ408">
        <v>1</v>
      </c>
      <c r="AK408">
        <v>10</v>
      </c>
      <c r="AL408">
        <v>436</v>
      </c>
      <c r="AM408">
        <f t="shared" si="69"/>
        <v>426</v>
      </c>
      <c r="AO408">
        <f t="shared" si="73"/>
        <v>2.1493440968718467</v>
      </c>
      <c r="AP408">
        <v>406</v>
      </c>
      <c r="AQ408">
        <f t="shared" si="66"/>
        <v>56.259576289321636</v>
      </c>
      <c r="AR408">
        <f t="shared" si="74"/>
        <v>0.74042371067836499</v>
      </c>
      <c r="AS408">
        <f t="shared" si="72"/>
        <v>0.96103033101692825</v>
      </c>
      <c r="AT408" s="5" t="s">
        <v>368</v>
      </c>
      <c r="AU408" t="s">
        <v>303</v>
      </c>
      <c r="AX408" s="13">
        <v>1</v>
      </c>
      <c r="AY408">
        <f>IF(BA407="top",AY407+1,AY3755)</f>
        <v>202</v>
      </c>
      <c r="AZ408" t="s">
        <v>341</v>
      </c>
      <c r="BA408" t="s">
        <v>5</v>
      </c>
    </row>
    <row r="409" spans="1:53" x14ac:dyDescent="0.35">
      <c r="A409" t="s">
        <v>341</v>
      </c>
      <c r="B409">
        <v>3</v>
      </c>
      <c r="C409" t="s">
        <v>0</v>
      </c>
      <c r="D409" t="s">
        <v>4</v>
      </c>
      <c r="E409" t="s">
        <v>3</v>
      </c>
      <c r="F409" s="1">
        <v>0.88</v>
      </c>
      <c r="G409" t="s">
        <v>347</v>
      </c>
      <c r="H409">
        <v>4</v>
      </c>
      <c r="I409">
        <v>6</v>
      </c>
      <c r="J409">
        <v>10</v>
      </c>
      <c r="K409">
        <v>38</v>
      </c>
      <c r="L409">
        <v>19</v>
      </c>
      <c r="M409">
        <f t="shared" si="70"/>
        <v>57</v>
      </c>
      <c r="N409">
        <v>63</v>
      </c>
      <c r="O409" t="s">
        <v>21</v>
      </c>
      <c r="P409" t="s">
        <v>21</v>
      </c>
      <c r="Q409">
        <f t="shared" si="75"/>
        <v>1.2012923298431941E-2</v>
      </c>
      <c r="R409" s="6">
        <f>198.2/2</f>
        <v>99.1</v>
      </c>
      <c r="S409">
        <v>0.72</v>
      </c>
      <c r="T409">
        <v>0.86</v>
      </c>
      <c r="U409">
        <v>0.95</v>
      </c>
      <c r="V409">
        <v>1.02</v>
      </c>
      <c r="W409">
        <v>1.2</v>
      </c>
      <c r="X409">
        <v>3</v>
      </c>
      <c r="Y409">
        <f>IF(B409=1,0.86,IF(B409=2,3.1,IF(B409=3,0.2)))</f>
        <v>0.2</v>
      </c>
      <c r="Z409">
        <v>19.899999999999999</v>
      </c>
      <c r="AA409">
        <v>20</v>
      </c>
      <c r="AB409">
        <v>50</v>
      </c>
      <c r="AC409">
        <v>1753</v>
      </c>
      <c r="AD409" t="s">
        <v>693</v>
      </c>
      <c r="AE409">
        <v>1881</v>
      </c>
      <c r="AF409">
        <v>2210</v>
      </c>
      <c r="AG409">
        <v>346</v>
      </c>
      <c r="AH409">
        <v>1.085579880586213E-2</v>
      </c>
      <c r="AI409">
        <v>2.1399529210357369E-3</v>
      </c>
      <c r="AJ409">
        <v>1</v>
      </c>
      <c r="AK409">
        <v>7</v>
      </c>
      <c r="AL409">
        <f>AK409+AL408-AK408</f>
        <v>433</v>
      </c>
      <c r="AM409">
        <f t="shared" si="69"/>
        <v>426</v>
      </c>
      <c r="AO409">
        <f t="shared" si="73"/>
        <v>2.1493440968718467</v>
      </c>
      <c r="AP409">
        <v>407</v>
      </c>
      <c r="AQ409">
        <f t="shared" si="66"/>
        <v>56.259576289321636</v>
      </c>
      <c r="AR409">
        <f t="shared" si="74"/>
        <v>0.74042371067836499</v>
      </c>
      <c r="AS409">
        <f t="shared" si="72"/>
        <v>0.96103033101692825</v>
      </c>
      <c r="AU409" t="s">
        <v>303</v>
      </c>
      <c r="AX409" s="13">
        <v>1</v>
      </c>
      <c r="AY409">
        <f>IF(BA408="top",AY408+1,AY408)</f>
        <v>202</v>
      </c>
      <c r="AZ409" t="s">
        <v>341</v>
      </c>
      <c r="BA409" t="s">
        <v>0</v>
      </c>
    </row>
    <row r="410" spans="1:53" x14ac:dyDescent="0.35">
      <c r="A410" t="s">
        <v>349</v>
      </c>
      <c r="B410">
        <v>3</v>
      </c>
      <c r="C410" t="s">
        <v>5</v>
      </c>
      <c r="D410" t="s">
        <v>4</v>
      </c>
      <c r="E410" t="s">
        <v>3</v>
      </c>
      <c r="F410" s="1">
        <v>0.9</v>
      </c>
      <c r="G410" t="s">
        <v>356</v>
      </c>
      <c r="H410">
        <v>7</v>
      </c>
      <c r="I410">
        <v>8</v>
      </c>
      <c r="J410">
        <v>6</v>
      </c>
      <c r="K410">
        <v>37</v>
      </c>
      <c r="L410">
        <v>19</v>
      </c>
      <c r="M410">
        <f t="shared" si="70"/>
        <v>56</v>
      </c>
      <c r="N410" t="s">
        <v>21</v>
      </c>
      <c r="O410" t="s">
        <v>21</v>
      </c>
      <c r="P410" t="s">
        <v>21</v>
      </c>
      <c r="Q410">
        <f t="shared" si="75"/>
        <v>1.1976768548478036E-2</v>
      </c>
      <c r="R410" s="6">
        <f>167/2</f>
        <v>83.5</v>
      </c>
      <c r="S410">
        <v>0.65</v>
      </c>
      <c r="T410">
        <v>0.7</v>
      </c>
      <c r="U410">
        <v>0.9</v>
      </c>
      <c r="V410">
        <v>1.1499999999999999</v>
      </c>
      <c r="W410">
        <v>1.5</v>
      </c>
      <c r="X410">
        <v>3.2</v>
      </c>
      <c r="Y410">
        <v>0.2</v>
      </c>
      <c r="Z410">
        <v>19.899999999999999</v>
      </c>
      <c r="AA410">
        <v>20</v>
      </c>
      <c r="AB410">
        <v>50</v>
      </c>
      <c r="AC410">
        <v>1768</v>
      </c>
      <c r="AD410" t="s">
        <v>694</v>
      </c>
      <c r="AE410">
        <v>1869</v>
      </c>
      <c r="AF410">
        <v>1852</v>
      </c>
      <c r="AG410">
        <v>462</v>
      </c>
      <c r="AH410">
        <v>1.1083743842364531E-2</v>
      </c>
      <c r="AI410">
        <v>2.1332069210713441E-3</v>
      </c>
      <c r="AJ410">
        <v>0</v>
      </c>
      <c r="AK410">
        <v>5</v>
      </c>
      <c r="AL410">
        <v>14</v>
      </c>
      <c r="AM410">
        <f t="shared" si="69"/>
        <v>9</v>
      </c>
      <c r="AO410">
        <f t="shared" si="73"/>
        <v>5.3892215568862277E-2</v>
      </c>
      <c r="AP410">
        <v>408</v>
      </c>
      <c r="AQ410">
        <f t="shared" si="66"/>
        <v>55.014458402465038</v>
      </c>
      <c r="AR410">
        <f t="shared" si="74"/>
        <v>0.98554159753496096</v>
      </c>
      <c r="AS410">
        <f t="shared" si="72"/>
        <v>0.94812938960342308</v>
      </c>
      <c r="AT410" s="5" t="s">
        <v>367</v>
      </c>
      <c r="AU410" t="s">
        <v>303</v>
      </c>
      <c r="AX410" s="12">
        <v>0</v>
      </c>
      <c r="AY410">
        <f>IF(BA409="top",AY409+1,AY3757)</f>
        <v>203</v>
      </c>
      <c r="AZ410" t="s">
        <v>349</v>
      </c>
      <c r="BA410" t="s">
        <v>5</v>
      </c>
    </row>
    <row r="411" spans="1:53" x14ac:dyDescent="0.35">
      <c r="A411" t="s">
        <v>349</v>
      </c>
      <c r="B411">
        <v>3</v>
      </c>
      <c r="C411" t="s">
        <v>0</v>
      </c>
      <c r="D411" t="s">
        <v>4</v>
      </c>
      <c r="E411" t="s">
        <v>3</v>
      </c>
      <c r="F411" s="1">
        <v>0.9</v>
      </c>
      <c r="G411" t="s">
        <v>356</v>
      </c>
      <c r="H411">
        <v>7</v>
      </c>
      <c r="I411">
        <v>8</v>
      </c>
      <c r="J411">
        <v>6</v>
      </c>
      <c r="K411">
        <v>37</v>
      </c>
      <c r="L411">
        <v>19</v>
      </c>
      <c r="M411">
        <f t="shared" si="70"/>
        <v>56</v>
      </c>
      <c r="N411" t="s">
        <v>21</v>
      </c>
      <c r="O411" t="s">
        <v>21</v>
      </c>
      <c r="P411" t="s">
        <v>21</v>
      </c>
      <c r="Q411">
        <f t="shared" si="75"/>
        <v>1.1940521331132945E-2</v>
      </c>
      <c r="R411" s="6">
        <f>167/2</f>
        <v>83.5</v>
      </c>
      <c r="S411">
        <v>0.65</v>
      </c>
      <c r="T411">
        <v>0.7</v>
      </c>
      <c r="U411">
        <v>0.9</v>
      </c>
      <c r="V411">
        <v>1.1499999999999999</v>
      </c>
      <c r="W411">
        <v>1.5</v>
      </c>
      <c r="X411">
        <v>3.2</v>
      </c>
      <c r="Y411">
        <v>0.2</v>
      </c>
      <c r="Z411">
        <v>19.899999999999999</v>
      </c>
      <c r="AA411">
        <v>20</v>
      </c>
      <c r="AB411">
        <v>50</v>
      </c>
      <c r="AC411">
        <v>1768</v>
      </c>
      <c r="AD411" t="s">
        <v>695</v>
      </c>
      <c r="AE411">
        <v>1869</v>
      </c>
      <c r="AF411">
        <v>1852</v>
      </c>
      <c r="AG411">
        <v>462</v>
      </c>
      <c r="AH411">
        <v>1.1083743842364531E-2</v>
      </c>
      <c r="AI411">
        <v>2.1332069210713441E-3</v>
      </c>
      <c r="AJ411">
        <v>0</v>
      </c>
      <c r="AK411">
        <v>3</v>
      </c>
      <c r="AL411">
        <v>12</v>
      </c>
      <c r="AM411">
        <f t="shared" si="69"/>
        <v>9</v>
      </c>
      <c r="AO411">
        <f t="shared" si="73"/>
        <v>5.3892215568862277E-2</v>
      </c>
      <c r="AP411">
        <v>409</v>
      </c>
      <c r="AQ411">
        <f t="shared" si="66"/>
        <v>55.014458402465038</v>
      </c>
      <c r="AR411">
        <f t="shared" si="74"/>
        <v>0.98554159753496096</v>
      </c>
      <c r="AS411">
        <f t="shared" si="72"/>
        <v>0.94812938960342308</v>
      </c>
      <c r="AU411" t="s">
        <v>303</v>
      </c>
      <c r="AW411" s="5"/>
      <c r="AX411" s="12">
        <v>0</v>
      </c>
      <c r="AY411">
        <f>IF(BA410="top",AY410+1,AY410)</f>
        <v>203</v>
      </c>
      <c r="AZ411" t="s">
        <v>349</v>
      </c>
      <c r="BA411" t="s">
        <v>0</v>
      </c>
    </row>
    <row r="412" spans="1:53" x14ac:dyDescent="0.35">
      <c r="A412" t="s">
        <v>350</v>
      </c>
      <c r="B412">
        <v>3</v>
      </c>
      <c r="C412" t="s">
        <v>5</v>
      </c>
      <c r="D412" t="s">
        <v>4</v>
      </c>
      <c r="E412" t="s">
        <v>3</v>
      </c>
      <c r="F412" s="1">
        <v>0.9</v>
      </c>
      <c r="G412" t="s">
        <v>356</v>
      </c>
      <c r="H412">
        <v>7</v>
      </c>
      <c r="I412">
        <v>8</v>
      </c>
      <c r="J412">
        <v>6</v>
      </c>
      <c r="K412">
        <v>37</v>
      </c>
      <c r="L412">
        <v>19</v>
      </c>
      <c r="M412">
        <f t="shared" si="70"/>
        <v>56</v>
      </c>
      <c r="N412" t="s">
        <v>21</v>
      </c>
      <c r="O412" t="s">
        <v>21</v>
      </c>
      <c r="P412" t="s">
        <v>21</v>
      </c>
      <c r="Q412">
        <f t="shared" si="75"/>
        <v>1.1904181409907174E-2</v>
      </c>
      <c r="R412" s="6">
        <f>167/2</f>
        <v>83.5</v>
      </c>
      <c r="S412">
        <v>0.65</v>
      </c>
      <c r="T412">
        <v>0.7</v>
      </c>
      <c r="U412">
        <v>0.9</v>
      </c>
      <c r="V412">
        <v>1.1499999999999999</v>
      </c>
      <c r="W412">
        <v>1.5</v>
      </c>
      <c r="X412">
        <v>3.2</v>
      </c>
      <c r="Y412">
        <v>0.2</v>
      </c>
      <c r="Z412">
        <v>19.899999999999999</v>
      </c>
      <c r="AA412">
        <v>20</v>
      </c>
      <c r="AB412">
        <v>50</v>
      </c>
      <c r="AC412">
        <v>1768</v>
      </c>
      <c r="AD412" t="s">
        <v>696</v>
      </c>
      <c r="AE412">
        <v>1869</v>
      </c>
      <c r="AF412">
        <v>1852</v>
      </c>
      <c r="AG412">
        <v>2359</v>
      </c>
      <c r="AH412">
        <v>1.1083743842364531E-2</v>
      </c>
      <c r="AI412">
        <v>2.1332069210713441E-3</v>
      </c>
      <c r="AJ412">
        <v>1</v>
      </c>
      <c r="AK412">
        <v>14</v>
      </c>
      <c r="AL412">
        <v>260</v>
      </c>
      <c r="AM412">
        <f t="shared" si="69"/>
        <v>246</v>
      </c>
      <c r="AO412">
        <f t="shared" si="73"/>
        <v>1.4730538922155689</v>
      </c>
      <c r="AP412">
        <v>410</v>
      </c>
      <c r="AQ412">
        <f t="shared" si="66"/>
        <v>50.967764873192699</v>
      </c>
      <c r="AR412">
        <f t="shared" si="74"/>
        <v>5.0322351268073007</v>
      </c>
      <c r="AS412">
        <f t="shared" si="72"/>
        <v>0.73514551964172103</v>
      </c>
      <c r="AU412" t="s">
        <v>303</v>
      </c>
      <c r="AV412" t="s">
        <v>432</v>
      </c>
      <c r="AX412" s="13">
        <v>1</v>
      </c>
      <c r="AY412">
        <f>IF(BA411="top",AY411+1,AY3759)</f>
        <v>204</v>
      </c>
      <c r="AZ412" t="s">
        <v>350</v>
      </c>
      <c r="BA412" t="s">
        <v>5</v>
      </c>
    </row>
    <row r="413" spans="1:53" x14ac:dyDescent="0.35">
      <c r="A413" t="s">
        <v>350</v>
      </c>
      <c r="B413">
        <v>3</v>
      </c>
      <c r="C413" t="s">
        <v>0</v>
      </c>
      <c r="D413" t="s">
        <v>4</v>
      </c>
      <c r="E413" t="s">
        <v>3</v>
      </c>
      <c r="F413" s="1">
        <v>0.9</v>
      </c>
      <c r="G413" t="s">
        <v>356</v>
      </c>
      <c r="H413">
        <v>7</v>
      </c>
      <c r="I413">
        <v>8</v>
      </c>
      <c r="J413">
        <v>6</v>
      </c>
      <c r="K413">
        <v>37</v>
      </c>
      <c r="L413">
        <v>19</v>
      </c>
      <c r="M413">
        <f t="shared" si="70"/>
        <v>56</v>
      </c>
      <c r="N413" t="s">
        <v>21</v>
      </c>
      <c r="O413" t="s">
        <v>21</v>
      </c>
      <c r="P413" t="s">
        <v>21</v>
      </c>
      <c r="Q413">
        <f t="shared" si="75"/>
        <v>1.1867748547706405E-2</v>
      </c>
      <c r="R413" s="6">
        <f>167/2</f>
        <v>83.5</v>
      </c>
      <c r="S413">
        <v>0.65</v>
      </c>
      <c r="T413">
        <v>0.7</v>
      </c>
      <c r="U413">
        <v>0.9</v>
      </c>
      <c r="V413">
        <v>1.1499999999999999</v>
      </c>
      <c r="W413">
        <v>1.5</v>
      </c>
      <c r="X413">
        <v>3.2</v>
      </c>
      <c r="Y413">
        <v>0.2</v>
      </c>
      <c r="Z413">
        <v>19.899999999999999</v>
      </c>
      <c r="AA413">
        <v>20</v>
      </c>
      <c r="AB413">
        <v>50</v>
      </c>
      <c r="AC413">
        <v>1768</v>
      </c>
      <c r="AD413" t="s">
        <v>697</v>
      </c>
      <c r="AE413">
        <v>1869</v>
      </c>
      <c r="AF413">
        <v>1852</v>
      </c>
      <c r="AG413">
        <v>2359</v>
      </c>
      <c r="AH413">
        <v>1.1083743842364531E-2</v>
      </c>
      <c r="AI413">
        <v>2.1332069210713441E-3</v>
      </c>
      <c r="AJ413">
        <v>1</v>
      </c>
      <c r="AK413">
        <v>20</v>
      </c>
      <c r="AL413">
        <f>AK413+AL412-AK412</f>
        <v>266</v>
      </c>
      <c r="AM413">
        <f t="shared" si="69"/>
        <v>246</v>
      </c>
      <c r="AO413">
        <f t="shared" si="73"/>
        <v>1.4730538922155689</v>
      </c>
      <c r="AP413">
        <v>411</v>
      </c>
      <c r="AQ413">
        <f t="shared" si="66"/>
        <v>50.967764873192699</v>
      </c>
      <c r="AR413">
        <f t="shared" si="74"/>
        <v>5.0322351268073007</v>
      </c>
      <c r="AS413">
        <f t="shared" si="72"/>
        <v>0.73514551964172103</v>
      </c>
      <c r="AU413" t="s">
        <v>303</v>
      </c>
      <c r="AV413" t="s">
        <v>432</v>
      </c>
      <c r="AX413" s="13">
        <v>1</v>
      </c>
      <c r="AY413">
        <f>IF(BA412="top",AY412+1,AY412)</f>
        <v>204</v>
      </c>
      <c r="AZ413" t="s">
        <v>350</v>
      </c>
      <c r="BA413" t="s">
        <v>0</v>
      </c>
    </row>
    <row r="414" spans="1:53" x14ac:dyDescent="0.35">
      <c r="A414" t="s">
        <v>351</v>
      </c>
      <c r="B414">
        <v>3</v>
      </c>
      <c r="C414" t="s">
        <v>5</v>
      </c>
      <c r="D414" t="s">
        <v>4</v>
      </c>
      <c r="E414" t="s">
        <v>3</v>
      </c>
      <c r="F414" s="1">
        <v>0.91</v>
      </c>
      <c r="G414" t="s">
        <v>356</v>
      </c>
      <c r="H414">
        <v>8</v>
      </c>
      <c r="I414">
        <v>5</v>
      </c>
      <c r="J414">
        <v>7</v>
      </c>
      <c r="K414">
        <v>41</v>
      </c>
      <c r="L414">
        <v>12</v>
      </c>
      <c r="M414">
        <f t="shared" si="70"/>
        <v>53</v>
      </c>
      <c r="N414" t="s">
        <v>21</v>
      </c>
      <c r="O414" t="s">
        <v>21</v>
      </c>
      <c r="P414" t="s">
        <v>21</v>
      </c>
      <c r="Q414">
        <f t="shared" si="75"/>
        <v>1.1831222506829928E-2</v>
      </c>
      <c r="R414" s="6">
        <f>162.75/2</f>
        <v>81.375</v>
      </c>
      <c r="S414">
        <v>0.8</v>
      </c>
      <c r="T414">
        <v>0.9</v>
      </c>
      <c r="U414">
        <v>0.95</v>
      </c>
      <c r="V414">
        <v>1</v>
      </c>
      <c r="W414">
        <v>1.25</v>
      </c>
      <c r="X414">
        <v>2.8</v>
      </c>
      <c r="Y414">
        <v>0.2</v>
      </c>
      <c r="Z414">
        <v>19.899999999999999</v>
      </c>
      <c r="AA414">
        <v>20</v>
      </c>
      <c r="AB414">
        <v>50</v>
      </c>
      <c r="AC414">
        <v>1767</v>
      </c>
      <c r="AD414" t="s">
        <v>698</v>
      </c>
      <c r="AE414">
        <v>1662</v>
      </c>
      <c r="AF414">
        <v>1845</v>
      </c>
      <c r="AG414">
        <v>1384</v>
      </c>
      <c r="AH414">
        <v>1.1037527593818991E-2</v>
      </c>
      <c r="AI414">
        <v>2.1316911416390341E-3</v>
      </c>
      <c r="AJ414">
        <v>0</v>
      </c>
      <c r="AK414">
        <v>1</v>
      </c>
      <c r="AL414">
        <v>80</v>
      </c>
      <c r="AM414">
        <f t="shared" si="69"/>
        <v>79</v>
      </c>
      <c r="AO414">
        <f t="shared" si="73"/>
        <v>0.48540706605222733</v>
      </c>
      <c r="AP414">
        <v>412</v>
      </c>
      <c r="AQ414">
        <f t="shared" si="66"/>
        <v>50.049739459971576</v>
      </c>
      <c r="AR414">
        <f t="shared" si="74"/>
        <v>2.950260540028423</v>
      </c>
      <c r="AS414">
        <f t="shared" si="72"/>
        <v>0.75414495499763134</v>
      </c>
      <c r="AT414" s="5" t="s">
        <v>366</v>
      </c>
      <c r="AU414" t="s">
        <v>221</v>
      </c>
      <c r="AX414" s="14">
        <v>0</v>
      </c>
      <c r="AY414">
        <f>IF(BA413="top",AY413+1,AY3761)</f>
        <v>205</v>
      </c>
      <c r="AZ414" t="s">
        <v>351</v>
      </c>
      <c r="BA414" t="s">
        <v>5</v>
      </c>
    </row>
    <row r="415" spans="1:53" x14ac:dyDescent="0.35">
      <c r="A415" t="s">
        <v>351</v>
      </c>
      <c r="B415">
        <v>3</v>
      </c>
      <c r="C415" t="s">
        <v>0</v>
      </c>
      <c r="D415" t="s">
        <v>4</v>
      </c>
      <c r="E415" t="s">
        <v>3</v>
      </c>
      <c r="F415" s="1">
        <v>0.91</v>
      </c>
      <c r="G415" t="s">
        <v>356</v>
      </c>
      <c r="H415">
        <v>8</v>
      </c>
      <c r="I415">
        <v>5</v>
      </c>
      <c r="J415">
        <v>7</v>
      </c>
      <c r="K415">
        <v>41</v>
      </c>
      <c r="L415">
        <v>12</v>
      </c>
      <c r="M415">
        <f t="shared" si="70"/>
        <v>53</v>
      </c>
      <c r="N415" t="s">
        <v>21</v>
      </c>
      <c r="O415" t="s">
        <v>21</v>
      </c>
      <c r="P415" t="s">
        <v>21</v>
      </c>
      <c r="Q415">
        <f t="shared" si="75"/>
        <v>1.1794603048969111E-2</v>
      </c>
      <c r="R415" s="6">
        <f>162.75/2</f>
        <v>81.375</v>
      </c>
      <c r="S415">
        <v>0.8</v>
      </c>
      <c r="T415">
        <v>0.9</v>
      </c>
      <c r="U415">
        <v>0.95</v>
      </c>
      <c r="V415">
        <v>1</v>
      </c>
      <c r="W415">
        <v>1.25</v>
      </c>
      <c r="X415">
        <v>2.8</v>
      </c>
      <c r="Y415">
        <v>0.2</v>
      </c>
      <c r="Z415">
        <v>19.899999999999999</v>
      </c>
      <c r="AA415">
        <v>20</v>
      </c>
      <c r="AB415">
        <v>50</v>
      </c>
      <c r="AC415">
        <v>1767</v>
      </c>
      <c r="AD415" t="s">
        <v>699</v>
      </c>
      <c r="AE415">
        <v>1662</v>
      </c>
      <c r="AF415">
        <v>1845</v>
      </c>
      <c r="AG415">
        <v>1384</v>
      </c>
      <c r="AH415">
        <v>1.1037527593818991E-2</v>
      </c>
      <c r="AI415">
        <v>2.1316911416390341E-3</v>
      </c>
      <c r="AJ415">
        <v>0</v>
      </c>
      <c r="AK415">
        <v>5</v>
      </c>
      <c r="AL415">
        <v>91</v>
      </c>
      <c r="AM415">
        <f t="shared" si="69"/>
        <v>86</v>
      </c>
      <c r="AO415">
        <f t="shared" si="73"/>
        <v>0.52841781874039939</v>
      </c>
      <c r="AP415">
        <v>413</v>
      </c>
      <c r="AQ415">
        <f t="shared" si="66"/>
        <v>50.049739459971576</v>
      </c>
      <c r="AR415">
        <f t="shared" si="74"/>
        <v>2.950260540028423</v>
      </c>
      <c r="AS415">
        <f t="shared" si="72"/>
        <v>0.75414495499763134</v>
      </c>
      <c r="AU415" t="s">
        <v>221</v>
      </c>
      <c r="AX415" s="14">
        <v>0</v>
      </c>
      <c r="AY415">
        <f>IF(BA414="top",AY414+1,AY414)</f>
        <v>205</v>
      </c>
      <c r="AZ415" t="s">
        <v>351</v>
      </c>
      <c r="BA415" t="s">
        <v>0</v>
      </c>
    </row>
    <row r="416" spans="1:53" x14ac:dyDescent="0.35">
      <c r="A416" t="s">
        <v>352</v>
      </c>
      <c r="B416">
        <v>3</v>
      </c>
      <c r="C416" t="s">
        <v>5</v>
      </c>
      <c r="D416" t="s">
        <v>4</v>
      </c>
      <c r="E416" t="s">
        <v>3</v>
      </c>
      <c r="F416" s="1">
        <v>0.91</v>
      </c>
      <c r="G416" t="s">
        <v>356</v>
      </c>
      <c r="H416">
        <v>8</v>
      </c>
      <c r="I416">
        <v>5</v>
      </c>
      <c r="J416">
        <v>9</v>
      </c>
      <c r="K416">
        <v>41</v>
      </c>
      <c r="L416">
        <v>12</v>
      </c>
      <c r="M416">
        <f t="shared" si="70"/>
        <v>53</v>
      </c>
      <c r="N416" t="s">
        <v>21</v>
      </c>
      <c r="O416" t="s">
        <v>21</v>
      </c>
      <c r="P416" t="s">
        <v>21</v>
      </c>
      <c r="Q416">
        <f t="shared" si="75"/>
        <v>1.1757889935205839E-2</v>
      </c>
      <c r="R416" s="6">
        <f>159.5/2</f>
        <v>79.75</v>
      </c>
      <c r="S416">
        <v>0.72</v>
      </c>
      <c r="T416">
        <v>0.8</v>
      </c>
      <c r="U416">
        <v>1.02</v>
      </c>
      <c r="V416">
        <v>1</v>
      </c>
      <c r="W416">
        <v>1.35</v>
      </c>
      <c r="X416">
        <v>2.9</v>
      </c>
      <c r="Y416">
        <v>0.2</v>
      </c>
      <c r="Z416">
        <v>19.899999999999999</v>
      </c>
      <c r="AA416">
        <v>20</v>
      </c>
      <c r="AB416">
        <v>50</v>
      </c>
      <c r="AC416">
        <v>1812</v>
      </c>
      <c r="AD416" t="s">
        <v>700</v>
      </c>
      <c r="AE416">
        <v>2102</v>
      </c>
      <c r="AF416">
        <v>2067</v>
      </c>
      <c r="AG416">
        <v>1084</v>
      </c>
      <c r="AH416">
        <v>1.1037160288408209E-2</v>
      </c>
      <c r="AI416">
        <v>2.1382751247327162E-3</v>
      </c>
      <c r="AJ416">
        <v>1</v>
      </c>
      <c r="AK416">
        <v>2</v>
      </c>
      <c r="AL416">
        <v>204</v>
      </c>
      <c r="AM416">
        <f t="shared" si="69"/>
        <v>202</v>
      </c>
      <c r="AO416">
        <f t="shared" si="73"/>
        <v>1.2664576802507836</v>
      </c>
      <c r="AP416">
        <v>414</v>
      </c>
      <c r="AQ416">
        <f t="shared" si="66"/>
        <v>50.682109764789736</v>
      </c>
      <c r="AR416">
        <f t="shared" si="74"/>
        <v>2.3178902352102644</v>
      </c>
      <c r="AS416">
        <f t="shared" si="72"/>
        <v>0.80684248039914463</v>
      </c>
      <c r="AT416" s="5" t="s">
        <v>365</v>
      </c>
      <c r="AU416" t="s">
        <v>303</v>
      </c>
      <c r="AX416" s="13">
        <v>1</v>
      </c>
      <c r="AY416">
        <f>IF(BA415="top",AY415+1,AY3763)</f>
        <v>206</v>
      </c>
      <c r="AZ416" t="s">
        <v>352</v>
      </c>
      <c r="BA416" t="s">
        <v>5</v>
      </c>
    </row>
    <row r="417" spans="1:53" x14ac:dyDescent="0.35">
      <c r="A417" t="s">
        <v>352</v>
      </c>
      <c r="B417">
        <v>3</v>
      </c>
      <c r="C417" t="s">
        <v>0</v>
      </c>
      <c r="D417" t="s">
        <v>4</v>
      </c>
      <c r="E417" t="s">
        <v>3</v>
      </c>
      <c r="F417" s="1">
        <v>0.91</v>
      </c>
      <c r="G417" t="s">
        <v>356</v>
      </c>
      <c r="H417">
        <v>8</v>
      </c>
      <c r="I417">
        <v>5</v>
      </c>
      <c r="J417">
        <v>9</v>
      </c>
      <c r="K417">
        <v>41</v>
      </c>
      <c r="L417">
        <v>12</v>
      </c>
      <c r="M417">
        <f t="shared" si="70"/>
        <v>53</v>
      </c>
      <c r="N417" t="s">
        <v>21</v>
      </c>
      <c r="O417" t="s">
        <v>21</v>
      </c>
      <c r="P417" t="s">
        <v>21</v>
      </c>
      <c r="Q417">
        <f t="shared" si="75"/>
        <v>1.176310037932805E-2</v>
      </c>
      <c r="R417" s="6">
        <f>159.5/2</f>
        <v>79.75</v>
      </c>
      <c r="S417">
        <v>0.72</v>
      </c>
      <c r="T417">
        <v>0.8</v>
      </c>
      <c r="U417">
        <v>1.02</v>
      </c>
      <c r="V417">
        <v>1</v>
      </c>
      <c r="W417">
        <v>1.35</v>
      </c>
      <c r="X417">
        <v>2.9</v>
      </c>
      <c r="Y417">
        <v>0.2</v>
      </c>
      <c r="Z417">
        <v>19.899999999999999</v>
      </c>
      <c r="AA417">
        <v>20</v>
      </c>
      <c r="AB417">
        <v>50</v>
      </c>
      <c r="AC417">
        <v>1812</v>
      </c>
      <c r="AD417" t="s">
        <v>701</v>
      </c>
      <c r="AE417">
        <v>2102</v>
      </c>
      <c r="AF417">
        <v>2067</v>
      </c>
      <c r="AG417">
        <v>1084</v>
      </c>
      <c r="AH417">
        <v>1.1037160288408209E-2</v>
      </c>
      <c r="AI417">
        <v>2.1382751247327162E-3</v>
      </c>
      <c r="AJ417">
        <v>1</v>
      </c>
      <c r="AK417">
        <v>6</v>
      </c>
      <c r="AL417">
        <f>AK417+AL416-AK416</f>
        <v>208</v>
      </c>
      <c r="AM417">
        <f t="shared" si="69"/>
        <v>202</v>
      </c>
      <c r="AO417">
        <f t="shared" si="73"/>
        <v>1.2664576802507836</v>
      </c>
      <c r="AP417">
        <v>415</v>
      </c>
      <c r="AQ417">
        <f t="shared" si="66"/>
        <v>50.682109764789736</v>
      </c>
      <c r="AR417">
        <f t="shared" si="74"/>
        <v>2.3178902352102644</v>
      </c>
      <c r="AS417">
        <f t="shared" si="72"/>
        <v>0.80684248039914463</v>
      </c>
      <c r="AU417" t="s">
        <v>303</v>
      </c>
      <c r="AX417" s="13">
        <v>1</v>
      </c>
      <c r="AY417">
        <f>IF(BA416="top",AY416+1,AY416)</f>
        <v>206</v>
      </c>
      <c r="AZ417" t="s">
        <v>352</v>
      </c>
      <c r="BA417" t="s">
        <v>0</v>
      </c>
    </row>
    <row r="418" spans="1:53" x14ac:dyDescent="0.35">
      <c r="A418" t="s">
        <v>353</v>
      </c>
      <c r="B418">
        <v>3</v>
      </c>
      <c r="C418" t="s">
        <v>5</v>
      </c>
      <c r="D418" t="s">
        <v>4</v>
      </c>
      <c r="E418" t="s">
        <v>3</v>
      </c>
      <c r="F418" s="1">
        <v>0.91</v>
      </c>
      <c r="G418" t="s">
        <v>356</v>
      </c>
      <c r="H418">
        <v>8</v>
      </c>
      <c r="I418">
        <v>5</v>
      </c>
      <c r="J418">
        <v>14</v>
      </c>
      <c r="K418">
        <v>35</v>
      </c>
      <c r="L418">
        <v>20</v>
      </c>
      <c r="M418">
        <f t="shared" si="70"/>
        <v>55</v>
      </c>
      <c r="N418" t="s">
        <v>21</v>
      </c>
      <c r="O418" t="s">
        <v>21</v>
      </c>
      <c r="P418" t="s">
        <v>21</v>
      </c>
      <c r="Q418">
        <f t="shared" si="75"/>
        <v>1.1768324149394311E-2</v>
      </c>
      <c r="R418" s="6">
        <f>181.7/2</f>
        <v>90.85</v>
      </c>
      <c r="S418">
        <v>0.6</v>
      </c>
      <c r="T418">
        <v>0.75</v>
      </c>
      <c r="U418">
        <v>0.8</v>
      </c>
      <c r="V418">
        <v>0.8</v>
      </c>
      <c r="W418">
        <v>1.35</v>
      </c>
      <c r="X418">
        <v>2.7</v>
      </c>
      <c r="Y418">
        <v>0.2</v>
      </c>
      <c r="Z418">
        <v>19.899999999999999</v>
      </c>
      <c r="AA418">
        <v>20</v>
      </c>
      <c r="AB418">
        <v>50</v>
      </c>
      <c r="AC418">
        <v>1782</v>
      </c>
      <c r="AD418" t="s">
        <v>702</v>
      </c>
      <c r="AE418">
        <v>1898</v>
      </c>
      <c r="AF418">
        <v>1873</v>
      </c>
      <c r="AG418">
        <v>1145</v>
      </c>
      <c r="AH418">
        <v>1.1135982092893119E-2</v>
      </c>
      <c r="AI418">
        <v>2.1437759039588389E-3</v>
      </c>
      <c r="AJ418">
        <v>1</v>
      </c>
      <c r="AK418">
        <v>6</v>
      </c>
      <c r="AL418">
        <v>243</v>
      </c>
      <c r="AM418">
        <f t="shared" si="69"/>
        <v>237</v>
      </c>
      <c r="AO418">
        <f t="shared" si="73"/>
        <v>1.3043478260869565</v>
      </c>
      <c r="AP418">
        <v>416</v>
      </c>
      <c r="AQ418">
        <f t="shared" si="66"/>
        <v>52.545376589967127</v>
      </c>
      <c r="AR418">
        <f t="shared" si="74"/>
        <v>2.4546234100328705</v>
      </c>
      <c r="AS418">
        <f t="shared" si="72"/>
        <v>0.87726882949835649</v>
      </c>
      <c r="AT418" s="5" t="s">
        <v>364</v>
      </c>
      <c r="AU418" t="s">
        <v>303</v>
      </c>
      <c r="AX418" s="13">
        <v>1</v>
      </c>
      <c r="AY418">
        <f>IF(BA417="top",AY417+1,AY3765)</f>
        <v>207</v>
      </c>
      <c r="AZ418" t="s">
        <v>353</v>
      </c>
      <c r="BA418" t="s">
        <v>5</v>
      </c>
    </row>
    <row r="419" spans="1:53" x14ac:dyDescent="0.35">
      <c r="A419" t="s">
        <v>353</v>
      </c>
      <c r="B419">
        <v>3</v>
      </c>
      <c r="C419" t="s">
        <v>0</v>
      </c>
      <c r="D419" t="s">
        <v>4</v>
      </c>
      <c r="E419" t="s">
        <v>3</v>
      </c>
      <c r="F419" s="1">
        <v>0.91</v>
      </c>
      <c r="G419" t="s">
        <v>356</v>
      </c>
      <c r="H419">
        <v>8</v>
      </c>
      <c r="I419">
        <v>5</v>
      </c>
      <c r="J419">
        <v>14</v>
      </c>
      <c r="K419">
        <v>35</v>
      </c>
      <c r="L419">
        <v>20</v>
      </c>
      <c r="M419">
        <f t="shared" si="70"/>
        <v>55</v>
      </c>
      <c r="N419" t="s">
        <v>21</v>
      </c>
      <c r="O419" t="s">
        <v>21</v>
      </c>
      <c r="P419" t="s">
        <v>21</v>
      </c>
      <c r="Q419">
        <f t="shared" si="75"/>
        <v>1.1773561279486318E-2</v>
      </c>
      <c r="R419" s="6">
        <f>181.7/2</f>
        <v>90.85</v>
      </c>
      <c r="S419">
        <v>0.6</v>
      </c>
      <c r="T419">
        <v>0.75</v>
      </c>
      <c r="U419">
        <v>0.8</v>
      </c>
      <c r="V419">
        <v>0.8</v>
      </c>
      <c r="W419">
        <v>1.35</v>
      </c>
      <c r="X419">
        <v>2.7</v>
      </c>
      <c r="Y419">
        <v>0.2</v>
      </c>
      <c r="Z419">
        <v>19.899999999999999</v>
      </c>
      <c r="AA419">
        <v>20</v>
      </c>
      <c r="AB419">
        <v>50</v>
      </c>
      <c r="AC419">
        <v>1782</v>
      </c>
      <c r="AD419" t="s">
        <v>703</v>
      </c>
      <c r="AE419">
        <v>1898</v>
      </c>
      <c r="AF419">
        <v>1873</v>
      </c>
      <c r="AG419">
        <v>1145</v>
      </c>
      <c r="AH419">
        <v>1.1135982092893119E-2</v>
      </c>
      <c r="AI419">
        <v>2.1437759039588389E-3</v>
      </c>
      <c r="AJ419">
        <v>1</v>
      </c>
      <c r="AK419">
        <v>6</v>
      </c>
      <c r="AL419">
        <f>AK419+AL418-AK418</f>
        <v>243</v>
      </c>
      <c r="AM419">
        <f t="shared" si="69"/>
        <v>237</v>
      </c>
      <c r="AO419">
        <f t="shared" si="73"/>
        <v>1.3043478260869565</v>
      </c>
      <c r="AP419">
        <v>417</v>
      </c>
      <c r="AQ419">
        <f t="shared" si="66"/>
        <v>52.545376589967127</v>
      </c>
      <c r="AR419">
        <f t="shared" si="74"/>
        <v>2.4546234100328705</v>
      </c>
      <c r="AS419">
        <f t="shared" si="72"/>
        <v>0.87726882949835649</v>
      </c>
      <c r="AU419" t="s">
        <v>303</v>
      </c>
      <c r="AX419" s="13">
        <v>1</v>
      </c>
      <c r="AY419">
        <f>IF(BA418="top",AY418+1,AY418)</f>
        <v>207</v>
      </c>
      <c r="AZ419" t="s">
        <v>353</v>
      </c>
      <c r="BA419" t="s">
        <v>0</v>
      </c>
    </row>
    <row r="420" spans="1:53" x14ac:dyDescent="0.35">
      <c r="A420" t="s">
        <v>354</v>
      </c>
      <c r="B420">
        <v>3</v>
      </c>
      <c r="C420" t="s">
        <v>5</v>
      </c>
      <c r="D420" t="s">
        <v>4</v>
      </c>
      <c r="E420" t="s">
        <v>3</v>
      </c>
      <c r="F420" s="1">
        <v>0.92</v>
      </c>
      <c r="G420" t="s">
        <v>357</v>
      </c>
      <c r="H420">
        <v>5</v>
      </c>
      <c r="I420">
        <v>4</v>
      </c>
      <c r="J420">
        <v>8</v>
      </c>
      <c r="K420">
        <v>37</v>
      </c>
      <c r="L420">
        <v>10</v>
      </c>
      <c r="M420">
        <f t="shared" si="70"/>
        <v>47</v>
      </c>
      <c r="N420" t="s">
        <v>21</v>
      </c>
      <c r="O420" t="s">
        <v>21</v>
      </c>
      <c r="P420" t="s">
        <v>21</v>
      </c>
      <c r="Q420">
        <f t="shared" si="75"/>
        <v>1.1778811803772932E-2</v>
      </c>
      <c r="R420" s="6">
        <f>182.8/2</f>
        <v>91.4</v>
      </c>
      <c r="S420">
        <v>0.7</v>
      </c>
      <c r="T420">
        <v>0.8</v>
      </c>
      <c r="U420">
        <v>1</v>
      </c>
      <c r="V420">
        <v>1.05</v>
      </c>
      <c r="W420">
        <v>1.55</v>
      </c>
      <c r="X420">
        <v>3.1</v>
      </c>
      <c r="Y420">
        <v>0.2</v>
      </c>
      <c r="Z420">
        <v>19.899999999999999</v>
      </c>
      <c r="AA420">
        <v>20</v>
      </c>
      <c r="AB420">
        <v>50</v>
      </c>
      <c r="AC420">
        <v>1634</v>
      </c>
      <c r="AD420" t="s">
        <v>704</v>
      </c>
      <c r="AE420">
        <v>1600</v>
      </c>
      <c r="AF420">
        <v>1594</v>
      </c>
      <c r="AG420">
        <v>877</v>
      </c>
      <c r="AH420">
        <v>1.086431675519073E-2</v>
      </c>
      <c r="AI420">
        <v>2.1476510067114092E-3</v>
      </c>
      <c r="AJ420">
        <v>1</v>
      </c>
      <c r="AK420">
        <v>5</v>
      </c>
      <c r="AL420">
        <v>354</v>
      </c>
      <c r="AM420">
        <f t="shared" si="69"/>
        <v>349</v>
      </c>
      <c r="AO420">
        <f t="shared" si="73"/>
        <v>1.9091903719912471</v>
      </c>
      <c r="AP420">
        <v>418</v>
      </c>
      <c r="AQ420">
        <f t="shared" si="66"/>
        <v>45.116510067114092</v>
      </c>
      <c r="AR420">
        <f t="shared" si="74"/>
        <v>1.8834899328859058</v>
      </c>
      <c r="AS420">
        <f t="shared" si="72"/>
        <v>0.81165100671140933</v>
      </c>
      <c r="AT420" s="5" t="s">
        <v>363</v>
      </c>
      <c r="AU420" t="s">
        <v>303</v>
      </c>
      <c r="AX420" s="13">
        <v>1</v>
      </c>
      <c r="AY420">
        <f>IF(BA419="top",AY419+1,AY3767)</f>
        <v>208</v>
      </c>
      <c r="AZ420" t="s">
        <v>354</v>
      </c>
      <c r="BA420" t="s">
        <v>5</v>
      </c>
    </row>
    <row r="421" spans="1:53" x14ac:dyDescent="0.35">
      <c r="A421" t="s">
        <v>354</v>
      </c>
      <c r="B421">
        <v>3</v>
      </c>
      <c r="C421" t="s">
        <v>0</v>
      </c>
      <c r="D421" t="s">
        <v>4</v>
      </c>
      <c r="E421" t="s">
        <v>3</v>
      </c>
      <c r="F421" s="1">
        <v>0.92</v>
      </c>
      <c r="G421" t="s">
        <v>357</v>
      </c>
      <c r="H421">
        <v>5</v>
      </c>
      <c r="I421">
        <v>4</v>
      </c>
      <c r="J421">
        <v>8</v>
      </c>
      <c r="K421">
        <v>37</v>
      </c>
      <c r="L421">
        <v>10</v>
      </c>
      <c r="M421">
        <f t="shared" si="70"/>
        <v>47</v>
      </c>
      <c r="N421" t="s">
        <v>21</v>
      </c>
      <c r="O421" t="s">
        <v>21</v>
      </c>
      <c r="P421" t="s">
        <v>21</v>
      </c>
      <c r="Q421">
        <f t="shared" si="75"/>
        <v>1.178407575651041E-2</v>
      </c>
      <c r="R421" s="6">
        <f>182.8/2</f>
        <v>91.4</v>
      </c>
      <c r="S421">
        <v>0.7</v>
      </c>
      <c r="T421">
        <v>0.8</v>
      </c>
      <c r="U421">
        <v>1</v>
      </c>
      <c r="V421">
        <v>1.05</v>
      </c>
      <c r="W421">
        <v>1.55</v>
      </c>
      <c r="X421">
        <v>3.1</v>
      </c>
      <c r="Y421">
        <v>0.2</v>
      </c>
      <c r="Z421">
        <v>19.899999999999999</v>
      </c>
      <c r="AA421">
        <v>20</v>
      </c>
      <c r="AB421">
        <v>50</v>
      </c>
      <c r="AC421">
        <v>1634</v>
      </c>
      <c r="AD421" t="s">
        <v>705</v>
      </c>
      <c r="AE421">
        <v>1600</v>
      </c>
      <c r="AF421">
        <v>1594</v>
      </c>
      <c r="AG421">
        <v>877</v>
      </c>
      <c r="AH421">
        <v>1.086431675519073E-2</v>
      </c>
      <c r="AI421">
        <v>2.1476510067114092E-3</v>
      </c>
      <c r="AJ421">
        <v>1</v>
      </c>
      <c r="AK421">
        <v>4</v>
      </c>
      <c r="AL421">
        <f>AK421+AL420-AK420</f>
        <v>353</v>
      </c>
      <c r="AM421">
        <f t="shared" si="69"/>
        <v>349</v>
      </c>
      <c r="AO421">
        <f t="shared" si="73"/>
        <v>1.9091903719912471</v>
      </c>
      <c r="AP421">
        <v>419</v>
      </c>
      <c r="AQ421">
        <f t="shared" si="66"/>
        <v>45.116510067114092</v>
      </c>
      <c r="AR421">
        <f t="shared" si="74"/>
        <v>1.8834899328859058</v>
      </c>
      <c r="AS421">
        <f t="shared" si="72"/>
        <v>0.81165100671140933</v>
      </c>
      <c r="AU421" t="s">
        <v>303</v>
      </c>
      <c r="AX421" s="13">
        <v>1</v>
      </c>
      <c r="AY421">
        <f>IF(BA420="top",AY420+1,AY420)</f>
        <v>208</v>
      </c>
      <c r="AZ421" t="s">
        <v>354</v>
      </c>
      <c r="BA421" t="s">
        <v>0</v>
      </c>
    </row>
    <row r="422" spans="1:53" x14ac:dyDescent="0.35">
      <c r="A422" t="s">
        <v>355</v>
      </c>
      <c r="B422">
        <v>1</v>
      </c>
      <c r="C422" t="s">
        <v>5</v>
      </c>
      <c r="D422" t="s">
        <v>4</v>
      </c>
      <c r="E422" t="s">
        <v>3</v>
      </c>
      <c r="F422" s="1">
        <v>0.93</v>
      </c>
      <c r="G422" t="s">
        <v>360</v>
      </c>
      <c r="H422">
        <v>7</v>
      </c>
      <c r="I422">
        <v>5</v>
      </c>
      <c r="J422">
        <v>9</v>
      </c>
      <c r="K422">
        <v>44</v>
      </c>
      <c r="L422">
        <v>10</v>
      </c>
      <c r="M422">
        <f t="shared" si="70"/>
        <v>54</v>
      </c>
      <c r="N422" t="s">
        <v>21</v>
      </c>
      <c r="O422" t="s">
        <v>21</v>
      </c>
      <c r="P422" t="s">
        <v>21</v>
      </c>
      <c r="Q422">
        <f t="shared" si="75"/>
        <v>1.1789353172042607E-2</v>
      </c>
      <c r="R422" s="6">
        <f>180.5/2</f>
        <v>90.25</v>
      </c>
      <c r="S422">
        <v>0.68</v>
      </c>
      <c r="T422">
        <v>0.74</v>
      </c>
      <c r="U422">
        <v>0.85</v>
      </c>
      <c r="V422">
        <v>0.9</v>
      </c>
      <c r="W422">
        <v>1.4</v>
      </c>
      <c r="X422">
        <v>2.5</v>
      </c>
      <c r="Y422">
        <v>3.1</v>
      </c>
      <c r="Z422">
        <v>19.899999999999999</v>
      </c>
      <c r="AA422">
        <v>19.899999999999999</v>
      </c>
      <c r="AB422">
        <v>17</v>
      </c>
      <c r="AC422">
        <v>1693</v>
      </c>
      <c r="AD422" t="s">
        <v>706</v>
      </c>
      <c r="AE422">
        <v>1838</v>
      </c>
      <c r="AF422">
        <v>1821</v>
      </c>
      <c r="AG422">
        <v>975</v>
      </c>
      <c r="AH422">
        <v>1.127254509018036E-2</v>
      </c>
      <c r="AI422">
        <v>1.8867924528301889E-3</v>
      </c>
      <c r="AJ422">
        <v>1</v>
      </c>
      <c r="AK422">
        <v>2</v>
      </c>
      <c r="AL422">
        <v>371</v>
      </c>
      <c r="AM422">
        <f t="shared" si="69"/>
        <v>369</v>
      </c>
      <c r="AO422">
        <f t="shared" si="73"/>
        <v>2.0443213296398892</v>
      </c>
      <c r="AP422">
        <v>420</v>
      </c>
      <c r="AQ422">
        <f t="shared" si="66"/>
        <v>52.160377358490564</v>
      </c>
      <c r="AR422">
        <f t="shared" si="74"/>
        <v>1.8396226415094341</v>
      </c>
      <c r="AS422">
        <f t="shared" si="72"/>
        <v>0.81603773584905659</v>
      </c>
      <c r="AT422" s="5" t="s">
        <v>358</v>
      </c>
      <c r="AU422" t="s">
        <v>303</v>
      </c>
      <c r="AX422" s="9" t="s">
        <v>455</v>
      </c>
      <c r="AY422">
        <f>IF(BA421="top",AY421+1,AY3769)</f>
        <v>209</v>
      </c>
      <c r="AZ422" t="s">
        <v>355</v>
      </c>
      <c r="BA422" t="s">
        <v>5</v>
      </c>
    </row>
    <row r="423" spans="1:53" x14ac:dyDescent="0.35">
      <c r="A423" t="s">
        <v>355</v>
      </c>
      <c r="B423">
        <v>1</v>
      </c>
      <c r="C423" t="s">
        <v>0</v>
      </c>
      <c r="D423" t="s">
        <v>4</v>
      </c>
      <c r="E423" t="s">
        <v>3</v>
      </c>
      <c r="F423" s="1">
        <v>0.93</v>
      </c>
      <c r="G423" t="s">
        <v>360</v>
      </c>
      <c r="H423">
        <v>7</v>
      </c>
      <c r="I423">
        <v>5</v>
      </c>
      <c r="J423">
        <v>9</v>
      </c>
      <c r="K423">
        <v>44</v>
      </c>
      <c r="L423">
        <v>10</v>
      </c>
      <c r="M423">
        <f t="shared" si="70"/>
        <v>54</v>
      </c>
      <c r="N423" t="s">
        <v>21</v>
      </c>
      <c r="O423" t="s">
        <v>21</v>
      </c>
      <c r="P423" t="s">
        <v>21</v>
      </c>
      <c r="Q423">
        <f t="shared" si="75"/>
        <v>1.1794644084801235E-2</v>
      </c>
      <c r="R423" s="6">
        <f>180.5/2</f>
        <v>90.25</v>
      </c>
      <c r="S423">
        <v>0.68</v>
      </c>
      <c r="T423">
        <v>0.74</v>
      </c>
      <c r="U423">
        <v>0.85</v>
      </c>
      <c r="V423">
        <v>0.9</v>
      </c>
      <c r="W423">
        <v>1.4</v>
      </c>
      <c r="X423">
        <v>2.5</v>
      </c>
      <c r="Y423">
        <v>3.1</v>
      </c>
      <c r="Z423">
        <v>19.899999999999999</v>
      </c>
      <c r="AA423">
        <v>19.899999999999999</v>
      </c>
      <c r="AB423">
        <v>17</v>
      </c>
      <c r="AC423">
        <v>1693</v>
      </c>
      <c r="AD423" t="s">
        <v>707</v>
      </c>
      <c r="AE423">
        <v>1838</v>
      </c>
      <c r="AF423">
        <v>1821</v>
      </c>
      <c r="AG423">
        <v>975</v>
      </c>
      <c r="AH423">
        <v>1.127254509018036E-2</v>
      </c>
      <c r="AI423">
        <v>1.8867924528301889E-3</v>
      </c>
      <c r="AJ423">
        <v>1</v>
      </c>
      <c r="AK423">
        <v>8</v>
      </c>
      <c r="AL423">
        <f>AK423+AL422-AK422</f>
        <v>377</v>
      </c>
      <c r="AM423">
        <f t="shared" si="69"/>
        <v>369</v>
      </c>
      <c r="AO423">
        <f t="shared" si="73"/>
        <v>2.0443213296398892</v>
      </c>
      <c r="AP423">
        <v>421</v>
      </c>
      <c r="AQ423">
        <f t="shared" si="66"/>
        <v>52.160377358490564</v>
      </c>
      <c r="AR423">
        <f t="shared" si="74"/>
        <v>1.8396226415094341</v>
      </c>
      <c r="AS423">
        <f t="shared" si="72"/>
        <v>0.81603773584905659</v>
      </c>
      <c r="AU423" t="s">
        <v>303</v>
      </c>
      <c r="AX423" s="9" t="s">
        <v>455</v>
      </c>
      <c r="AY423">
        <f>IF(BA422="top",AY422+1,AY422)</f>
        <v>209</v>
      </c>
      <c r="AZ423" t="s">
        <v>355</v>
      </c>
      <c r="BA423" t="s">
        <v>0</v>
      </c>
    </row>
    <row r="424" spans="1:53" x14ac:dyDescent="0.35">
      <c r="A424" t="s">
        <v>359</v>
      </c>
      <c r="B424">
        <v>3</v>
      </c>
      <c r="C424" t="s">
        <v>5</v>
      </c>
      <c r="D424" t="s">
        <v>4</v>
      </c>
      <c r="E424" t="s">
        <v>3</v>
      </c>
      <c r="F424" s="1">
        <v>0.93</v>
      </c>
      <c r="G424" t="s">
        <v>361</v>
      </c>
      <c r="H424">
        <v>7</v>
      </c>
      <c r="I424">
        <v>5</v>
      </c>
      <c r="J424">
        <v>9</v>
      </c>
      <c r="K424">
        <v>30</v>
      </c>
      <c r="L424">
        <v>10</v>
      </c>
      <c r="M424">
        <f t="shared" si="70"/>
        <v>40</v>
      </c>
      <c r="N424" t="s">
        <v>21</v>
      </c>
      <c r="O424" t="s">
        <v>21</v>
      </c>
      <c r="P424" t="s">
        <v>21</v>
      </c>
      <c r="Q424">
        <f t="shared" si="75"/>
        <v>1.1799948529306048E-2</v>
      </c>
      <c r="R424" s="6">
        <f>169.8/2</f>
        <v>84.9</v>
      </c>
      <c r="S424">
        <v>0.76</v>
      </c>
      <c r="T424">
        <v>0.91</v>
      </c>
      <c r="U424">
        <v>0.94</v>
      </c>
      <c r="V424">
        <v>0.98</v>
      </c>
      <c r="W424">
        <v>1.3</v>
      </c>
      <c r="X424">
        <v>2.5</v>
      </c>
      <c r="Y424">
        <v>0.2</v>
      </c>
      <c r="Z424">
        <v>19.899999999999999</v>
      </c>
      <c r="AA424">
        <v>20</v>
      </c>
      <c r="AB424">
        <v>58</v>
      </c>
      <c r="AC424">
        <v>1799</v>
      </c>
      <c r="AD424" t="s">
        <v>708</v>
      </c>
      <c r="AE424">
        <v>1959</v>
      </c>
      <c r="AF424">
        <v>1930</v>
      </c>
      <c r="AG424">
        <v>593</v>
      </c>
      <c r="AH424">
        <v>1.106170094496943E-2</v>
      </c>
      <c r="AI424">
        <v>2.171395483497394E-3</v>
      </c>
      <c r="AJ424">
        <v>1</v>
      </c>
      <c r="AK424">
        <v>10</v>
      </c>
      <c r="AL424">
        <v>228</v>
      </c>
      <c r="AM424">
        <f t="shared" si="69"/>
        <v>218</v>
      </c>
      <c r="AO424">
        <f t="shared" si="73"/>
        <v>1.2838633686690224</v>
      </c>
      <c r="AP424">
        <v>422</v>
      </c>
      <c r="AQ424">
        <f t="shared" si="66"/>
        <v>38.712362478286046</v>
      </c>
      <c r="AR424">
        <f t="shared" si="74"/>
        <v>1.2876375217139546</v>
      </c>
      <c r="AS424">
        <f t="shared" si="72"/>
        <v>0.87123624782860465</v>
      </c>
      <c r="AT424" s="5" t="s">
        <v>362</v>
      </c>
      <c r="AU424" t="s">
        <v>303</v>
      </c>
      <c r="AX424" s="9" t="s">
        <v>451</v>
      </c>
      <c r="AY424">
        <f>IF(BA423="top",AY423+1,AY3771)</f>
        <v>210</v>
      </c>
      <c r="AZ424" t="s">
        <v>359</v>
      </c>
      <c r="BA424" t="s">
        <v>5</v>
      </c>
    </row>
    <row r="425" spans="1:53" x14ac:dyDescent="0.35">
      <c r="A425" t="s">
        <v>359</v>
      </c>
      <c r="B425">
        <v>3</v>
      </c>
      <c r="C425" t="s">
        <v>0</v>
      </c>
      <c r="D425" t="s">
        <v>4</v>
      </c>
      <c r="E425" t="s">
        <v>3</v>
      </c>
      <c r="F425" s="1">
        <v>0.93</v>
      </c>
      <c r="G425" t="s">
        <v>361</v>
      </c>
      <c r="H425">
        <v>7</v>
      </c>
      <c r="I425">
        <v>5</v>
      </c>
      <c r="J425">
        <v>9</v>
      </c>
      <c r="K425">
        <v>30</v>
      </c>
      <c r="L425">
        <v>10</v>
      </c>
      <c r="M425">
        <f t="shared" si="70"/>
        <v>40</v>
      </c>
      <c r="N425" t="s">
        <v>21</v>
      </c>
      <c r="O425" t="s">
        <v>21</v>
      </c>
      <c r="P425" t="s">
        <v>21</v>
      </c>
      <c r="Q425">
        <f t="shared" si="75"/>
        <v>1.1805371451342235E-2</v>
      </c>
      <c r="R425" s="6">
        <f>169.8/2</f>
        <v>84.9</v>
      </c>
      <c r="S425">
        <v>0.76</v>
      </c>
      <c r="T425">
        <v>0.91</v>
      </c>
      <c r="U425">
        <v>0.94</v>
      </c>
      <c r="V425">
        <v>0.98</v>
      </c>
      <c r="W425">
        <v>1.3</v>
      </c>
      <c r="X425">
        <v>2.5</v>
      </c>
      <c r="Y425">
        <v>0.2</v>
      </c>
      <c r="Z425">
        <v>19.899999999999999</v>
      </c>
      <c r="AA425">
        <v>20</v>
      </c>
      <c r="AB425">
        <v>58</v>
      </c>
      <c r="AC425">
        <v>1799</v>
      </c>
      <c r="AD425" t="s">
        <v>709</v>
      </c>
      <c r="AE425">
        <v>1959</v>
      </c>
      <c r="AF425">
        <v>1930</v>
      </c>
      <c r="AG425">
        <v>593</v>
      </c>
      <c r="AH425">
        <v>1.106170094496943E-2</v>
      </c>
      <c r="AI425">
        <v>2.171395483497394E-3</v>
      </c>
      <c r="AJ425">
        <v>1</v>
      </c>
      <c r="AK425">
        <v>6</v>
      </c>
      <c r="AL425">
        <f>AK425+AL424-AK424</f>
        <v>224</v>
      </c>
      <c r="AM425">
        <f t="shared" si="69"/>
        <v>218</v>
      </c>
      <c r="AO425">
        <f t="shared" si="73"/>
        <v>1.2838633686690224</v>
      </c>
      <c r="AP425">
        <v>423</v>
      </c>
      <c r="AQ425">
        <f t="shared" si="66"/>
        <v>38.712362478286046</v>
      </c>
      <c r="AR425">
        <f t="shared" si="74"/>
        <v>1.2876375217139546</v>
      </c>
      <c r="AS425">
        <f t="shared" si="72"/>
        <v>0.87123624782860465</v>
      </c>
      <c r="AU425" t="s">
        <v>303</v>
      </c>
      <c r="AX425" s="9" t="s">
        <v>451</v>
      </c>
      <c r="AY425">
        <f>IF(BA424="top",AY424+1,AY424)</f>
        <v>210</v>
      </c>
      <c r="AZ425" t="s">
        <v>359</v>
      </c>
      <c r="BA425" t="s">
        <v>0</v>
      </c>
    </row>
    <row r="426" spans="1:53" x14ac:dyDescent="0.35">
      <c r="A426" t="s">
        <v>416</v>
      </c>
      <c r="B426">
        <v>1</v>
      </c>
      <c r="C426" t="s">
        <v>5</v>
      </c>
      <c r="D426" t="s">
        <v>4</v>
      </c>
      <c r="E426" t="s">
        <v>3</v>
      </c>
      <c r="F426" s="1">
        <v>0.93</v>
      </c>
      <c r="G426" t="s">
        <v>423</v>
      </c>
      <c r="H426">
        <v>9</v>
      </c>
      <c r="I426">
        <v>4</v>
      </c>
      <c r="J426">
        <v>8</v>
      </c>
      <c r="K426">
        <v>38</v>
      </c>
      <c r="L426">
        <v>11</v>
      </c>
      <c r="M426">
        <f t="shared" si="70"/>
        <v>49</v>
      </c>
      <c r="N426">
        <v>76</v>
      </c>
      <c r="O426" t="s">
        <v>21</v>
      </c>
      <c r="P426" t="s">
        <v>21</v>
      </c>
      <c r="Q426">
        <f t="shared" si="75"/>
        <v>1.1810808242744246E-2</v>
      </c>
      <c r="R426" s="6">
        <v>83.5</v>
      </c>
      <c r="S426">
        <v>0.8</v>
      </c>
      <c r="T426">
        <v>1.2</v>
      </c>
      <c r="U426">
        <v>1.2</v>
      </c>
      <c r="V426">
        <v>1.1499999999999999</v>
      </c>
      <c r="W426">
        <v>1.2</v>
      </c>
      <c r="X426">
        <v>3.3</v>
      </c>
      <c r="Y426">
        <v>3.1</v>
      </c>
      <c r="Z426">
        <v>19.899999999999999</v>
      </c>
      <c r="AA426">
        <v>19.899999999999999</v>
      </c>
      <c r="AB426">
        <v>10</v>
      </c>
      <c r="AC426">
        <v>1711</v>
      </c>
      <c r="AD426" t="s">
        <v>710</v>
      </c>
      <c r="AE426">
        <v>1799</v>
      </c>
      <c r="AF426">
        <v>1781</v>
      </c>
      <c r="AG426">
        <v>2189</v>
      </c>
      <c r="AH426">
        <v>1.163062536528346E-2</v>
      </c>
      <c r="AI426">
        <v>1.9527617630649061E-3</v>
      </c>
      <c r="AJ426">
        <v>1</v>
      </c>
      <c r="AK426">
        <v>4</v>
      </c>
      <c r="AL426">
        <v>201</v>
      </c>
      <c r="AM426">
        <f t="shared" si="69"/>
        <v>197</v>
      </c>
      <c r="AO426">
        <f t="shared" si="73"/>
        <v>1.1796407185628743</v>
      </c>
      <c r="AP426">
        <v>424</v>
      </c>
      <c r="AQ426">
        <f t="shared" si="66"/>
        <v>44.725404500650924</v>
      </c>
      <c r="AR426">
        <f t="shared" si="74"/>
        <v>4.2745954993490791</v>
      </c>
      <c r="AS426">
        <f t="shared" si="72"/>
        <v>0.61140040915008376</v>
      </c>
      <c r="AU426" t="s">
        <v>303</v>
      </c>
      <c r="AX426" s="13">
        <v>1</v>
      </c>
      <c r="AY426">
        <f>IF(BA425="top",AY425+1,AY3773)</f>
        <v>211</v>
      </c>
      <c r="AZ426" t="s">
        <v>416</v>
      </c>
      <c r="BA426" t="s">
        <v>5</v>
      </c>
    </row>
    <row r="427" spans="1:53" x14ac:dyDescent="0.35">
      <c r="A427" t="s">
        <v>416</v>
      </c>
      <c r="B427">
        <v>1</v>
      </c>
      <c r="C427" t="s">
        <v>0</v>
      </c>
      <c r="D427" t="s">
        <v>4</v>
      </c>
      <c r="E427" t="s">
        <v>3</v>
      </c>
      <c r="F427" s="1">
        <v>0.93</v>
      </c>
      <c r="G427" t="s">
        <v>423</v>
      </c>
      <c r="H427">
        <v>9</v>
      </c>
      <c r="I427">
        <v>4</v>
      </c>
      <c r="J427">
        <v>8</v>
      </c>
      <c r="K427">
        <v>38</v>
      </c>
      <c r="L427">
        <v>11</v>
      </c>
      <c r="M427">
        <f t="shared" si="70"/>
        <v>49</v>
      </c>
      <c r="N427">
        <v>76</v>
      </c>
      <c r="O427" t="s">
        <v>21</v>
      </c>
      <c r="P427" t="s">
        <v>21</v>
      </c>
      <c r="Q427">
        <f t="shared" si="75"/>
        <v>1.1816258938983601E-2</v>
      </c>
      <c r="R427" s="6">
        <v>83.5</v>
      </c>
      <c r="S427">
        <v>0.8</v>
      </c>
      <c r="T427">
        <v>1.2</v>
      </c>
      <c r="U427">
        <v>1.2</v>
      </c>
      <c r="V427">
        <v>1.1499999999999999</v>
      </c>
      <c r="W427">
        <v>1.2</v>
      </c>
      <c r="X427">
        <v>3.3</v>
      </c>
      <c r="Y427">
        <v>3.1</v>
      </c>
      <c r="Z427">
        <v>19.899999999999999</v>
      </c>
      <c r="AA427">
        <v>19.899999999999999</v>
      </c>
      <c r="AB427">
        <v>10</v>
      </c>
      <c r="AC427">
        <v>1711</v>
      </c>
      <c r="AD427" t="s">
        <v>711</v>
      </c>
      <c r="AE427">
        <v>1799</v>
      </c>
      <c r="AF427">
        <v>1781</v>
      </c>
      <c r="AG427">
        <v>2189</v>
      </c>
      <c r="AH427">
        <v>1.163062536528346E-2</v>
      </c>
      <c r="AI427">
        <v>1.9527617630649061E-3</v>
      </c>
      <c r="AJ427">
        <v>1</v>
      </c>
      <c r="AK427">
        <v>5</v>
      </c>
      <c r="AL427">
        <f>AK427+AL426-AK426</f>
        <v>202</v>
      </c>
      <c r="AM427">
        <f t="shared" si="69"/>
        <v>197</v>
      </c>
      <c r="AO427">
        <f t="shared" si="73"/>
        <v>1.1796407185628743</v>
      </c>
      <c r="AP427">
        <v>425</v>
      </c>
      <c r="AQ427">
        <f t="shared" si="66"/>
        <v>44.725404500650924</v>
      </c>
      <c r="AR427">
        <f t="shared" si="74"/>
        <v>4.2745954993490791</v>
      </c>
      <c r="AS427">
        <f t="shared" si="72"/>
        <v>0.61140040915008376</v>
      </c>
      <c r="AU427" t="s">
        <v>303</v>
      </c>
      <c r="AX427" s="13">
        <v>1</v>
      </c>
      <c r="AY427">
        <f>IF(BA426="top",AY426+1,AY426)</f>
        <v>211</v>
      </c>
      <c r="AZ427" t="s">
        <v>416</v>
      </c>
      <c r="BA427" t="s">
        <v>0</v>
      </c>
    </row>
    <row r="428" spans="1:53" x14ac:dyDescent="0.35">
      <c r="A428" t="s">
        <v>421</v>
      </c>
      <c r="B428">
        <v>1</v>
      </c>
      <c r="C428" t="s">
        <v>5</v>
      </c>
      <c r="D428" t="s">
        <v>4</v>
      </c>
      <c r="E428" t="s">
        <v>3</v>
      </c>
      <c r="F428" s="1">
        <v>0.93</v>
      </c>
      <c r="G428" t="s">
        <v>423</v>
      </c>
      <c r="H428">
        <v>9</v>
      </c>
      <c r="I428">
        <v>4</v>
      </c>
      <c r="J428">
        <v>8</v>
      </c>
      <c r="K428">
        <v>38</v>
      </c>
      <c r="L428">
        <v>11</v>
      </c>
      <c r="M428">
        <f t="shared" si="70"/>
        <v>49</v>
      </c>
      <c r="N428">
        <v>76</v>
      </c>
      <c r="O428" t="s">
        <v>21</v>
      </c>
      <c r="P428" t="s">
        <v>21</v>
      </c>
      <c r="Q428">
        <f t="shared" si="75"/>
        <v>1.1821723575622542E-2</v>
      </c>
      <c r="R428" s="6">
        <v>83.5</v>
      </c>
      <c r="S428">
        <v>0.8</v>
      </c>
      <c r="T428">
        <v>1.2</v>
      </c>
      <c r="U428">
        <v>1.2</v>
      </c>
      <c r="V428">
        <v>1.1499999999999999</v>
      </c>
      <c r="W428">
        <v>1.2</v>
      </c>
      <c r="X428">
        <v>3.3</v>
      </c>
      <c r="Y428">
        <v>3.1</v>
      </c>
      <c r="Z428">
        <v>19.899999999999999</v>
      </c>
      <c r="AA428">
        <v>19.899999999999999</v>
      </c>
      <c r="AB428">
        <v>10</v>
      </c>
      <c r="AC428">
        <v>1711</v>
      </c>
      <c r="AF428">
        <v>1781</v>
      </c>
      <c r="AG428">
        <v>3150</v>
      </c>
      <c r="AH428">
        <v>1.163062536528346E-2</v>
      </c>
      <c r="AI428">
        <v>1.9527617630649061E-3</v>
      </c>
      <c r="AJ428">
        <v>1</v>
      </c>
      <c r="AK428">
        <v>54</v>
      </c>
      <c r="AL428">
        <v>172</v>
      </c>
      <c r="AM428">
        <f t="shared" si="69"/>
        <v>118</v>
      </c>
      <c r="AO428">
        <f t="shared" si="73"/>
        <v>0.70658682634730541</v>
      </c>
      <c r="AP428">
        <v>426</v>
      </c>
      <c r="AQ428">
        <f t="shared" si="66"/>
        <v>42.84880044634555</v>
      </c>
      <c r="AR428">
        <f t="shared" si="74"/>
        <v>6.1511995536544539</v>
      </c>
      <c r="AS428">
        <f t="shared" si="72"/>
        <v>0.44080004057686784</v>
      </c>
      <c r="AU428" t="s">
        <v>303</v>
      </c>
      <c r="AV428" t="s">
        <v>432</v>
      </c>
      <c r="AX428" s="9" t="s">
        <v>452</v>
      </c>
      <c r="AY428">
        <f>IF(BA427="top",AY427+1,AY3775)</f>
        <v>212</v>
      </c>
      <c r="AZ428" t="s">
        <v>421</v>
      </c>
      <c r="BA428" t="s">
        <v>5</v>
      </c>
    </row>
    <row r="429" spans="1:53" x14ac:dyDescent="0.35">
      <c r="A429" t="s">
        <v>421</v>
      </c>
      <c r="B429">
        <v>1</v>
      </c>
      <c r="C429" t="s">
        <v>0</v>
      </c>
      <c r="D429" t="s">
        <v>4</v>
      </c>
      <c r="E429" t="s">
        <v>3</v>
      </c>
      <c r="F429" s="1">
        <v>0.93</v>
      </c>
      <c r="G429" t="s">
        <v>423</v>
      </c>
      <c r="H429">
        <v>9</v>
      </c>
      <c r="I429">
        <v>4</v>
      </c>
      <c r="J429">
        <v>8</v>
      </c>
      <c r="K429">
        <v>38</v>
      </c>
      <c r="L429">
        <v>11</v>
      </c>
      <c r="M429">
        <f t="shared" si="70"/>
        <v>49</v>
      </c>
      <c r="N429">
        <v>76</v>
      </c>
      <c r="O429" t="s">
        <v>21</v>
      </c>
      <c r="P429" t="s">
        <v>21</v>
      </c>
      <c r="Q429">
        <f t="shared" si="75"/>
        <v>1.1827202188314271E-2</v>
      </c>
      <c r="R429" s="6">
        <v>83.5</v>
      </c>
      <c r="S429">
        <v>0.8</v>
      </c>
      <c r="T429">
        <v>1.2</v>
      </c>
      <c r="U429">
        <v>1.2</v>
      </c>
      <c r="V429">
        <v>1.1499999999999999</v>
      </c>
      <c r="W429">
        <v>1.2</v>
      </c>
      <c r="X429">
        <v>3.3</v>
      </c>
      <c r="Y429">
        <v>3.1</v>
      </c>
      <c r="Z429">
        <v>19.899999999999999</v>
      </c>
      <c r="AA429">
        <v>19.899999999999999</v>
      </c>
      <c r="AB429">
        <v>10</v>
      </c>
      <c r="AC429">
        <v>1711</v>
      </c>
      <c r="AF429">
        <v>1781</v>
      </c>
      <c r="AG429">
        <v>3150</v>
      </c>
      <c r="AH429">
        <v>1.163062536528346E-2</v>
      </c>
      <c r="AI429">
        <v>1.9527617630649061E-3</v>
      </c>
      <c r="AJ429">
        <v>1</v>
      </c>
      <c r="AK429">
        <v>7</v>
      </c>
      <c r="AL429">
        <f>AK429+AL428-AK428</f>
        <v>125</v>
      </c>
      <c r="AM429">
        <f t="shared" si="69"/>
        <v>118</v>
      </c>
      <c r="AO429">
        <f t="shared" si="73"/>
        <v>0.70658682634730541</v>
      </c>
      <c r="AP429">
        <v>427</v>
      </c>
      <c r="AQ429">
        <f t="shared" si="66"/>
        <v>42.84880044634555</v>
      </c>
      <c r="AR429">
        <f t="shared" si="74"/>
        <v>6.1511995536544539</v>
      </c>
      <c r="AS429">
        <f t="shared" si="72"/>
        <v>0.44080004057686784</v>
      </c>
      <c r="AU429" t="s">
        <v>303</v>
      </c>
      <c r="AV429" t="s">
        <v>432</v>
      </c>
      <c r="AX429" s="9" t="s">
        <v>452</v>
      </c>
      <c r="AY429">
        <f>IF(BA428="top",AY428+1,AY428)</f>
        <v>212</v>
      </c>
      <c r="AZ429" t="s">
        <v>421</v>
      </c>
      <c r="BA429" t="s">
        <v>0</v>
      </c>
    </row>
    <row r="430" spans="1:53" x14ac:dyDescent="0.35">
      <c r="A430" t="s">
        <v>422</v>
      </c>
      <c r="B430">
        <v>1</v>
      </c>
      <c r="C430" t="s">
        <v>5</v>
      </c>
      <c r="D430" t="s">
        <v>4</v>
      </c>
      <c r="E430" t="s">
        <v>3</v>
      </c>
      <c r="F430" s="1">
        <v>0.93</v>
      </c>
      <c r="G430" t="s">
        <v>423</v>
      </c>
      <c r="H430">
        <v>9</v>
      </c>
      <c r="I430">
        <v>4</v>
      </c>
      <c r="J430">
        <v>8</v>
      </c>
      <c r="K430">
        <v>38</v>
      </c>
      <c r="L430">
        <v>11</v>
      </c>
      <c r="M430">
        <f t="shared" si="70"/>
        <v>49</v>
      </c>
      <c r="N430">
        <v>76</v>
      </c>
      <c r="O430" t="s">
        <v>21</v>
      </c>
      <c r="P430" t="s">
        <v>21</v>
      </c>
      <c r="Q430">
        <f t="shared" si="75"/>
        <v>1.1832694812803165E-2</v>
      </c>
      <c r="R430" s="6">
        <v>83.5</v>
      </c>
      <c r="S430">
        <v>0.8</v>
      </c>
      <c r="T430">
        <v>1.2</v>
      </c>
      <c r="U430">
        <v>1.2</v>
      </c>
      <c r="V430">
        <v>1.1499999999999999</v>
      </c>
      <c r="W430">
        <v>1.2</v>
      </c>
      <c r="X430">
        <v>3.3</v>
      </c>
      <c r="Y430">
        <v>3.1</v>
      </c>
      <c r="Z430">
        <v>19.899999999999999</v>
      </c>
      <c r="AA430">
        <v>19.899999999999999</v>
      </c>
      <c r="AB430">
        <v>10</v>
      </c>
      <c r="AC430">
        <v>1711</v>
      </c>
      <c r="AD430" t="s">
        <v>712</v>
      </c>
      <c r="AE430">
        <v>1799</v>
      </c>
      <c r="AF430">
        <v>1781</v>
      </c>
      <c r="AG430">
        <v>3296</v>
      </c>
      <c r="AH430">
        <v>1.163062536528346E-2</v>
      </c>
      <c r="AI430">
        <v>1.9527617630649061E-3</v>
      </c>
      <c r="AJ430">
        <v>1</v>
      </c>
      <c r="AK430">
        <v>18</v>
      </c>
      <c r="AL430">
        <v>159</v>
      </c>
      <c r="AM430">
        <f t="shared" si="69"/>
        <v>141</v>
      </c>
      <c r="AO430">
        <f t="shared" si="73"/>
        <v>0.84431137724550898</v>
      </c>
      <c r="AP430">
        <v>428</v>
      </c>
      <c r="AQ430">
        <f t="shared" si="66"/>
        <v>42.563697228938068</v>
      </c>
      <c r="AR430">
        <f t="shared" si="74"/>
        <v>6.4363027710619303</v>
      </c>
      <c r="AS430">
        <f t="shared" si="72"/>
        <v>0.41488156626709727</v>
      </c>
      <c r="AU430" t="s">
        <v>303</v>
      </c>
      <c r="AV430" t="s">
        <v>432</v>
      </c>
      <c r="AX430" s="13">
        <v>1</v>
      </c>
      <c r="AY430">
        <f>IF(BA429="top",AY429+1,AY3777)</f>
        <v>213</v>
      </c>
      <c r="AZ430" t="s">
        <v>422</v>
      </c>
      <c r="BA430" t="s">
        <v>5</v>
      </c>
    </row>
    <row r="431" spans="1:53" x14ac:dyDescent="0.35">
      <c r="A431" t="s">
        <v>422</v>
      </c>
      <c r="B431">
        <v>1</v>
      </c>
      <c r="C431" t="s">
        <v>0</v>
      </c>
      <c r="D431" t="s">
        <v>4</v>
      </c>
      <c r="E431" t="s">
        <v>3</v>
      </c>
      <c r="F431" s="1">
        <v>0.93</v>
      </c>
      <c r="G431" t="s">
        <v>423</v>
      </c>
      <c r="H431">
        <v>9</v>
      </c>
      <c r="I431">
        <v>4</v>
      </c>
      <c r="J431">
        <v>8</v>
      </c>
      <c r="K431">
        <v>38</v>
      </c>
      <c r="L431">
        <v>11</v>
      </c>
      <c r="M431">
        <f t="shared" si="70"/>
        <v>49</v>
      </c>
      <c r="N431">
        <v>76</v>
      </c>
      <c r="O431" t="s">
        <v>21</v>
      </c>
      <c r="P431" t="s">
        <v>21</v>
      </c>
      <c r="Q431">
        <f t="shared" si="75"/>
        <v>1.1838201484925023E-2</v>
      </c>
      <c r="R431" s="6">
        <v>83.5</v>
      </c>
      <c r="S431">
        <v>0.8</v>
      </c>
      <c r="T431">
        <v>1.2</v>
      </c>
      <c r="U431">
        <v>1.2</v>
      </c>
      <c r="V431">
        <v>1.1499999999999999</v>
      </c>
      <c r="W431">
        <v>1.2</v>
      </c>
      <c r="X431">
        <v>3.3</v>
      </c>
      <c r="Y431">
        <v>3.1</v>
      </c>
      <c r="Z431">
        <v>19.899999999999999</v>
      </c>
      <c r="AA431">
        <v>19.899999999999999</v>
      </c>
      <c r="AB431">
        <v>10</v>
      </c>
      <c r="AC431">
        <v>1711</v>
      </c>
      <c r="AD431" t="s">
        <v>713</v>
      </c>
      <c r="AE431">
        <v>1799</v>
      </c>
      <c r="AF431">
        <v>1781</v>
      </c>
      <c r="AG431">
        <v>3296</v>
      </c>
      <c r="AH431">
        <v>1.163062536528346E-2</v>
      </c>
      <c r="AI431">
        <v>1.9527617630649061E-3</v>
      </c>
      <c r="AJ431">
        <v>1</v>
      </c>
      <c r="AK431">
        <v>7</v>
      </c>
      <c r="AL431">
        <f>AK431+AL430-AK430</f>
        <v>148</v>
      </c>
      <c r="AM431">
        <f t="shared" si="69"/>
        <v>141</v>
      </c>
      <c r="AO431">
        <f t="shared" si="73"/>
        <v>0.84431137724550898</v>
      </c>
      <c r="AP431">
        <v>429</v>
      </c>
      <c r="AQ431">
        <f t="shared" si="66"/>
        <v>42.563697228938068</v>
      </c>
      <c r="AR431">
        <f t="shared" si="74"/>
        <v>6.4363027710619303</v>
      </c>
      <c r="AS431">
        <f t="shared" si="72"/>
        <v>0.41488156626709727</v>
      </c>
      <c r="AU431" t="s">
        <v>303</v>
      </c>
      <c r="AV431" t="s">
        <v>432</v>
      </c>
      <c r="AX431" s="13">
        <v>1</v>
      </c>
      <c r="AY431">
        <f>IF(BA430="top",AY430+1,AY430)</f>
        <v>213</v>
      </c>
      <c r="AZ431" t="s">
        <v>422</v>
      </c>
      <c r="BA431" t="s">
        <v>0</v>
      </c>
    </row>
    <row r="432" spans="1:53" x14ac:dyDescent="0.35">
      <c r="A432" t="s">
        <v>419</v>
      </c>
      <c r="B432">
        <v>3</v>
      </c>
      <c r="C432" t="s">
        <v>5</v>
      </c>
      <c r="D432" t="s">
        <v>4</v>
      </c>
      <c r="E432" t="s">
        <v>3</v>
      </c>
      <c r="F432" s="1">
        <v>0.96</v>
      </c>
      <c r="G432" t="s">
        <v>423</v>
      </c>
      <c r="H432">
        <v>9</v>
      </c>
      <c r="I432">
        <v>4</v>
      </c>
      <c r="J432">
        <v>10</v>
      </c>
      <c r="K432">
        <v>38</v>
      </c>
      <c r="L432">
        <v>11</v>
      </c>
      <c r="M432">
        <f t="shared" si="70"/>
        <v>49</v>
      </c>
      <c r="N432">
        <v>71</v>
      </c>
      <c r="O432" t="s">
        <v>21</v>
      </c>
      <c r="P432" t="s">
        <v>21</v>
      </c>
      <c r="Q432">
        <f t="shared" si="75"/>
        <v>1.1843722240607292E-2</v>
      </c>
      <c r="R432" s="6">
        <v>88.7</v>
      </c>
      <c r="S432">
        <v>0.75</v>
      </c>
      <c r="T432">
        <v>0.8</v>
      </c>
      <c r="U432">
        <v>0.8</v>
      </c>
      <c r="V432">
        <v>0.83</v>
      </c>
      <c r="W432">
        <v>0.95</v>
      </c>
      <c r="X432">
        <v>3</v>
      </c>
      <c r="Y432">
        <v>0.2</v>
      </c>
      <c r="Z432">
        <v>19.899999999999999</v>
      </c>
      <c r="AA432">
        <v>20</v>
      </c>
      <c r="AB432">
        <v>51</v>
      </c>
      <c r="AC432">
        <v>1747</v>
      </c>
      <c r="AD432" t="s">
        <v>714</v>
      </c>
      <c r="AE432">
        <v>2044</v>
      </c>
      <c r="AF432">
        <v>1970</v>
      </c>
      <c r="AG432">
        <v>3317</v>
      </c>
      <c r="AH432">
        <v>1.1459832997408581E-2</v>
      </c>
      <c r="AI432">
        <v>2.168883747831116E-3</v>
      </c>
      <c r="AJ432">
        <v>1</v>
      </c>
      <c r="AK432">
        <v>48</v>
      </c>
      <c r="AL432">
        <v>274</v>
      </c>
      <c r="AM432">
        <f t="shared" si="69"/>
        <v>226</v>
      </c>
      <c r="AO432">
        <f t="shared" si="73"/>
        <v>1.2739571589627958</v>
      </c>
      <c r="AP432">
        <v>430</v>
      </c>
      <c r="AQ432">
        <f t="shared" si="66"/>
        <v>41.805812608444185</v>
      </c>
      <c r="AR432">
        <f t="shared" si="74"/>
        <v>7.1941873915558112</v>
      </c>
      <c r="AS432">
        <f t="shared" si="72"/>
        <v>0.34598296440401716</v>
      </c>
      <c r="AU432" t="s">
        <v>303</v>
      </c>
      <c r="AX432" s="13">
        <v>1</v>
      </c>
      <c r="AY432">
        <f>IF(BA431="top",AY431+1,AY3779)</f>
        <v>214</v>
      </c>
      <c r="AZ432" t="s">
        <v>419</v>
      </c>
      <c r="BA432" t="s">
        <v>5</v>
      </c>
    </row>
    <row r="433" spans="1:53" x14ac:dyDescent="0.35">
      <c r="A433" t="s">
        <v>419</v>
      </c>
      <c r="B433">
        <v>3</v>
      </c>
      <c r="C433" t="s">
        <v>0</v>
      </c>
      <c r="D433" t="s">
        <v>4</v>
      </c>
      <c r="E433" t="s">
        <v>3</v>
      </c>
      <c r="F433" s="1">
        <v>0.96</v>
      </c>
      <c r="G433" t="s">
        <v>423</v>
      </c>
      <c r="H433">
        <v>9</v>
      </c>
      <c r="I433">
        <v>4</v>
      </c>
      <c r="J433">
        <v>10</v>
      </c>
      <c r="K433">
        <v>38</v>
      </c>
      <c r="L433">
        <v>11</v>
      </c>
      <c r="M433">
        <f t="shared" si="70"/>
        <v>49</v>
      </c>
      <c r="N433">
        <v>71</v>
      </c>
      <c r="O433" t="s">
        <v>21</v>
      </c>
      <c r="P433" t="s">
        <v>21</v>
      </c>
      <c r="Q433">
        <f t="shared" si="75"/>
        <v>1.1849257115869314E-2</v>
      </c>
      <c r="R433" s="6">
        <v>88.7</v>
      </c>
      <c r="S433">
        <v>0.75</v>
      </c>
      <c r="T433">
        <v>0.8</v>
      </c>
      <c r="U433">
        <v>0.8</v>
      </c>
      <c r="V433">
        <v>0.83</v>
      </c>
      <c r="W433">
        <v>0.95</v>
      </c>
      <c r="X433">
        <v>3</v>
      </c>
      <c r="Y433">
        <v>0.2</v>
      </c>
      <c r="Z433">
        <v>19.899999999999999</v>
      </c>
      <c r="AA433">
        <v>20</v>
      </c>
      <c r="AB433">
        <v>51</v>
      </c>
      <c r="AC433">
        <v>1747</v>
      </c>
      <c r="AD433" t="s">
        <v>715</v>
      </c>
      <c r="AE433">
        <v>2044</v>
      </c>
      <c r="AF433">
        <v>1970</v>
      </c>
      <c r="AG433">
        <v>3317</v>
      </c>
      <c r="AH433">
        <v>1.1459832997408581E-2</v>
      </c>
      <c r="AI433">
        <v>2.168883747831116E-3</v>
      </c>
      <c r="AJ433">
        <v>1</v>
      </c>
      <c r="AK433">
        <v>8</v>
      </c>
      <c r="AL433">
        <f>AK433+AL432-AK432</f>
        <v>234</v>
      </c>
      <c r="AM433">
        <f t="shared" si="69"/>
        <v>226</v>
      </c>
      <c r="AO433">
        <f t="shared" si="73"/>
        <v>1.2739571589627958</v>
      </c>
      <c r="AP433">
        <v>431</v>
      </c>
      <c r="AQ433">
        <f t="shared" si="66"/>
        <v>41.805812608444185</v>
      </c>
      <c r="AR433">
        <f t="shared" si="74"/>
        <v>7.1941873915558112</v>
      </c>
      <c r="AS433">
        <f t="shared" si="72"/>
        <v>0.34598296440401716</v>
      </c>
      <c r="AU433" t="s">
        <v>303</v>
      </c>
      <c r="AX433" s="13">
        <v>1</v>
      </c>
      <c r="AY433">
        <f>IF(BA432="top",AY432+1,AY432)</f>
        <v>214</v>
      </c>
      <c r="AZ433" t="s">
        <v>419</v>
      </c>
      <c r="BA433" t="s">
        <v>0</v>
      </c>
    </row>
    <row r="434" spans="1:53" x14ac:dyDescent="0.35">
      <c r="A434" t="s">
        <v>420</v>
      </c>
      <c r="B434">
        <v>1</v>
      </c>
      <c r="C434" t="s">
        <v>5</v>
      </c>
      <c r="D434" t="s">
        <v>4</v>
      </c>
      <c r="E434" t="s">
        <v>3</v>
      </c>
      <c r="F434" s="1">
        <v>0.98</v>
      </c>
      <c r="G434" t="s">
        <v>424</v>
      </c>
      <c r="H434">
        <v>5</v>
      </c>
      <c r="I434">
        <v>3</v>
      </c>
      <c r="J434">
        <v>4</v>
      </c>
      <c r="K434">
        <v>34</v>
      </c>
      <c r="L434">
        <v>15</v>
      </c>
      <c r="M434">
        <f t="shared" si="70"/>
        <v>49</v>
      </c>
      <c r="N434">
        <v>52</v>
      </c>
      <c r="O434" t="s">
        <v>21</v>
      </c>
      <c r="P434" t="s">
        <v>21</v>
      </c>
      <c r="Q434">
        <f t="shared" si="75"/>
        <v>1.1854806146822544E-2</v>
      </c>
      <c r="R434" s="6">
        <v>79.5</v>
      </c>
      <c r="S434">
        <v>0.85</v>
      </c>
      <c r="T434">
        <v>0.95</v>
      </c>
      <c r="U434">
        <v>1</v>
      </c>
      <c r="V434">
        <v>1</v>
      </c>
      <c r="W434">
        <v>1.4</v>
      </c>
      <c r="X434">
        <v>3.05</v>
      </c>
      <c r="Y434">
        <v>3.1</v>
      </c>
      <c r="Z434">
        <v>19.899999999999999</v>
      </c>
      <c r="AA434">
        <v>19.899999999999999</v>
      </c>
      <c r="AB434">
        <v>14</v>
      </c>
      <c r="AC434">
        <v>1798</v>
      </c>
      <c r="AD434" t="s">
        <v>716</v>
      </c>
      <c r="AE434">
        <v>1904</v>
      </c>
      <c r="AF434">
        <v>1793</v>
      </c>
      <c r="AG434">
        <v>2150</v>
      </c>
      <c r="AH434">
        <v>1.1055555555555549E-2</v>
      </c>
      <c r="AI434">
        <v>1.9118869492934329E-3</v>
      </c>
      <c r="AJ434">
        <v>1</v>
      </c>
      <c r="AK434">
        <v>75</v>
      </c>
      <c r="AL434">
        <v>396</v>
      </c>
      <c r="AM434">
        <f t="shared" si="69"/>
        <v>321</v>
      </c>
      <c r="AO434">
        <f t="shared" si="73"/>
        <v>2.0188679245283021</v>
      </c>
      <c r="AP434">
        <v>432</v>
      </c>
      <c r="AQ434">
        <f t="shared" si="66"/>
        <v>44.889443059019122</v>
      </c>
      <c r="AR434">
        <f t="shared" si="74"/>
        <v>4.1105569409808806</v>
      </c>
      <c r="AS434">
        <f t="shared" si="72"/>
        <v>0.72596287060127451</v>
      </c>
      <c r="AU434" t="s">
        <v>303</v>
      </c>
      <c r="AX434" s="13">
        <v>1</v>
      </c>
      <c r="AY434">
        <f>IF(BA433="top",AY433+1,AY3781)</f>
        <v>215</v>
      </c>
      <c r="AZ434" t="s">
        <v>420</v>
      </c>
      <c r="BA434" t="s">
        <v>5</v>
      </c>
    </row>
    <row r="435" spans="1:53" x14ac:dyDescent="0.35">
      <c r="A435" t="s">
        <v>420</v>
      </c>
      <c r="B435">
        <v>1</v>
      </c>
      <c r="C435" t="s">
        <v>0</v>
      </c>
      <c r="D435" t="s">
        <v>4</v>
      </c>
      <c r="E435" t="s">
        <v>3</v>
      </c>
      <c r="F435" s="1">
        <v>0.98</v>
      </c>
      <c r="G435" t="s">
        <v>424</v>
      </c>
      <c r="H435">
        <v>5</v>
      </c>
      <c r="I435">
        <v>3</v>
      </c>
      <c r="J435">
        <v>4</v>
      </c>
      <c r="K435">
        <v>34</v>
      </c>
      <c r="L435">
        <v>15</v>
      </c>
      <c r="M435">
        <f t="shared" si="70"/>
        <v>49</v>
      </c>
      <c r="N435">
        <v>52</v>
      </c>
      <c r="O435" t="s">
        <v>21</v>
      </c>
      <c r="P435" t="s">
        <v>21</v>
      </c>
      <c r="Q435">
        <f t="shared" si="75"/>
        <v>1.1860369369670797E-2</v>
      </c>
      <c r="R435" s="6">
        <v>79.5</v>
      </c>
      <c r="S435">
        <v>0.85</v>
      </c>
      <c r="T435">
        <v>0.95</v>
      </c>
      <c r="U435">
        <v>1</v>
      </c>
      <c r="V435">
        <v>1</v>
      </c>
      <c r="W435">
        <v>1.4</v>
      </c>
      <c r="X435">
        <v>3.05</v>
      </c>
      <c r="Y435">
        <v>3.1</v>
      </c>
      <c r="Z435">
        <v>19.899999999999999</v>
      </c>
      <c r="AA435">
        <v>19.899999999999999</v>
      </c>
      <c r="AB435">
        <v>14</v>
      </c>
      <c r="AC435">
        <v>1798</v>
      </c>
      <c r="AD435" t="s">
        <v>717</v>
      </c>
      <c r="AE435">
        <v>1904</v>
      </c>
      <c r="AF435">
        <v>1793</v>
      </c>
      <c r="AG435">
        <v>2150</v>
      </c>
      <c r="AH435">
        <v>1.1055555555555549E-2</v>
      </c>
      <c r="AI435">
        <v>1.9118869492934329E-3</v>
      </c>
      <c r="AJ435">
        <v>1</v>
      </c>
      <c r="AK435">
        <v>14</v>
      </c>
      <c r="AL435">
        <f>AK435+AL434-AK434</f>
        <v>335</v>
      </c>
      <c r="AM435">
        <f t="shared" si="69"/>
        <v>321</v>
      </c>
      <c r="AO435">
        <f t="shared" si="73"/>
        <v>2.0188679245283021</v>
      </c>
      <c r="AP435">
        <v>433</v>
      </c>
      <c r="AQ435">
        <f t="shared" si="66"/>
        <v>44.889443059019122</v>
      </c>
      <c r="AR435">
        <f t="shared" si="74"/>
        <v>4.1105569409808806</v>
      </c>
      <c r="AS435">
        <f t="shared" si="72"/>
        <v>0.72596287060127451</v>
      </c>
      <c r="AU435" t="s">
        <v>303</v>
      </c>
      <c r="AX435" s="13">
        <v>1</v>
      </c>
      <c r="AY435">
        <f>IF(BA434="top",AY434+1,AY434)</f>
        <v>215</v>
      </c>
      <c r="AZ435" t="s">
        <v>420</v>
      </c>
      <c r="BA435" t="s">
        <v>0</v>
      </c>
    </row>
    <row r="436" spans="1:53" x14ac:dyDescent="0.35">
      <c r="A436" t="s">
        <v>417</v>
      </c>
      <c r="B436">
        <v>3</v>
      </c>
      <c r="C436" t="s">
        <v>5</v>
      </c>
      <c r="D436" t="s">
        <v>4</v>
      </c>
      <c r="E436" t="s">
        <v>3</v>
      </c>
      <c r="F436" s="1">
        <v>0.98</v>
      </c>
      <c r="G436" t="s">
        <v>424</v>
      </c>
      <c r="H436">
        <v>5</v>
      </c>
      <c r="I436">
        <v>3</v>
      </c>
      <c r="J436">
        <v>4</v>
      </c>
      <c r="K436">
        <v>36</v>
      </c>
      <c r="L436">
        <v>12</v>
      </c>
      <c r="M436">
        <f t="shared" si="70"/>
        <v>48</v>
      </c>
      <c r="N436">
        <v>53</v>
      </c>
      <c r="O436" t="s">
        <v>21</v>
      </c>
      <c r="P436" t="s">
        <v>21</v>
      </c>
      <c r="Q436">
        <f t="shared" si="75"/>
        <v>1.1865946820710471E-2</v>
      </c>
      <c r="R436" s="6">
        <v>74</v>
      </c>
      <c r="S436">
        <v>0.85</v>
      </c>
      <c r="T436">
        <v>0.9</v>
      </c>
      <c r="U436">
        <v>0.95</v>
      </c>
      <c r="V436">
        <v>0.93</v>
      </c>
      <c r="W436">
        <v>1.25</v>
      </c>
      <c r="X436">
        <v>2.6</v>
      </c>
      <c r="Y436">
        <v>0.2</v>
      </c>
      <c r="Z436">
        <v>19.899999999999999</v>
      </c>
      <c r="AA436">
        <v>20</v>
      </c>
      <c r="AB436">
        <v>51</v>
      </c>
      <c r="AC436">
        <v>1758</v>
      </c>
      <c r="AD436" t="s">
        <v>718</v>
      </c>
      <c r="AE436">
        <v>2073</v>
      </c>
      <c r="AF436">
        <v>1972</v>
      </c>
      <c r="AG436">
        <v>431</v>
      </c>
      <c r="AH436">
        <v>1.134873110921015E-2</v>
      </c>
      <c r="AI436">
        <v>2.1878646441073511E-3</v>
      </c>
      <c r="AJ436">
        <v>1</v>
      </c>
      <c r="AK436">
        <v>9</v>
      </c>
      <c r="AL436">
        <v>197</v>
      </c>
      <c r="AM436">
        <f t="shared" si="69"/>
        <v>188</v>
      </c>
      <c r="AO436">
        <f t="shared" si="73"/>
        <v>1.2702702702702702</v>
      </c>
      <c r="AP436">
        <v>434</v>
      </c>
      <c r="AQ436">
        <f t="shared" si="66"/>
        <v>47.05703033838973</v>
      </c>
      <c r="AR436">
        <f t="shared" si="74"/>
        <v>0.94296966161026829</v>
      </c>
      <c r="AS436">
        <f t="shared" si="72"/>
        <v>0.92141919486581092</v>
      </c>
      <c r="AU436" t="s">
        <v>303</v>
      </c>
      <c r="AV436" t="s">
        <v>432</v>
      </c>
      <c r="AX436" s="9" t="s">
        <v>452</v>
      </c>
      <c r="AY436">
        <f>IF(BA435="top",AY435+1,AY3783)</f>
        <v>216</v>
      </c>
      <c r="AZ436" t="s">
        <v>417</v>
      </c>
      <c r="BA436" t="s">
        <v>5</v>
      </c>
    </row>
    <row r="437" spans="1:53" x14ac:dyDescent="0.35">
      <c r="A437" t="s">
        <v>417</v>
      </c>
      <c r="B437">
        <v>3</v>
      </c>
      <c r="C437" t="s">
        <v>0</v>
      </c>
      <c r="D437" t="s">
        <v>4</v>
      </c>
      <c r="E437" t="s">
        <v>3</v>
      </c>
      <c r="F437" s="1">
        <v>0.98</v>
      </c>
      <c r="G437" t="s">
        <v>424</v>
      </c>
      <c r="H437">
        <v>5</v>
      </c>
      <c r="I437">
        <v>3</v>
      </c>
      <c r="J437">
        <v>4</v>
      </c>
      <c r="K437">
        <v>36</v>
      </c>
      <c r="L437">
        <v>12</v>
      </c>
      <c r="M437">
        <f t="shared" si="70"/>
        <v>48</v>
      </c>
      <c r="N437">
        <v>53</v>
      </c>
      <c r="O437" t="s">
        <v>21</v>
      </c>
      <c r="P437" t="s">
        <v>21</v>
      </c>
      <c r="Q437">
        <f t="shared" si="75"/>
        <v>1.1871538536330812E-2</v>
      </c>
      <c r="R437" s="6">
        <v>74</v>
      </c>
      <c r="S437">
        <v>0.85</v>
      </c>
      <c r="T437">
        <v>0.9</v>
      </c>
      <c r="U437">
        <v>0.95</v>
      </c>
      <c r="V437">
        <v>0.93</v>
      </c>
      <c r="W437">
        <v>1.25</v>
      </c>
      <c r="X437">
        <v>2.6</v>
      </c>
      <c r="Y437">
        <v>0.2</v>
      </c>
      <c r="Z437">
        <v>19.899999999999999</v>
      </c>
      <c r="AA437">
        <v>20</v>
      </c>
      <c r="AB437">
        <v>51</v>
      </c>
      <c r="AC437">
        <v>1758</v>
      </c>
      <c r="AD437" t="s">
        <v>719</v>
      </c>
      <c r="AE437">
        <v>2073</v>
      </c>
      <c r="AF437">
        <v>1972</v>
      </c>
      <c r="AG437">
        <v>431</v>
      </c>
      <c r="AH437">
        <v>1.134873110921015E-2</v>
      </c>
      <c r="AI437">
        <v>2.1878646441073511E-3</v>
      </c>
      <c r="AJ437">
        <v>1</v>
      </c>
      <c r="AK437">
        <v>4</v>
      </c>
      <c r="AL437">
        <f>AK437+AL436-AK436</f>
        <v>192</v>
      </c>
      <c r="AM437">
        <f t="shared" si="69"/>
        <v>188</v>
      </c>
      <c r="AO437">
        <f t="shared" si="73"/>
        <v>1.2702702702702702</v>
      </c>
      <c r="AP437">
        <v>435</v>
      </c>
      <c r="AQ437">
        <f t="shared" si="66"/>
        <v>47.05703033838973</v>
      </c>
      <c r="AR437">
        <f t="shared" si="74"/>
        <v>0.94296966161026829</v>
      </c>
      <c r="AS437">
        <f t="shared" si="72"/>
        <v>0.92141919486581092</v>
      </c>
      <c r="AU437" t="s">
        <v>303</v>
      </c>
      <c r="AV437" t="s">
        <v>432</v>
      </c>
      <c r="AX437" s="9" t="s">
        <v>452</v>
      </c>
      <c r="AY437">
        <f>IF(BA436="top",AY436+1,AY436)</f>
        <v>216</v>
      </c>
      <c r="AZ437" t="s">
        <v>417</v>
      </c>
      <c r="BA437" t="s">
        <v>0</v>
      </c>
    </row>
    <row r="438" spans="1:53" x14ac:dyDescent="0.35">
      <c r="A438" t="s">
        <v>418</v>
      </c>
      <c r="B438">
        <v>3</v>
      </c>
      <c r="C438" t="s">
        <v>5</v>
      </c>
      <c r="D438" t="s">
        <v>4</v>
      </c>
      <c r="E438" t="s">
        <v>3</v>
      </c>
      <c r="F438" s="1">
        <v>0.98</v>
      </c>
      <c r="G438" t="s">
        <v>424</v>
      </c>
      <c r="H438">
        <v>5</v>
      </c>
      <c r="I438">
        <v>3</v>
      </c>
      <c r="J438">
        <v>4</v>
      </c>
      <c r="K438">
        <v>36</v>
      </c>
      <c r="L438">
        <v>12</v>
      </c>
      <c r="M438">
        <f t="shared" si="70"/>
        <v>48</v>
      </c>
      <c r="N438">
        <v>53</v>
      </c>
      <c r="O438" t="s">
        <v>21</v>
      </c>
      <c r="P438" t="s">
        <v>21</v>
      </c>
      <c r="Q438">
        <f t="shared" si="75"/>
        <v>1.1877144553014123E-2</v>
      </c>
      <c r="R438" s="6">
        <v>74</v>
      </c>
      <c r="S438">
        <v>0.85</v>
      </c>
      <c r="T438">
        <v>0.9</v>
      </c>
      <c r="U438">
        <v>0.95</v>
      </c>
      <c r="V438">
        <v>0.93</v>
      </c>
      <c r="W438">
        <v>1.25</v>
      </c>
      <c r="X438">
        <v>2.6</v>
      </c>
      <c r="Y438">
        <v>0.2</v>
      </c>
      <c r="Z438">
        <v>19.899999999999999</v>
      </c>
      <c r="AA438">
        <v>20</v>
      </c>
      <c r="AB438">
        <v>51</v>
      </c>
      <c r="AC438">
        <v>1758</v>
      </c>
      <c r="AD438" t="s">
        <v>720</v>
      </c>
      <c r="AE438">
        <v>2073</v>
      </c>
      <c r="AF438">
        <v>1972</v>
      </c>
      <c r="AG438">
        <v>992</v>
      </c>
      <c r="AH438">
        <v>1.134873110921015E-2</v>
      </c>
      <c r="AI438">
        <v>2.1878646441073511E-3</v>
      </c>
      <c r="AJ438">
        <v>1</v>
      </c>
      <c r="AK438">
        <v>14</v>
      </c>
      <c r="AL438">
        <v>212</v>
      </c>
      <c r="AM438">
        <f t="shared" si="69"/>
        <v>198</v>
      </c>
      <c r="AO438">
        <f t="shared" si="73"/>
        <v>1.3378378378378379</v>
      </c>
      <c r="AP438">
        <v>436</v>
      </c>
      <c r="AQ438">
        <f t="shared" si="66"/>
        <v>45.829638273045511</v>
      </c>
      <c r="AR438">
        <f t="shared" si="74"/>
        <v>2.1703617269544924</v>
      </c>
      <c r="AS438">
        <f t="shared" si="72"/>
        <v>0.81913652275379223</v>
      </c>
      <c r="AU438" t="s">
        <v>303</v>
      </c>
      <c r="AX438" s="13">
        <v>1</v>
      </c>
      <c r="AY438">
        <f>IF(BA437="top",AY437+1,AY3785)</f>
        <v>217</v>
      </c>
      <c r="AZ438" t="s">
        <v>418</v>
      </c>
      <c r="BA438" t="s">
        <v>5</v>
      </c>
    </row>
    <row r="439" spans="1:53" x14ac:dyDescent="0.35">
      <c r="A439" t="s">
        <v>418</v>
      </c>
      <c r="B439">
        <v>3</v>
      </c>
      <c r="C439" t="s">
        <v>0</v>
      </c>
      <c r="D439" t="s">
        <v>4</v>
      </c>
      <c r="E439" t="s">
        <v>3</v>
      </c>
      <c r="F439" s="1">
        <v>0.98</v>
      </c>
      <c r="G439" t="s">
        <v>424</v>
      </c>
      <c r="H439">
        <v>5</v>
      </c>
      <c r="I439">
        <v>3</v>
      </c>
      <c r="J439">
        <v>4</v>
      </c>
      <c r="K439">
        <v>36</v>
      </c>
      <c r="L439">
        <v>12</v>
      </c>
      <c r="M439">
        <f t="shared" si="70"/>
        <v>48</v>
      </c>
      <c r="N439">
        <v>53</v>
      </c>
      <c r="O439" t="s">
        <v>21</v>
      </c>
      <c r="P439" t="s">
        <v>21</v>
      </c>
      <c r="Q439">
        <f t="shared" si="75"/>
        <v>1.1879623278463739E-2</v>
      </c>
      <c r="R439" s="6">
        <v>74</v>
      </c>
      <c r="S439">
        <v>0.85</v>
      </c>
      <c r="T439">
        <v>0.9</v>
      </c>
      <c r="U439">
        <v>0.95</v>
      </c>
      <c r="V439">
        <v>0.93</v>
      </c>
      <c r="W439">
        <v>1.25</v>
      </c>
      <c r="X439">
        <v>2.6</v>
      </c>
      <c r="Y439">
        <v>0.2</v>
      </c>
      <c r="Z439">
        <v>19.899999999999999</v>
      </c>
      <c r="AA439">
        <v>20</v>
      </c>
      <c r="AB439">
        <v>51</v>
      </c>
      <c r="AC439">
        <v>1758</v>
      </c>
      <c r="AD439" t="s">
        <v>721</v>
      </c>
      <c r="AE439">
        <v>2073</v>
      </c>
      <c r="AF439">
        <v>1972</v>
      </c>
      <c r="AG439">
        <v>992</v>
      </c>
      <c r="AH439">
        <v>1.134873110921015E-2</v>
      </c>
      <c r="AI439">
        <v>2.1878646441073511E-3</v>
      </c>
      <c r="AJ439">
        <v>1</v>
      </c>
      <c r="AK439">
        <v>9</v>
      </c>
      <c r="AL439">
        <f>AK439+AL438-AK438</f>
        <v>207</v>
      </c>
      <c r="AM439">
        <f t="shared" si="69"/>
        <v>198</v>
      </c>
      <c r="AO439">
        <f t="shared" si="73"/>
        <v>1.3378378378378379</v>
      </c>
      <c r="AP439">
        <v>437</v>
      </c>
      <c r="AQ439">
        <f t="shared" si="66"/>
        <v>45.829638273045511</v>
      </c>
      <c r="AR439">
        <f t="shared" si="74"/>
        <v>2.1703617269544924</v>
      </c>
      <c r="AS439">
        <f t="shared" si="72"/>
        <v>0.81913652275379223</v>
      </c>
      <c r="AU439" t="s">
        <v>303</v>
      </c>
      <c r="AX439" s="13">
        <v>1</v>
      </c>
      <c r="AY439">
        <f>IF(BA438="top",AY438+1,AY438)</f>
        <v>217</v>
      </c>
      <c r="AZ439" t="s">
        <v>418</v>
      </c>
      <c r="BA439" t="s">
        <v>0</v>
      </c>
    </row>
  </sheetData>
  <conditionalFormatting sqref="AJ1:AJ74 AJ76:AJ1048576">
    <cfRule type="cellIs" dxfId="260" priority="288" operator="equal">
      <formula>1</formula>
    </cfRule>
  </conditionalFormatting>
  <conditionalFormatting sqref="AV2 AV133:AV134 AV150 AV155:AV156 AV173 AV184 AV212 AV238:AV239 AV272 AV282:AV283 AV326 AW348:AW349 AW368:AW369 AV428:AV429 AV7:AV11 AV21 AV23 AV31 AU1:AU74 AU77:AU1048576">
    <cfRule type="containsText" dxfId="259" priority="287" operator="containsText" text="na">
      <formula>NOT(ISERROR(SEARCH("na",AU1)))</formula>
    </cfRule>
  </conditionalFormatting>
  <conditionalFormatting sqref="AV3">
    <cfRule type="containsText" dxfId="258" priority="286" operator="containsText" text="na">
      <formula>NOT(ISERROR(SEARCH("na",AV3)))</formula>
    </cfRule>
  </conditionalFormatting>
  <conditionalFormatting sqref="AV4">
    <cfRule type="containsText" dxfId="257" priority="285" operator="containsText" text="na">
      <formula>NOT(ISERROR(SEARCH("na",AV4)))</formula>
    </cfRule>
  </conditionalFormatting>
  <conditionalFormatting sqref="AV5">
    <cfRule type="containsText" dxfId="256" priority="284" operator="containsText" text="na">
      <formula>NOT(ISERROR(SEARCH("na",AV5)))</formula>
    </cfRule>
  </conditionalFormatting>
  <conditionalFormatting sqref="AV6">
    <cfRule type="containsText" dxfId="255" priority="283" operator="containsText" text="na">
      <formula>NOT(ISERROR(SEARCH("na",AV6)))</formula>
    </cfRule>
  </conditionalFormatting>
  <conditionalFormatting sqref="AV59">
    <cfRule type="containsText" dxfId="254" priority="282" operator="containsText" text="na">
      <formula>NOT(ISERROR(SEARCH("na",AV59)))</formula>
    </cfRule>
  </conditionalFormatting>
  <conditionalFormatting sqref="AV60">
    <cfRule type="containsText" dxfId="253" priority="281" operator="containsText" text="na">
      <formula>NOT(ISERROR(SEARCH("na",AV60)))</formula>
    </cfRule>
  </conditionalFormatting>
  <conditionalFormatting sqref="AV67">
    <cfRule type="containsText" dxfId="252" priority="280" operator="containsText" text="na">
      <formula>NOT(ISERROR(SEARCH("na",AV67)))</formula>
    </cfRule>
  </conditionalFormatting>
  <conditionalFormatting sqref="AV327">
    <cfRule type="containsText" dxfId="251" priority="247" operator="containsText" text="na">
      <formula>NOT(ISERROR(SEARCH("na",AV327)))</formula>
    </cfRule>
  </conditionalFormatting>
  <conditionalFormatting sqref="AV68">
    <cfRule type="containsText" dxfId="250" priority="279" operator="containsText" text="na">
      <formula>NOT(ISERROR(SEARCH("na",AV68)))</formula>
    </cfRule>
  </conditionalFormatting>
  <conditionalFormatting sqref="AV73">
    <cfRule type="containsText" dxfId="249" priority="278" operator="containsText" text="na">
      <formula>NOT(ISERROR(SEARCH("na",AV73)))</formula>
    </cfRule>
  </conditionalFormatting>
  <conditionalFormatting sqref="AV74">
    <cfRule type="containsText" dxfId="248" priority="277" operator="containsText" text="na">
      <formula>NOT(ISERROR(SEARCH("na",AV74)))</formula>
    </cfRule>
  </conditionalFormatting>
  <conditionalFormatting sqref="AV76">
    <cfRule type="containsText" dxfId="247" priority="276" operator="containsText" text="na">
      <formula>NOT(ISERROR(SEARCH("na",AV76)))</formula>
    </cfRule>
  </conditionalFormatting>
  <conditionalFormatting sqref="AV77">
    <cfRule type="containsText" dxfId="246" priority="275" operator="containsText" text="na">
      <formula>NOT(ISERROR(SEARCH("na",AV77)))</formula>
    </cfRule>
  </conditionalFormatting>
  <conditionalFormatting sqref="AV78">
    <cfRule type="containsText" dxfId="245" priority="274" operator="containsText" text="na">
      <formula>NOT(ISERROR(SEARCH("na",AV78)))</formula>
    </cfRule>
  </conditionalFormatting>
  <conditionalFormatting sqref="AV79">
    <cfRule type="containsText" dxfId="244" priority="273" operator="containsText" text="na">
      <formula>NOT(ISERROR(SEARCH("na",AV79)))</formula>
    </cfRule>
  </conditionalFormatting>
  <conditionalFormatting sqref="AV80">
    <cfRule type="containsText" dxfId="243" priority="272" operator="containsText" text="na">
      <formula>NOT(ISERROR(SEARCH("na",AV80)))</formula>
    </cfRule>
  </conditionalFormatting>
  <conditionalFormatting sqref="AV81">
    <cfRule type="containsText" dxfId="242" priority="271" operator="containsText" text="na">
      <formula>NOT(ISERROR(SEARCH("na",AV81)))</formula>
    </cfRule>
  </conditionalFormatting>
  <conditionalFormatting sqref="AV82">
    <cfRule type="containsText" dxfId="241" priority="270" operator="containsText" text="na">
      <formula>NOT(ISERROR(SEARCH("na",AV82)))</formula>
    </cfRule>
  </conditionalFormatting>
  <conditionalFormatting sqref="AV83">
    <cfRule type="containsText" dxfId="240" priority="269" operator="containsText" text="na">
      <formula>NOT(ISERROR(SEARCH("na",AV83)))</formula>
    </cfRule>
  </conditionalFormatting>
  <conditionalFormatting sqref="AV84">
    <cfRule type="containsText" dxfId="239" priority="268" operator="containsText" text="na">
      <formula>NOT(ISERROR(SEARCH("na",AV84)))</formula>
    </cfRule>
  </conditionalFormatting>
  <conditionalFormatting sqref="AV149">
    <cfRule type="containsText" dxfId="238" priority="267" operator="containsText" text="na">
      <formula>NOT(ISERROR(SEARCH("na",AV149)))</formula>
    </cfRule>
  </conditionalFormatting>
  <conditionalFormatting sqref="AV185">
    <cfRule type="containsText" dxfId="237" priority="266" operator="containsText" text="na">
      <formula>NOT(ISERROR(SEARCH("na",AV185)))</formula>
    </cfRule>
  </conditionalFormatting>
  <conditionalFormatting sqref="AV186">
    <cfRule type="containsText" dxfId="236" priority="265" operator="containsText" text="na">
      <formula>NOT(ISERROR(SEARCH("na",AV186)))</formula>
    </cfRule>
  </conditionalFormatting>
  <conditionalFormatting sqref="AV187">
    <cfRule type="containsText" dxfId="235" priority="264" operator="containsText" text="na">
      <formula>NOT(ISERROR(SEARCH("na",AV187)))</formula>
    </cfRule>
  </conditionalFormatting>
  <conditionalFormatting sqref="AV213">
    <cfRule type="containsText" dxfId="234" priority="263" operator="containsText" text="na">
      <formula>NOT(ISERROR(SEARCH("na",AV213)))</formula>
    </cfRule>
  </conditionalFormatting>
  <conditionalFormatting sqref="AV214">
    <cfRule type="containsText" dxfId="233" priority="262" operator="containsText" text="na">
      <formula>NOT(ISERROR(SEARCH("na",AV214)))</formula>
    </cfRule>
  </conditionalFormatting>
  <conditionalFormatting sqref="AV215">
    <cfRule type="containsText" dxfId="232" priority="261" operator="containsText" text="na">
      <formula>NOT(ISERROR(SEARCH("na",AV215)))</formula>
    </cfRule>
  </conditionalFormatting>
  <conditionalFormatting sqref="AV216">
    <cfRule type="containsText" dxfId="231" priority="260" operator="containsText" text="na">
      <formula>NOT(ISERROR(SEARCH("na",AV216)))</formula>
    </cfRule>
  </conditionalFormatting>
  <conditionalFormatting sqref="AV217">
    <cfRule type="containsText" dxfId="230" priority="259" operator="containsText" text="na">
      <formula>NOT(ISERROR(SEARCH("na",AV217)))</formula>
    </cfRule>
  </conditionalFormatting>
  <conditionalFormatting sqref="AV218">
    <cfRule type="containsText" dxfId="229" priority="258" operator="containsText" text="na">
      <formula>NOT(ISERROR(SEARCH("na",AV218)))</formula>
    </cfRule>
  </conditionalFormatting>
  <conditionalFormatting sqref="AV219">
    <cfRule type="containsText" dxfId="228" priority="257" operator="containsText" text="na">
      <formula>NOT(ISERROR(SEARCH("na",AV219)))</formula>
    </cfRule>
  </conditionalFormatting>
  <conditionalFormatting sqref="AV220">
    <cfRule type="containsText" dxfId="227" priority="256" operator="containsText" text="na">
      <formula>NOT(ISERROR(SEARCH("na",AV220)))</formula>
    </cfRule>
  </conditionalFormatting>
  <conditionalFormatting sqref="AV221">
    <cfRule type="containsText" dxfId="226" priority="255" operator="containsText" text="na">
      <formula>NOT(ISERROR(SEARCH("na",AV221)))</formula>
    </cfRule>
  </conditionalFormatting>
  <conditionalFormatting sqref="AV222">
    <cfRule type="containsText" dxfId="225" priority="254" operator="containsText" text="na">
      <formula>NOT(ISERROR(SEARCH("na",AV222)))</formula>
    </cfRule>
  </conditionalFormatting>
  <conditionalFormatting sqref="AV223">
    <cfRule type="containsText" dxfId="224" priority="253" operator="containsText" text="na">
      <formula>NOT(ISERROR(SEARCH("na",AV223)))</formula>
    </cfRule>
  </conditionalFormatting>
  <conditionalFormatting sqref="AV211">
    <cfRule type="containsText" dxfId="223" priority="252" operator="containsText" text="na">
      <formula>NOT(ISERROR(SEARCH("na",AV211)))</formula>
    </cfRule>
  </conditionalFormatting>
  <conditionalFormatting sqref="AV210">
    <cfRule type="containsText" dxfId="222" priority="251" operator="containsText" text="na">
      <formula>NOT(ISERROR(SEARCH("na",AV210)))</formula>
    </cfRule>
  </conditionalFormatting>
  <conditionalFormatting sqref="AV273">
    <cfRule type="containsText" dxfId="221" priority="250" operator="containsText" text="na">
      <formula>NOT(ISERROR(SEARCH("na",AV273)))</formula>
    </cfRule>
  </conditionalFormatting>
  <conditionalFormatting sqref="AV274">
    <cfRule type="containsText" dxfId="220" priority="249" operator="containsText" text="na">
      <formula>NOT(ISERROR(SEARCH("na",AV274)))</formula>
    </cfRule>
  </conditionalFormatting>
  <conditionalFormatting sqref="AV275">
    <cfRule type="containsText" dxfId="219" priority="248" operator="containsText" text="na">
      <formula>NOT(ISERROR(SEARCH("na",AV275)))</formula>
    </cfRule>
  </conditionalFormatting>
  <conditionalFormatting sqref="AV12">
    <cfRule type="containsText" dxfId="218" priority="246" operator="containsText" text="na">
      <formula>NOT(ISERROR(SEARCH("na",AV12)))</formula>
    </cfRule>
  </conditionalFormatting>
  <conditionalFormatting sqref="AV13">
    <cfRule type="containsText" dxfId="217" priority="245" operator="containsText" text="na">
      <formula>NOT(ISERROR(SEARCH("na",AV13)))</formula>
    </cfRule>
  </conditionalFormatting>
  <conditionalFormatting sqref="AV14">
    <cfRule type="containsText" dxfId="216" priority="244" operator="containsText" text="na">
      <formula>NOT(ISERROR(SEARCH("na",AV14)))</formula>
    </cfRule>
  </conditionalFormatting>
  <conditionalFormatting sqref="AV15">
    <cfRule type="containsText" dxfId="215" priority="243" operator="containsText" text="na">
      <formula>NOT(ISERROR(SEARCH("na",AV15)))</formula>
    </cfRule>
  </conditionalFormatting>
  <conditionalFormatting sqref="AV16">
    <cfRule type="containsText" dxfId="214" priority="242" operator="containsText" text="na">
      <formula>NOT(ISERROR(SEARCH("na",AV16)))</formula>
    </cfRule>
  </conditionalFormatting>
  <conditionalFormatting sqref="AV17">
    <cfRule type="containsText" dxfId="213" priority="241" operator="containsText" text="na">
      <formula>NOT(ISERROR(SEARCH("na",AV17)))</formula>
    </cfRule>
  </conditionalFormatting>
  <conditionalFormatting sqref="AV18">
    <cfRule type="containsText" dxfId="212" priority="240" operator="containsText" text="na">
      <formula>NOT(ISERROR(SEARCH("na",AV18)))</formula>
    </cfRule>
  </conditionalFormatting>
  <conditionalFormatting sqref="AV19">
    <cfRule type="containsText" dxfId="211" priority="239" operator="containsText" text="na">
      <formula>NOT(ISERROR(SEARCH("na",AV19)))</formula>
    </cfRule>
  </conditionalFormatting>
  <conditionalFormatting sqref="AV20">
    <cfRule type="containsText" dxfId="210" priority="238" operator="containsText" text="na">
      <formula>NOT(ISERROR(SEARCH("na",AV20)))</formula>
    </cfRule>
  </conditionalFormatting>
  <conditionalFormatting sqref="AV22">
    <cfRule type="containsText" dxfId="209" priority="237" operator="containsText" text="na">
      <formula>NOT(ISERROR(SEARCH("na",AV22)))</formula>
    </cfRule>
  </conditionalFormatting>
  <conditionalFormatting sqref="AV24">
    <cfRule type="containsText" dxfId="208" priority="236" operator="containsText" text="na">
      <formula>NOT(ISERROR(SEARCH("na",AV24)))</formula>
    </cfRule>
  </conditionalFormatting>
  <conditionalFormatting sqref="AX1:AX30 AX440:AX1048576">
    <cfRule type="cellIs" dxfId="207" priority="235" operator="equal">
      <formula>1</formula>
    </cfRule>
  </conditionalFormatting>
  <conditionalFormatting sqref="AV25">
    <cfRule type="containsText" dxfId="206" priority="234" operator="containsText" text="na">
      <formula>NOT(ISERROR(SEARCH("na",AV25)))</formula>
    </cfRule>
  </conditionalFormatting>
  <conditionalFormatting sqref="AV26">
    <cfRule type="containsText" dxfId="205" priority="233" operator="containsText" text="na">
      <formula>NOT(ISERROR(SEARCH("na",AV26)))</formula>
    </cfRule>
  </conditionalFormatting>
  <conditionalFormatting sqref="AV27">
    <cfRule type="containsText" dxfId="204" priority="232" operator="containsText" text="na">
      <formula>NOT(ISERROR(SEARCH("na",AV27)))</formula>
    </cfRule>
  </conditionalFormatting>
  <conditionalFormatting sqref="AV28">
    <cfRule type="containsText" dxfId="203" priority="231" operator="containsText" text="na">
      <formula>NOT(ISERROR(SEARCH("na",AV28)))</formula>
    </cfRule>
  </conditionalFormatting>
  <conditionalFormatting sqref="AV29">
    <cfRule type="containsText" dxfId="202" priority="230" operator="containsText" text="na">
      <formula>NOT(ISERROR(SEARCH("na",AV29)))</formula>
    </cfRule>
  </conditionalFormatting>
  <conditionalFormatting sqref="AV30">
    <cfRule type="containsText" dxfId="201" priority="229" operator="containsText" text="na">
      <formula>NOT(ISERROR(SEARCH("na",AV30)))</formula>
    </cfRule>
  </conditionalFormatting>
  <conditionalFormatting sqref="AV32">
    <cfRule type="containsText" dxfId="200" priority="228" operator="containsText" text="na">
      <formula>NOT(ISERROR(SEARCH("na",AV32)))</formula>
    </cfRule>
  </conditionalFormatting>
  <conditionalFormatting sqref="AX33">
    <cfRule type="cellIs" dxfId="199" priority="227" operator="equal">
      <formula>1</formula>
    </cfRule>
  </conditionalFormatting>
  <conditionalFormatting sqref="AV33">
    <cfRule type="containsText" dxfId="198" priority="226" operator="containsText" text="na">
      <formula>NOT(ISERROR(SEARCH("na",AV33)))</formula>
    </cfRule>
  </conditionalFormatting>
  <conditionalFormatting sqref="AX34">
    <cfRule type="cellIs" dxfId="197" priority="225" operator="equal">
      <formula>1</formula>
    </cfRule>
  </conditionalFormatting>
  <conditionalFormatting sqref="AV34">
    <cfRule type="containsText" dxfId="196" priority="224" operator="containsText" text="na">
      <formula>NOT(ISERROR(SEARCH("na",AV34)))</formula>
    </cfRule>
  </conditionalFormatting>
  <conditionalFormatting sqref="AX35">
    <cfRule type="cellIs" dxfId="195" priority="223" operator="equal">
      <formula>1</formula>
    </cfRule>
  </conditionalFormatting>
  <conditionalFormatting sqref="AV35">
    <cfRule type="containsText" dxfId="194" priority="222" operator="containsText" text="na">
      <formula>NOT(ISERROR(SEARCH("na",AV35)))</formula>
    </cfRule>
  </conditionalFormatting>
  <conditionalFormatting sqref="AX36">
    <cfRule type="cellIs" dxfId="193" priority="221" operator="equal">
      <formula>1</formula>
    </cfRule>
  </conditionalFormatting>
  <conditionalFormatting sqref="AV36">
    <cfRule type="containsText" dxfId="192" priority="220" operator="containsText" text="na">
      <formula>NOT(ISERROR(SEARCH("na",AV36)))</formula>
    </cfRule>
  </conditionalFormatting>
  <conditionalFormatting sqref="AX37">
    <cfRule type="cellIs" dxfId="191" priority="219" operator="equal">
      <formula>1</formula>
    </cfRule>
  </conditionalFormatting>
  <conditionalFormatting sqref="AV37">
    <cfRule type="containsText" dxfId="190" priority="218" operator="containsText" text="na">
      <formula>NOT(ISERROR(SEARCH("na",AV37)))</formula>
    </cfRule>
  </conditionalFormatting>
  <conditionalFormatting sqref="AX38">
    <cfRule type="cellIs" dxfId="189" priority="217" operator="equal">
      <formula>1</formula>
    </cfRule>
  </conditionalFormatting>
  <conditionalFormatting sqref="AV38">
    <cfRule type="containsText" dxfId="188" priority="216" operator="containsText" text="na">
      <formula>NOT(ISERROR(SEARCH("na",AV38)))</formula>
    </cfRule>
  </conditionalFormatting>
  <conditionalFormatting sqref="AX39">
    <cfRule type="cellIs" dxfId="187" priority="215" operator="equal">
      <formula>1</formula>
    </cfRule>
  </conditionalFormatting>
  <conditionalFormatting sqref="AV39">
    <cfRule type="containsText" dxfId="186" priority="214" operator="containsText" text="na">
      <formula>NOT(ISERROR(SEARCH("na",AV39)))</formula>
    </cfRule>
  </conditionalFormatting>
  <conditionalFormatting sqref="AX40">
    <cfRule type="cellIs" dxfId="185" priority="213" operator="equal">
      <formula>1</formula>
    </cfRule>
  </conditionalFormatting>
  <conditionalFormatting sqref="AV40">
    <cfRule type="containsText" dxfId="184" priority="212" operator="containsText" text="na">
      <formula>NOT(ISERROR(SEARCH("na",AV40)))</formula>
    </cfRule>
  </conditionalFormatting>
  <conditionalFormatting sqref="AX41">
    <cfRule type="cellIs" dxfId="183" priority="211" operator="equal">
      <formula>1</formula>
    </cfRule>
  </conditionalFormatting>
  <conditionalFormatting sqref="AV41">
    <cfRule type="containsText" dxfId="182" priority="210" operator="containsText" text="na">
      <formula>NOT(ISERROR(SEARCH("na",AV41)))</formula>
    </cfRule>
  </conditionalFormatting>
  <conditionalFormatting sqref="AX42">
    <cfRule type="cellIs" dxfId="181" priority="209" operator="equal">
      <formula>1</formula>
    </cfRule>
  </conditionalFormatting>
  <conditionalFormatting sqref="AV42">
    <cfRule type="containsText" dxfId="180" priority="208" operator="containsText" text="na">
      <formula>NOT(ISERROR(SEARCH("na",AV42)))</formula>
    </cfRule>
  </conditionalFormatting>
  <conditionalFormatting sqref="AV43">
    <cfRule type="containsText" dxfId="179" priority="207" operator="containsText" text="na">
      <formula>NOT(ISERROR(SEARCH("na",AV43)))</formula>
    </cfRule>
  </conditionalFormatting>
  <conditionalFormatting sqref="AV44">
    <cfRule type="containsText" dxfId="178" priority="206" operator="containsText" text="na">
      <formula>NOT(ISERROR(SEARCH("na",AV44)))</formula>
    </cfRule>
  </conditionalFormatting>
  <conditionalFormatting sqref="AX43">
    <cfRule type="cellIs" dxfId="177" priority="205" operator="equal">
      <formula>1</formula>
    </cfRule>
  </conditionalFormatting>
  <conditionalFormatting sqref="AX44">
    <cfRule type="cellIs" dxfId="176" priority="204" operator="equal">
      <formula>1</formula>
    </cfRule>
  </conditionalFormatting>
  <conditionalFormatting sqref="AX64">
    <cfRule type="cellIs" dxfId="175" priority="178" operator="equal">
      <formula>1</formula>
    </cfRule>
  </conditionalFormatting>
  <conditionalFormatting sqref="AX45:AX46">
    <cfRule type="cellIs" dxfId="174" priority="202" operator="equal">
      <formula>1</formula>
    </cfRule>
  </conditionalFormatting>
  <conditionalFormatting sqref="AX47">
    <cfRule type="cellIs" dxfId="173" priority="201" operator="equal">
      <formula>1</formula>
    </cfRule>
  </conditionalFormatting>
  <conditionalFormatting sqref="AV47">
    <cfRule type="containsText" dxfId="172" priority="200" operator="containsText" text="na">
      <formula>NOT(ISERROR(SEARCH("na",AV47)))</formula>
    </cfRule>
  </conditionalFormatting>
  <conditionalFormatting sqref="AX48">
    <cfRule type="cellIs" dxfId="171" priority="199" operator="equal">
      <formula>1</formula>
    </cfRule>
  </conditionalFormatting>
  <conditionalFormatting sqref="AV48">
    <cfRule type="containsText" dxfId="170" priority="198" operator="containsText" text="na">
      <formula>NOT(ISERROR(SEARCH("na",AV48)))</formula>
    </cfRule>
  </conditionalFormatting>
  <conditionalFormatting sqref="AX49">
    <cfRule type="cellIs" dxfId="169" priority="197" operator="equal">
      <formula>1</formula>
    </cfRule>
  </conditionalFormatting>
  <conditionalFormatting sqref="AV49">
    <cfRule type="containsText" dxfId="168" priority="196" operator="containsText" text="na">
      <formula>NOT(ISERROR(SEARCH("na",AV49)))</formula>
    </cfRule>
  </conditionalFormatting>
  <conditionalFormatting sqref="AX50">
    <cfRule type="cellIs" dxfId="167" priority="195" operator="equal">
      <formula>1</formula>
    </cfRule>
  </conditionalFormatting>
  <conditionalFormatting sqref="AV50">
    <cfRule type="containsText" dxfId="166" priority="194" operator="containsText" text="na">
      <formula>NOT(ISERROR(SEARCH("na",AV50)))</formula>
    </cfRule>
  </conditionalFormatting>
  <conditionalFormatting sqref="AX59">
    <cfRule type="cellIs" dxfId="165" priority="183" operator="equal">
      <formula>1</formula>
    </cfRule>
  </conditionalFormatting>
  <conditionalFormatting sqref="AX60">
    <cfRule type="cellIs" dxfId="164" priority="182" operator="equal">
      <formula>1</formula>
    </cfRule>
  </conditionalFormatting>
  <conditionalFormatting sqref="AX53">
    <cfRule type="cellIs" dxfId="163" priority="191" operator="equal">
      <formula>1</formula>
    </cfRule>
  </conditionalFormatting>
  <conditionalFormatting sqref="AX54">
    <cfRule type="cellIs" dxfId="162" priority="190" operator="equal">
      <formula>1</formula>
    </cfRule>
  </conditionalFormatting>
  <conditionalFormatting sqref="AX62">
    <cfRule type="cellIs" dxfId="161" priority="180" operator="equal">
      <formula>1</formula>
    </cfRule>
  </conditionalFormatting>
  <conditionalFormatting sqref="AX63">
    <cfRule type="cellIs" dxfId="160" priority="179" operator="equal">
      <formula>1</formula>
    </cfRule>
  </conditionalFormatting>
  <conditionalFormatting sqref="AX61">
    <cfRule type="cellIs" dxfId="159" priority="181" operator="equal">
      <formula>1</formula>
    </cfRule>
  </conditionalFormatting>
  <conditionalFormatting sqref="AJ75">
    <cfRule type="cellIs" dxfId="158" priority="177" operator="equal">
      <formula>1</formula>
    </cfRule>
  </conditionalFormatting>
  <conditionalFormatting sqref="AV75">
    <cfRule type="containsText" dxfId="157" priority="175" operator="containsText" text="na">
      <formula>NOT(ISERROR(SEARCH("na",AV75)))</formula>
    </cfRule>
  </conditionalFormatting>
  <conditionalFormatting sqref="AX72">
    <cfRule type="cellIs" dxfId="155" priority="173" operator="equal">
      <formula>1</formula>
    </cfRule>
  </conditionalFormatting>
  <conditionalFormatting sqref="AX71">
    <cfRule type="cellIs" dxfId="154" priority="174" operator="equal">
      <formula>1</formula>
    </cfRule>
  </conditionalFormatting>
  <conditionalFormatting sqref="AX90">
    <cfRule type="cellIs" dxfId="153" priority="171" operator="equal">
      <formula>1</formula>
    </cfRule>
  </conditionalFormatting>
  <conditionalFormatting sqref="AX89">
    <cfRule type="cellIs" dxfId="152" priority="172" operator="equal">
      <formula>1</formula>
    </cfRule>
  </conditionalFormatting>
  <conditionalFormatting sqref="AX100">
    <cfRule type="cellIs" dxfId="151" priority="169" operator="equal">
      <formula>1</formula>
    </cfRule>
  </conditionalFormatting>
  <conditionalFormatting sqref="AX99">
    <cfRule type="cellIs" dxfId="150" priority="170" operator="equal">
      <formula>1</formula>
    </cfRule>
  </conditionalFormatting>
  <conditionalFormatting sqref="AX98">
    <cfRule type="cellIs" dxfId="149" priority="167" operator="equal">
      <formula>1</formula>
    </cfRule>
  </conditionalFormatting>
  <conditionalFormatting sqref="AX97">
    <cfRule type="cellIs" dxfId="148" priority="168" operator="equal">
      <formula>1</formula>
    </cfRule>
  </conditionalFormatting>
  <conditionalFormatting sqref="AX102">
    <cfRule type="cellIs" dxfId="147" priority="165" operator="equal">
      <formula>1</formula>
    </cfRule>
  </conditionalFormatting>
  <conditionalFormatting sqref="AX101">
    <cfRule type="cellIs" dxfId="146" priority="166" operator="equal">
      <formula>1</formula>
    </cfRule>
  </conditionalFormatting>
  <conditionalFormatting sqref="AX104">
    <cfRule type="cellIs" dxfId="145" priority="163" operator="equal">
      <formula>1</formula>
    </cfRule>
  </conditionalFormatting>
  <conditionalFormatting sqref="AX103">
    <cfRule type="cellIs" dxfId="144" priority="164" operator="equal">
      <formula>1</formula>
    </cfRule>
  </conditionalFormatting>
  <conditionalFormatting sqref="AX106">
    <cfRule type="cellIs" dxfId="143" priority="161" operator="equal">
      <formula>1</formula>
    </cfRule>
  </conditionalFormatting>
  <conditionalFormatting sqref="AX105">
    <cfRule type="cellIs" dxfId="142" priority="162" operator="equal">
      <formula>1</formula>
    </cfRule>
  </conditionalFormatting>
  <conditionalFormatting sqref="AX112">
    <cfRule type="cellIs" dxfId="141" priority="159" operator="equal">
      <formula>1</formula>
    </cfRule>
  </conditionalFormatting>
  <conditionalFormatting sqref="AX111">
    <cfRule type="cellIs" dxfId="140" priority="160" operator="equal">
      <formula>1</formula>
    </cfRule>
  </conditionalFormatting>
  <conditionalFormatting sqref="AX114">
    <cfRule type="cellIs" dxfId="139" priority="157" operator="equal">
      <formula>1</formula>
    </cfRule>
  </conditionalFormatting>
  <conditionalFormatting sqref="AX113">
    <cfRule type="cellIs" dxfId="138" priority="158" operator="equal">
      <formula>1</formula>
    </cfRule>
  </conditionalFormatting>
  <conditionalFormatting sqref="AX120">
    <cfRule type="cellIs" dxfId="137" priority="155" operator="equal">
      <formula>1</formula>
    </cfRule>
  </conditionalFormatting>
  <conditionalFormatting sqref="AX119">
    <cfRule type="cellIs" dxfId="136" priority="156" operator="equal">
      <formula>1</formula>
    </cfRule>
  </conditionalFormatting>
  <conditionalFormatting sqref="AX122">
    <cfRule type="cellIs" dxfId="135" priority="153" operator="equal">
      <formula>1</formula>
    </cfRule>
  </conditionalFormatting>
  <conditionalFormatting sqref="AX121">
    <cfRule type="cellIs" dxfId="134" priority="154" operator="equal">
      <formula>1</formula>
    </cfRule>
  </conditionalFormatting>
  <conditionalFormatting sqref="AX126">
    <cfRule type="cellIs" dxfId="133" priority="151" operator="equal">
      <formula>1</formula>
    </cfRule>
  </conditionalFormatting>
  <conditionalFormatting sqref="AX125">
    <cfRule type="cellIs" dxfId="132" priority="152" operator="equal">
      <formula>1</formula>
    </cfRule>
  </conditionalFormatting>
  <conditionalFormatting sqref="AX136">
    <cfRule type="cellIs" dxfId="131" priority="149" operator="equal">
      <formula>1</formula>
    </cfRule>
  </conditionalFormatting>
  <conditionalFormatting sqref="AX135">
    <cfRule type="cellIs" dxfId="130" priority="150" operator="equal">
      <formula>1</formula>
    </cfRule>
  </conditionalFormatting>
  <conditionalFormatting sqref="AX138">
    <cfRule type="cellIs" dxfId="129" priority="147" operator="equal">
      <formula>1</formula>
    </cfRule>
  </conditionalFormatting>
  <conditionalFormatting sqref="AX137">
    <cfRule type="cellIs" dxfId="128" priority="148" operator="equal">
      <formula>1</formula>
    </cfRule>
  </conditionalFormatting>
  <conditionalFormatting sqref="AX147">
    <cfRule type="cellIs" dxfId="127" priority="146" operator="equal">
      <formula>1</formula>
    </cfRule>
  </conditionalFormatting>
  <conditionalFormatting sqref="AX148">
    <cfRule type="cellIs" dxfId="126" priority="145" operator="equal">
      <formula>1</formula>
    </cfRule>
  </conditionalFormatting>
  <conditionalFormatting sqref="AX149">
    <cfRule type="cellIs" dxfId="125" priority="144" operator="equal">
      <formula>1</formula>
    </cfRule>
  </conditionalFormatting>
  <conditionalFormatting sqref="AX150">
    <cfRule type="cellIs" dxfId="124" priority="143" operator="equal">
      <formula>1</formula>
    </cfRule>
  </conditionalFormatting>
  <conditionalFormatting sqref="AX160">
    <cfRule type="cellIs" dxfId="123" priority="141" operator="equal">
      <formula>1</formula>
    </cfRule>
  </conditionalFormatting>
  <conditionalFormatting sqref="AX159">
    <cfRule type="cellIs" dxfId="122" priority="142" operator="equal">
      <formula>1</formula>
    </cfRule>
  </conditionalFormatting>
  <conditionalFormatting sqref="AX162">
    <cfRule type="cellIs" dxfId="121" priority="139" operator="equal">
      <formula>1</formula>
    </cfRule>
  </conditionalFormatting>
  <conditionalFormatting sqref="AX161">
    <cfRule type="cellIs" dxfId="120" priority="140" operator="equal">
      <formula>1</formula>
    </cfRule>
  </conditionalFormatting>
  <conditionalFormatting sqref="AX164">
    <cfRule type="cellIs" dxfId="119" priority="137" operator="equal">
      <formula>1</formula>
    </cfRule>
  </conditionalFormatting>
  <conditionalFormatting sqref="AX163">
    <cfRule type="cellIs" dxfId="118" priority="138" operator="equal">
      <formula>1</formula>
    </cfRule>
  </conditionalFormatting>
  <conditionalFormatting sqref="AX166">
    <cfRule type="cellIs" dxfId="117" priority="135" operator="equal">
      <formula>1</formula>
    </cfRule>
  </conditionalFormatting>
  <conditionalFormatting sqref="AX165">
    <cfRule type="cellIs" dxfId="116" priority="136" operator="equal">
      <formula>1</formula>
    </cfRule>
  </conditionalFormatting>
  <conditionalFormatting sqref="AX174">
    <cfRule type="cellIs" dxfId="115" priority="134" operator="equal">
      <formula>1</formula>
    </cfRule>
  </conditionalFormatting>
  <conditionalFormatting sqref="AX175">
    <cfRule type="cellIs" dxfId="114" priority="133" operator="equal">
      <formula>1</formula>
    </cfRule>
  </conditionalFormatting>
  <conditionalFormatting sqref="AX184">
    <cfRule type="cellIs" dxfId="113" priority="130" operator="equal">
      <formula>1</formula>
    </cfRule>
  </conditionalFormatting>
  <conditionalFormatting sqref="AX185">
    <cfRule type="cellIs" dxfId="112" priority="129" operator="equal">
      <formula>1</formula>
    </cfRule>
  </conditionalFormatting>
  <conditionalFormatting sqref="AX186">
    <cfRule type="cellIs" dxfId="111" priority="128" operator="equal">
      <formula>1</formula>
    </cfRule>
  </conditionalFormatting>
  <conditionalFormatting sqref="AX187">
    <cfRule type="cellIs" dxfId="110" priority="127" operator="equal">
      <formula>1</formula>
    </cfRule>
  </conditionalFormatting>
  <conditionalFormatting sqref="AX182">
    <cfRule type="cellIs" dxfId="109" priority="126" operator="equal">
      <formula>1</formula>
    </cfRule>
  </conditionalFormatting>
  <conditionalFormatting sqref="AX183">
    <cfRule type="cellIs" dxfId="108" priority="125" operator="equal">
      <formula>1</formula>
    </cfRule>
  </conditionalFormatting>
  <conditionalFormatting sqref="AV182">
    <cfRule type="containsText" dxfId="107" priority="124" operator="containsText" text="na">
      <formula>NOT(ISERROR(SEARCH("na",AV182)))</formula>
    </cfRule>
  </conditionalFormatting>
  <conditionalFormatting sqref="AV183">
    <cfRule type="containsText" dxfId="106" priority="123" operator="containsText" text="na">
      <formula>NOT(ISERROR(SEARCH("na",AV183)))</formula>
    </cfRule>
  </conditionalFormatting>
  <conditionalFormatting sqref="AX198">
    <cfRule type="cellIs" dxfId="105" priority="122" operator="equal">
      <formula>1</formula>
    </cfRule>
  </conditionalFormatting>
  <conditionalFormatting sqref="AX199">
    <cfRule type="cellIs" dxfId="104" priority="121" operator="equal">
      <formula>1</formula>
    </cfRule>
  </conditionalFormatting>
  <conditionalFormatting sqref="AX200">
    <cfRule type="cellIs" dxfId="103" priority="120" operator="equal">
      <formula>1</formula>
    </cfRule>
  </conditionalFormatting>
  <conditionalFormatting sqref="AX201">
    <cfRule type="cellIs" dxfId="102" priority="119" operator="equal">
      <formula>1</formula>
    </cfRule>
  </conditionalFormatting>
  <conditionalFormatting sqref="AX202">
    <cfRule type="cellIs" dxfId="101" priority="118" operator="equal">
      <formula>1</formula>
    </cfRule>
  </conditionalFormatting>
  <conditionalFormatting sqref="AX203">
    <cfRule type="cellIs" dxfId="100" priority="117" operator="equal">
      <formula>1</formula>
    </cfRule>
  </conditionalFormatting>
  <conditionalFormatting sqref="AX204">
    <cfRule type="cellIs" dxfId="99" priority="116" operator="equal">
      <formula>1</formula>
    </cfRule>
  </conditionalFormatting>
  <conditionalFormatting sqref="AX205">
    <cfRule type="cellIs" dxfId="98" priority="115" operator="equal">
      <formula>1</formula>
    </cfRule>
  </conditionalFormatting>
  <conditionalFormatting sqref="AX208">
    <cfRule type="cellIs" dxfId="97" priority="114" operator="equal">
      <formula>1</formula>
    </cfRule>
  </conditionalFormatting>
  <conditionalFormatting sqref="AX209">
    <cfRule type="cellIs" dxfId="96" priority="113" operator="equal">
      <formula>1</formula>
    </cfRule>
  </conditionalFormatting>
  <conditionalFormatting sqref="AX212">
    <cfRule type="cellIs" dxfId="95" priority="110" operator="equal">
      <formula>1</formula>
    </cfRule>
  </conditionalFormatting>
  <conditionalFormatting sqref="AX213">
    <cfRule type="cellIs" dxfId="94" priority="109" operator="equal">
      <formula>1</formula>
    </cfRule>
  </conditionalFormatting>
  <conditionalFormatting sqref="AX210">
    <cfRule type="cellIs" dxfId="93" priority="102" operator="equal">
      <formula>1</formula>
    </cfRule>
  </conditionalFormatting>
  <conditionalFormatting sqref="AX211">
    <cfRule type="cellIs" dxfId="92" priority="101" operator="equal">
      <formula>1</formula>
    </cfRule>
  </conditionalFormatting>
  <conditionalFormatting sqref="AX214">
    <cfRule type="cellIs" dxfId="91" priority="100" operator="equal">
      <formula>1</formula>
    </cfRule>
  </conditionalFormatting>
  <conditionalFormatting sqref="AX215">
    <cfRule type="cellIs" dxfId="90" priority="99" operator="equal">
      <formula>1</formula>
    </cfRule>
  </conditionalFormatting>
  <conditionalFormatting sqref="AX216">
    <cfRule type="cellIs" dxfId="89" priority="98" operator="equal">
      <formula>1</formula>
    </cfRule>
  </conditionalFormatting>
  <conditionalFormatting sqref="AX217">
    <cfRule type="cellIs" dxfId="88" priority="97" operator="equal">
      <formula>1</formula>
    </cfRule>
  </conditionalFormatting>
  <conditionalFormatting sqref="AX218">
    <cfRule type="cellIs" dxfId="87" priority="96" operator="equal">
      <formula>1</formula>
    </cfRule>
  </conditionalFormatting>
  <conditionalFormatting sqref="AX219">
    <cfRule type="cellIs" dxfId="86" priority="95" operator="equal">
      <formula>1</formula>
    </cfRule>
  </conditionalFormatting>
  <conditionalFormatting sqref="AX220">
    <cfRule type="cellIs" dxfId="85" priority="94" operator="equal">
      <formula>1</formula>
    </cfRule>
  </conditionalFormatting>
  <conditionalFormatting sqref="AX221">
    <cfRule type="cellIs" dxfId="84" priority="93" operator="equal">
      <formula>1</formula>
    </cfRule>
  </conditionalFormatting>
  <conditionalFormatting sqref="AX226">
    <cfRule type="cellIs" dxfId="83" priority="92" operator="equal">
      <formula>1</formula>
    </cfRule>
  </conditionalFormatting>
  <conditionalFormatting sqref="AX227">
    <cfRule type="cellIs" dxfId="82" priority="91" operator="equal">
      <formula>1</formula>
    </cfRule>
  </conditionalFormatting>
  <conditionalFormatting sqref="AX230">
    <cfRule type="cellIs" dxfId="81" priority="90" operator="equal">
      <formula>1</formula>
    </cfRule>
  </conditionalFormatting>
  <conditionalFormatting sqref="AX231">
    <cfRule type="cellIs" dxfId="80" priority="89" operator="equal">
      <formula>1</formula>
    </cfRule>
  </conditionalFormatting>
  <conditionalFormatting sqref="AX232">
    <cfRule type="cellIs" dxfId="79" priority="88" operator="equal">
      <formula>1</formula>
    </cfRule>
  </conditionalFormatting>
  <conditionalFormatting sqref="AX233">
    <cfRule type="cellIs" dxfId="78" priority="87" operator="equal">
      <formula>1</formula>
    </cfRule>
  </conditionalFormatting>
  <conditionalFormatting sqref="AX246">
    <cfRule type="cellIs" dxfId="77" priority="86" operator="equal">
      <formula>1</formula>
    </cfRule>
  </conditionalFormatting>
  <conditionalFormatting sqref="AX247">
    <cfRule type="cellIs" dxfId="76" priority="85" operator="equal">
      <formula>1</formula>
    </cfRule>
  </conditionalFormatting>
  <conditionalFormatting sqref="AX262">
    <cfRule type="cellIs" dxfId="75" priority="84" operator="equal">
      <formula>1</formula>
    </cfRule>
  </conditionalFormatting>
  <conditionalFormatting sqref="AX263">
    <cfRule type="cellIs" dxfId="74" priority="83" operator="equal">
      <formula>1</formula>
    </cfRule>
  </conditionalFormatting>
  <conditionalFormatting sqref="AX264">
    <cfRule type="cellIs" dxfId="73" priority="82" operator="equal">
      <formula>1</formula>
    </cfRule>
  </conditionalFormatting>
  <conditionalFormatting sqref="AX265">
    <cfRule type="cellIs" dxfId="72" priority="81" operator="equal">
      <formula>1</formula>
    </cfRule>
  </conditionalFormatting>
  <conditionalFormatting sqref="AX272">
    <cfRule type="cellIs" dxfId="71" priority="80" operator="equal">
      <formula>1</formula>
    </cfRule>
  </conditionalFormatting>
  <conditionalFormatting sqref="AX273">
    <cfRule type="cellIs" dxfId="70" priority="79" operator="equal">
      <formula>1</formula>
    </cfRule>
  </conditionalFormatting>
  <conditionalFormatting sqref="AX278">
    <cfRule type="cellIs" dxfId="69" priority="78" operator="equal">
      <formula>1</formula>
    </cfRule>
  </conditionalFormatting>
  <conditionalFormatting sqref="AX279">
    <cfRule type="cellIs" dxfId="68" priority="77" operator="equal">
      <formula>1</formula>
    </cfRule>
  </conditionalFormatting>
  <conditionalFormatting sqref="AX280">
    <cfRule type="cellIs" dxfId="67" priority="76" operator="equal">
      <formula>1</formula>
    </cfRule>
  </conditionalFormatting>
  <conditionalFormatting sqref="AX281">
    <cfRule type="cellIs" dxfId="66" priority="75" operator="equal">
      <formula>1</formula>
    </cfRule>
  </conditionalFormatting>
  <conditionalFormatting sqref="AX284">
    <cfRule type="cellIs" dxfId="65" priority="74" operator="equal">
      <formula>1</formula>
    </cfRule>
  </conditionalFormatting>
  <conditionalFormatting sqref="AX285">
    <cfRule type="cellIs" dxfId="64" priority="73" operator="equal">
      <formula>1</formula>
    </cfRule>
  </conditionalFormatting>
  <conditionalFormatting sqref="AX294">
    <cfRule type="cellIs" dxfId="63" priority="72" operator="equal">
      <formula>1</formula>
    </cfRule>
  </conditionalFormatting>
  <conditionalFormatting sqref="AX295">
    <cfRule type="cellIs" dxfId="62" priority="71" operator="equal">
      <formula>1</formula>
    </cfRule>
  </conditionalFormatting>
  <conditionalFormatting sqref="AX300">
    <cfRule type="cellIs" dxfId="61" priority="70" operator="equal">
      <formula>1</formula>
    </cfRule>
  </conditionalFormatting>
  <conditionalFormatting sqref="AX301">
    <cfRule type="cellIs" dxfId="60" priority="69" operator="equal">
      <formula>1</formula>
    </cfRule>
  </conditionalFormatting>
  <conditionalFormatting sqref="AX302">
    <cfRule type="cellIs" dxfId="59" priority="68" operator="equal">
      <formula>1</formula>
    </cfRule>
  </conditionalFormatting>
  <conditionalFormatting sqref="AX303">
    <cfRule type="cellIs" dxfId="58" priority="67" operator="equal">
      <formula>1</formula>
    </cfRule>
  </conditionalFormatting>
  <conditionalFormatting sqref="AX304">
    <cfRule type="cellIs" dxfId="57" priority="66" operator="equal">
      <formula>1</formula>
    </cfRule>
  </conditionalFormatting>
  <conditionalFormatting sqref="AX305">
    <cfRule type="cellIs" dxfId="56" priority="65" operator="equal">
      <formula>1</formula>
    </cfRule>
  </conditionalFormatting>
  <conditionalFormatting sqref="AX306">
    <cfRule type="cellIs" dxfId="55" priority="64" operator="equal">
      <formula>1</formula>
    </cfRule>
  </conditionalFormatting>
  <conditionalFormatting sqref="AX307">
    <cfRule type="cellIs" dxfId="54" priority="63" operator="equal">
      <formula>1</formula>
    </cfRule>
  </conditionalFormatting>
  <conditionalFormatting sqref="AX312">
    <cfRule type="cellIs" dxfId="53" priority="62" operator="equal">
      <formula>1</formula>
    </cfRule>
  </conditionalFormatting>
  <conditionalFormatting sqref="AX313">
    <cfRule type="cellIs" dxfId="52" priority="61" operator="equal">
      <formula>1</formula>
    </cfRule>
  </conditionalFormatting>
  <conditionalFormatting sqref="AX316">
    <cfRule type="cellIs" dxfId="51" priority="60" operator="equal">
      <formula>1</formula>
    </cfRule>
  </conditionalFormatting>
  <conditionalFormatting sqref="AX317">
    <cfRule type="cellIs" dxfId="50" priority="59" operator="equal">
      <formula>1</formula>
    </cfRule>
  </conditionalFormatting>
  <conditionalFormatting sqref="AX320">
    <cfRule type="cellIs" dxfId="49" priority="58" operator="equal">
      <formula>1</formula>
    </cfRule>
  </conditionalFormatting>
  <conditionalFormatting sqref="AX321">
    <cfRule type="cellIs" dxfId="48" priority="57" operator="equal">
      <formula>1</formula>
    </cfRule>
  </conditionalFormatting>
  <conditionalFormatting sqref="AX324">
    <cfRule type="cellIs" dxfId="47" priority="56" operator="equal">
      <formula>1</formula>
    </cfRule>
  </conditionalFormatting>
  <conditionalFormatting sqref="AX325">
    <cfRule type="cellIs" dxfId="46" priority="55" operator="equal">
      <formula>1</formula>
    </cfRule>
  </conditionalFormatting>
  <conditionalFormatting sqref="AX326">
    <cfRule type="cellIs" dxfId="45" priority="54" operator="equal">
      <formula>1</formula>
    </cfRule>
  </conditionalFormatting>
  <conditionalFormatting sqref="AX327">
    <cfRule type="cellIs" dxfId="44" priority="53" operator="equal">
      <formula>1</formula>
    </cfRule>
  </conditionalFormatting>
  <conditionalFormatting sqref="AX340">
    <cfRule type="cellIs" dxfId="43" priority="48" operator="equal">
      <formula>1</formula>
    </cfRule>
  </conditionalFormatting>
  <conditionalFormatting sqref="AX341">
    <cfRule type="cellIs" dxfId="42" priority="47" operator="equal">
      <formula>1</formula>
    </cfRule>
  </conditionalFormatting>
  <conditionalFormatting sqref="AX350">
    <cfRule type="cellIs" dxfId="41" priority="44" operator="equal">
      <formula>1</formula>
    </cfRule>
  </conditionalFormatting>
  <conditionalFormatting sqref="AX351">
    <cfRule type="cellIs" dxfId="40" priority="43" operator="equal">
      <formula>1</formula>
    </cfRule>
  </conditionalFormatting>
  <conditionalFormatting sqref="AX352">
    <cfRule type="cellIs" dxfId="39" priority="42" operator="equal">
      <formula>1</formula>
    </cfRule>
  </conditionalFormatting>
  <conditionalFormatting sqref="AX353">
    <cfRule type="cellIs" dxfId="38" priority="41" operator="equal">
      <formula>1</formula>
    </cfRule>
  </conditionalFormatting>
  <conditionalFormatting sqref="AX354">
    <cfRule type="cellIs" dxfId="37" priority="40" operator="equal">
      <formula>1</formula>
    </cfRule>
  </conditionalFormatting>
  <conditionalFormatting sqref="AX355">
    <cfRule type="cellIs" dxfId="36" priority="39" operator="equal">
      <formula>1</formula>
    </cfRule>
  </conditionalFormatting>
  <conditionalFormatting sqref="AX358">
    <cfRule type="cellIs" dxfId="35" priority="38" operator="equal">
      <formula>1</formula>
    </cfRule>
  </conditionalFormatting>
  <conditionalFormatting sqref="AX359">
    <cfRule type="cellIs" dxfId="34" priority="37" operator="equal">
      <formula>1</formula>
    </cfRule>
  </conditionalFormatting>
  <conditionalFormatting sqref="AX360">
    <cfRule type="cellIs" dxfId="33" priority="36" operator="equal">
      <formula>1</formula>
    </cfRule>
  </conditionalFormatting>
  <conditionalFormatting sqref="AX361">
    <cfRule type="cellIs" dxfId="32" priority="35" operator="equal">
      <formula>1</formula>
    </cfRule>
  </conditionalFormatting>
  <conditionalFormatting sqref="AX362">
    <cfRule type="cellIs" dxfId="31" priority="34" operator="equal">
      <formula>1</formula>
    </cfRule>
  </conditionalFormatting>
  <conditionalFormatting sqref="AX363">
    <cfRule type="cellIs" dxfId="30" priority="33" operator="equal">
      <formula>1</formula>
    </cfRule>
  </conditionalFormatting>
  <conditionalFormatting sqref="AX368">
    <cfRule type="cellIs" dxfId="29" priority="32" operator="equal">
      <formula>1</formula>
    </cfRule>
  </conditionalFormatting>
  <conditionalFormatting sqref="AX369">
    <cfRule type="cellIs" dxfId="28" priority="31" operator="equal">
      <formula>1</formula>
    </cfRule>
  </conditionalFormatting>
  <conditionalFormatting sqref="AX370">
    <cfRule type="cellIs" dxfId="27" priority="30" operator="equal">
      <formula>1</formula>
    </cfRule>
  </conditionalFormatting>
  <conditionalFormatting sqref="AX371">
    <cfRule type="cellIs" dxfId="26" priority="29" operator="equal">
      <formula>1</formula>
    </cfRule>
  </conditionalFormatting>
  <conditionalFormatting sqref="AX374">
    <cfRule type="cellIs" dxfId="25" priority="28" operator="equal">
      <formula>1</formula>
    </cfRule>
  </conditionalFormatting>
  <conditionalFormatting sqref="AX375">
    <cfRule type="cellIs" dxfId="24" priority="27" operator="equal">
      <formula>1</formula>
    </cfRule>
  </conditionalFormatting>
  <conditionalFormatting sqref="AX378">
    <cfRule type="cellIs" dxfId="23" priority="26" operator="equal">
      <formula>1</formula>
    </cfRule>
  </conditionalFormatting>
  <conditionalFormatting sqref="AX379">
    <cfRule type="cellIs" dxfId="22" priority="25" operator="equal">
      <formula>1</formula>
    </cfRule>
  </conditionalFormatting>
  <conditionalFormatting sqref="AX380">
    <cfRule type="cellIs" dxfId="21" priority="24" operator="equal">
      <formula>1</formula>
    </cfRule>
  </conditionalFormatting>
  <conditionalFormatting sqref="AX381">
    <cfRule type="cellIs" dxfId="20" priority="23" operator="equal">
      <formula>1</formula>
    </cfRule>
  </conditionalFormatting>
  <conditionalFormatting sqref="AX384">
    <cfRule type="cellIs" dxfId="19" priority="22" operator="equal">
      <formula>1</formula>
    </cfRule>
  </conditionalFormatting>
  <conditionalFormatting sqref="AX385">
    <cfRule type="cellIs" dxfId="18" priority="21" operator="equal">
      <formula>1</formula>
    </cfRule>
  </conditionalFormatting>
  <conditionalFormatting sqref="AX396">
    <cfRule type="cellIs" dxfId="17" priority="20" operator="equal">
      <formula>1</formula>
    </cfRule>
  </conditionalFormatting>
  <conditionalFormatting sqref="AX397">
    <cfRule type="cellIs" dxfId="16" priority="19" operator="equal">
      <formula>1</formula>
    </cfRule>
  </conditionalFormatting>
  <conditionalFormatting sqref="AX410">
    <cfRule type="cellIs" dxfId="15" priority="16" operator="equal">
      <formula>1</formula>
    </cfRule>
  </conditionalFormatting>
  <conditionalFormatting sqref="AX411">
    <cfRule type="cellIs" dxfId="14" priority="15" operator="equal">
      <formula>1</formula>
    </cfRule>
  </conditionalFormatting>
  <conditionalFormatting sqref="AX422">
    <cfRule type="cellIs" dxfId="12" priority="12" operator="equal">
      <formula>1</formula>
    </cfRule>
  </conditionalFormatting>
  <conditionalFormatting sqref="AX423">
    <cfRule type="cellIs" dxfId="10" priority="11" operator="equal">
      <formula>1</formula>
    </cfRule>
  </conditionalFormatting>
  <conditionalFormatting sqref="AX424">
    <cfRule type="cellIs" dxfId="9" priority="10" operator="equal">
      <formula>1</formula>
    </cfRule>
  </conditionalFormatting>
  <conditionalFormatting sqref="AX425">
    <cfRule type="cellIs" dxfId="8" priority="9" operator="equal">
      <formula>1</formula>
    </cfRule>
  </conditionalFormatting>
  <conditionalFormatting sqref="AX428">
    <cfRule type="cellIs" dxfId="7" priority="8" operator="equal">
      <formula>1</formula>
    </cfRule>
  </conditionalFormatting>
  <conditionalFormatting sqref="AX429">
    <cfRule type="cellIs" dxfId="6" priority="6" operator="equal">
      <formula>1</formula>
    </cfRule>
  </conditionalFormatting>
  <conditionalFormatting sqref="AV430:AV431">
    <cfRule type="containsText" dxfId="5" priority="5" operator="containsText" text="na">
      <formula>NOT(ISERROR(SEARCH("na",AV430)))</formula>
    </cfRule>
  </conditionalFormatting>
  <conditionalFormatting sqref="AV436:AV437">
    <cfRule type="containsText" dxfId="4" priority="4" operator="containsText" text="na">
      <formula>NOT(ISERROR(SEARCH("na",AV436)))</formula>
    </cfRule>
  </conditionalFormatting>
  <conditionalFormatting sqref="AX436">
    <cfRule type="cellIs" dxfId="3" priority="3" operator="equal">
      <formula>1</formula>
    </cfRule>
  </conditionalFormatting>
  <conditionalFormatting sqref="AX437">
    <cfRule type="cellIs" dxfId="2" priority="2" operator="equal">
      <formula>1</formula>
    </cfRule>
  </conditionalFormatting>
  <conditionalFormatting sqref="AU75:AU76">
    <cfRule type="containsText" dxfId="1" priority="1" operator="containsText" text="na">
      <formula>NOT(ISERROR(SEARCH("na",AU75)))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722</v>
      </c>
      <c r="B1" t="s">
        <v>723</v>
      </c>
    </row>
    <row r="2" spans="1:2" x14ac:dyDescent="0.35">
      <c r="A2" t="s">
        <v>458</v>
      </c>
      <c r="B2">
        <v>1268</v>
      </c>
    </row>
    <row r="3" spans="1:2" x14ac:dyDescent="0.35">
      <c r="A3" t="s">
        <v>459</v>
      </c>
      <c r="B3">
        <v>1268</v>
      </c>
    </row>
    <row r="4" spans="1:2" x14ac:dyDescent="0.35">
      <c r="A4" t="s">
        <v>460</v>
      </c>
      <c r="B4">
        <v>1268</v>
      </c>
    </row>
    <row r="5" spans="1:2" x14ac:dyDescent="0.35">
      <c r="A5" t="s">
        <v>461</v>
      </c>
      <c r="B5">
        <v>1268</v>
      </c>
    </row>
    <row r="6" spans="1:2" x14ac:dyDescent="0.35">
      <c r="A6" t="s">
        <v>462</v>
      </c>
      <c r="B6">
        <v>1269</v>
      </c>
    </row>
    <row r="7" spans="1:2" x14ac:dyDescent="0.35">
      <c r="A7" t="s">
        <v>463</v>
      </c>
      <c r="B7">
        <v>1269</v>
      </c>
    </row>
    <row r="8" spans="1:2" x14ac:dyDescent="0.35">
      <c r="A8" t="s">
        <v>464</v>
      </c>
      <c r="B8">
        <v>1269</v>
      </c>
    </row>
    <row r="9" spans="1:2" x14ac:dyDescent="0.35">
      <c r="A9" t="s">
        <v>465</v>
      </c>
      <c r="B9">
        <v>1269</v>
      </c>
    </row>
    <row r="10" spans="1:2" x14ac:dyDescent="0.35">
      <c r="A10" t="s">
        <v>466</v>
      </c>
      <c r="B10">
        <v>1276</v>
      </c>
    </row>
    <row r="11" spans="1:2" x14ac:dyDescent="0.35">
      <c r="A11" t="s">
        <v>467</v>
      </c>
      <c r="B11">
        <v>1276</v>
      </c>
    </row>
    <row r="12" spans="1:2" x14ac:dyDescent="0.35">
      <c r="A12" t="s">
        <v>468</v>
      </c>
      <c r="B12">
        <v>1272</v>
      </c>
    </row>
    <row r="13" spans="1:2" x14ac:dyDescent="0.35">
      <c r="A13" t="s">
        <v>469</v>
      </c>
      <c r="B13">
        <v>1272</v>
      </c>
    </row>
    <row r="14" spans="1:2" x14ac:dyDescent="0.35">
      <c r="A14" t="s">
        <v>470</v>
      </c>
      <c r="B14">
        <v>1276</v>
      </c>
    </row>
    <row r="15" spans="1:2" x14ac:dyDescent="0.35">
      <c r="A15" t="s">
        <v>471</v>
      </c>
      <c r="B15">
        <v>1276</v>
      </c>
    </row>
    <row r="16" spans="1:2" x14ac:dyDescent="0.35">
      <c r="A16" t="s">
        <v>472</v>
      </c>
      <c r="B16">
        <v>1269</v>
      </c>
    </row>
    <row r="17" spans="1:2" x14ac:dyDescent="0.35">
      <c r="A17" t="s">
        <v>473</v>
      </c>
      <c r="B17">
        <v>1269</v>
      </c>
    </row>
    <row r="18" spans="1:2" x14ac:dyDescent="0.35">
      <c r="A18" t="s">
        <v>474</v>
      </c>
      <c r="B18">
        <v>1269</v>
      </c>
    </row>
    <row r="19" spans="1:2" x14ac:dyDescent="0.35">
      <c r="A19" t="s">
        <v>475</v>
      </c>
      <c r="B19">
        <v>1269</v>
      </c>
    </row>
    <row r="20" spans="1:2" x14ac:dyDescent="0.35">
      <c r="A20" t="s">
        <v>476</v>
      </c>
      <c r="B20">
        <v>1269</v>
      </c>
    </row>
    <row r="21" spans="1:2" x14ac:dyDescent="0.35">
      <c r="A21" t="s">
        <v>477</v>
      </c>
      <c r="B21">
        <v>1269</v>
      </c>
    </row>
    <row r="22" spans="1:2" x14ac:dyDescent="0.35">
      <c r="A22" t="s">
        <v>478</v>
      </c>
      <c r="B22">
        <v>1293</v>
      </c>
    </row>
    <row r="23" spans="1:2" x14ac:dyDescent="0.35">
      <c r="A23" t="s">
        <v>479</v>
      </c>
      <c r="B23">
        <v>1293</v>
      </c>
    </row>
    <row r="24" spans="1:2" x14ac:dyDescent="0.35">
      <c r="A24" t="s">
        <v>480</v>
      </c>
      <c r="B24">
        <v>1293</v>
      </c>
    </row>
    <row r="25" spans="1:2" x14ac:dyDescent="0.35">
      <c r="A25" t="s">
        <v>481</v>
      </c>
      <c r="B25">
        <v>1293</v>
      </c>
    </row>
    <row r="26" spans="1:2" x14ac:dyDescent="0.35">
      <c r="A26" t="s">
        <v>482</v>
      </c>
      <c r="B26">
        <v>1296</v>
      </c>
    </row>
    <row r="27" spans="1:2" x14ac:dyDescent="0.35">
      <c r="A27" t="s">
        <v>483</v>
      </c>
      <c r="B27">
        <v>1296</v>
      </c>
    </row>
    <row r="28" spans="1:2" x14ac:dyDescent="0.35">
      <c r="A28" t="s">
        <v>484</v>
      </c>
      <c r="B28">
        <v>1294</v>
      </c>
    </row>
    <row r="29" spans="1:2" x14ac:dyDescent="0.35">
      <c r="A29" t="s">
        <v>485</v>
      </c>
      <c r="B29">
        <v>1294</v>
      </c>
    </row>
    <row r="30" spans="1:2" x14ac:dyDescent="0.35">
      <c r="A30" t="s">
        <v>486</v>
      </c>
      <c r="B30">
        <v>1294</v>
      </c>
    </row>
    <row r="31" spans="1:2" x14ac:dyDescent="0.35">
      <c r="A31" t="s">
        <v>487</v>
      </c>
      <c r="B31">
        <v>1294</v>
      </c>
    </row>
    <row r="32" spans="1:2" x14ac:dyDescent="0.35">
      <c r="A32" t="s">
        <v>488</v>
      </c>
      <c r="B32">
        <v>1294</v>
      </c>
    </row>
    <row r="33" spans="1:2" x14ac:dyDescent="0.35">
      <c r="A33" t="s">
        <v>489</v>
      </c>
      <c r="B33">
        <v>1294</v>
      </c>
    </row>
    <row r="34" spans="1:2" x14ac:dyDescent="0.35">
      <c r="A34" t="s">
        <v>490</v>
      </c>
      <c r="B34">
        <v>1294</v>
      </c>
    </row>
    <row r="35" spans="1:2" x14ac:dyDescent="0.35">
      <c r="A35" t="s">
        <v>491</v>
      </c>
      <c r="B35">
        <v>1294</v>
      </c>
    </row>
    <row r="36" spans="1:2" x14ac:dyDescent="0.35">
      <c r="A36" t="s">
        <v>492</v>
      </c>
      <c r="B36">
        <v>1291</v>
      </c>
    </row>
    <row r="37" spans="1:2" x14ac:dyDescent="0.35">
      <c r="A37" t="s">
        <v>493</v>
      </c>
      <c r="B37">
        <v>1291</v>
      </c>
    </row>
    <row r="38" spans="1:2" x14ac:dyDescent="0.35">
      <c r="A38" t="s">
        <v>494</v>
      </c>
      <c r="B38">
        <v>2955</v>
      </c>
    </row>
    <row r="39" spans="1:2" x14ac:dyDescent="0.35">
      <c r="A39" t="s">
        <v>495</v>
      </c>
      <c r="B39">
        <v>2955</v>
      </c>
    </row>
    <row r="40" spans="1:2" x14ac:dyDescent="0.35">
      <c r="A40" t="s">
        <v>496</v>
      </c>
      <c r="B40">
        <v>1292</v>
      </c>
    </row>
    <row r="41" spans="1:2" x14ac:dyDescent="0.35">
      <c r="A41" t="s">
        <v>497</v>
      </c>
      <c r="B41">
        <v>1292</v>
      </c>
    </row>
    <row r="42" spans="1:2" x14ac:dyDescent="0.35">
      <c r="A42" t="s">
        <v>498</v>
      </c>
      <c r="B42">
        <v>1292</v>
      </c>
    </row>
    <row r="43" spans="1:2" x14ac:dyDescent="0.35">
      <c r="A43" t="s">
        <v>499</v>
      </c>
      <c r="B43">
        <v>1292</v>
      </c>
    </row>
    <row r="44" spans="1:2" x14ac:dyDescent="0.35">
      <c r="A44" t="s">
        <v>500</v>
      </c>
      <c r="B44">
        <v>1290</v>
      </c>
    </row>
    <row r="45" spans="1:2" x14ac:dyDescent="0.35">
      <c r="A45" t="s">
        <v>501</v>
      </c>
      <c r="B45">
        <v>1290</v>
      </c>
    </row>
    <row r="46" spans="1:2" x14ac:dyDescent="0.35">
      <c r="A46" t="s">
        <v>502</v>
      </c>
      <c r="B46">
        <v>3002</v>
      </c>
    </row>
    <row r="47" spans="1:2" x14ac:dyDescent="0.35">
      <c r="A47" t="s">
        <v>503</v>
      </c>
      <c r="B47">
        <v>3002</v>
      </c>
    </row>
    <row r="48" spans="1:2" x14ac:dyDescent="0.35">
      <c r="A48" t="s">
        <v>504</v>
      </c>
      <c r="B48">
        <v>3069</v>
      </c>
    </row>
    <row r="49" spans="1:2" x14ac:dyDescent="0.35">
      <c r="A49" t="s">
        <v>505</v>
      </c>
      <c r="B49">
        <v>3069</v>
      </c>
    </row>
    <row r="50" spans="1:2" x14ac:dyDescent="0.35">
      <c r="A50" t="s">
        <v>506</v>
      </c>
      <c r="B50">
        <v>3069</v>
      </c>
    </row>
    <row r="51" spans="1:2" x14ac:dyDescent="0.35">
      <c r="A51" t="s">
        <v>507</v>
      </c>
      <c r="B51">
        <v>3069</v>
      </c>
    </row>
    <row r="52" spans="1:2" x14ac:dyDescent="0.35">
      <c r="A52" t="s">
        <v>508</v>
      </c>
      <c r="B52">
        <v>3051</v>
      </c>
    </row>
    <row r="53" spans="1:2" x14ac:dyDescent="0.35">
      <c r="A53" t="s">
        <v>509</v>
      </c>
      <c r="B53">
        <v>3051</v>
      </c>
    </row>
    <row r="54" spans="1:2" x14ac:dyDescent="0.35">
      <c r="A54" t="s">
        <v>510</v>
      </c>
      <c r="B54">
        <v>3051</v>
      </c>
    </row>
    <row r="55" spans="1:2" x14ac:dyDescent="0.35">
      <c r="A55" t="s">
        <v>511</v>
      </c>
      <c r="B55">
        <v>3051</v>
      </c>
    </row>
    <row r="56" spans="1:2" x14ac:dyDescent="0.35">
      <c r="A56" t="s">
        <v>512</v>
      </c>
      <c r="B56">
        <v>3051</v>
      </c>
    </row>
    <row r="57" spans="1:2" x14ac:dyDescent="0.35">
      <c r="A57" t="s">
        <v>513</v>
      </c>
      <c r="B57">
        <v>3051</v>
      </c>
    </row>
    <row r="58" spans="1:2" x14ac:dyDescent="0.35">
      <c r="A58" t="s">
        <v>514</v>
      </c>
      <c r="B58">
        <v>1292</v>
      </c>
    </row>
    <row r="59" spans="1:2" x14ac:dyDescent="0.35">
      <c r="A59" t="s">
        <v>515</v>
      </c>
      <c r="B59">
        <v>1292</v>
      </c>
    </row>
    <row r="60" spans="1:2" x14ac:dyDescent="0.35">
      <c r="A60" t="s">
        <v>516</v>
      </c>
      <c r="B60">
        <v>1537</v>
      </c>
    </row>
    <row r="61" spans="1:2" x14ac:dyDescent="0.35">
      <c r="A61" t="s">
        <v>517</v>
      </c>
      <c r="B61">
        <v>1537</v>
      </c>
    </row>
    <row r="62" spans="1:2" x14ac:dyDescent="0.35">
      <c r="A62" t="s">
        <v>518</v>
      </c>
      <c r="B62">
        <v>2542</v>
      </c>
    </row>
    <row r="63" spans="1:2" x14ac:dyDescent="0.35">
      <c r="A63" t="s">
        <v>519</v>
      </c>
      <c r="B63">
        <v>2542</v>
      </c>
    </row>
    <row r="64" spans="1:2" x14ac:dyDescent="0.35">
      <c r="A64" t="s">
        <v>520</v>
      </c>
      <c r="B64">
        <v>2542</v>
      </c>
    </row>
    <row r="65" spans="1:2" x14ac:dyDescent="0.35">
      <c r="A65" t="s">
        <v>521</v>
      </c>
      <c r="B65">
        <v>2542</v>
      </c>
    </row>
    <row r="66" spans="1:2" x14ac:dyDescent="0.35">
      <c r="A66" t="s">
        <v>522</v>
      </c>
      <c r="B66">
        <v>1866</v>
      </c>
    </row>
    <row r="67" spans="1:2" x14ac:dyDescent="0.35">
      <c r="A67" t="s">
        <v>523</v>
      </c>
      <c r="B67">
        <v>1866</v>
      </c>
    </row>
    <row r="68" spans="1:2" x14ac:dyDescent="0.35">
      <c r="A68" t="s">
        <v>524</v>
      </c>
      <c r="B68">
        <v>1860</v>
      </c>
    </row>
    <row r="69" spans="1:2" x14ac:dyDescent="0.35">
      <c r="A69" t="s">
        <v>525</v>
      </c>
      <c r="B69">
        <v>1860</v>
      </c>
    </row>
    <row r="70" spans="1:2" x14ac:dyDescent="0.35">
      <c r="A70" t="s">
        <v>526</v>
      </c>
      <c r="B70">
        <v>1855</v>
      </c>
    </row>
    <row r="71" spans="1:2" x14ac:dyDescent="0.35">
      <c r="A71" t="s">
        <v>527</v>
      </c>
      <c r="B71">
        <v>1855</v>
      </c>
    </row>
    <row r="72" spans="1:2" x14ac:dyDescent="0.35">
      <c r="A72" t="s">
        <v>528</v>
      </c>
      <c r="B72">
        <v>1855</v>
      </c>
    </row>
    <row r="73" spans="1:2" x14ac:dyDescent="0.35">
      <c r="A73" t="s">
        <v>529</v>
      </c>
      <c r="B73">
        <v>1855</v>
      </c>
    </row>
    <row r="74" spans="1:2" x14ac:dyDescent="0.35">
      <c r="A74" t="s">
        <v>530</v>
      </c>
      <c r="B74">
        <v>3409</v>
      </c>
    </row>
    <row r="75" spans="1:2" x14ac:dyDescent="0.35">
      <c r="A75" t="s">
        <v>531</v>
      </c>
      <c r="B75">
        <v>3409</v>
      </c>
    </row>
    <row r="76" spans="1:2" x14ac:dyDescent="0.35">
      <c r="A76" t="s">
        <v>532</v>
      </c>
      <c r="B76">
        <v>2213</v>
      </c>
    </row>
    <row r="77" spans="1:2" x14ac:dyDescent="0.35">
      <c r="A77" t="s">
        <v>533</v>
      </c>
      <c r="B77">
        <v>2213</v>
      </c>
    </row>
    <row r="78" spans="1:2" x14ac:dyDescent="0.35">
      <c r="A78" t="s">
        <v>534</v>
      </c>
      <c r="B78">
        <v>2221</v>
      </c>
    </row>
    <row r="79" spans="1:2" x14ac:dyDescent="0.35">
      <c r="A79" t="s">
        <v>535</v>
      </c>
      <c r="B79">
        <v>2221</v>
      </c>
    </row>
    <row r="80" spans="1:2" x14ac:dyDescent="0.35">
      <c r="A80" t="s">
        <v>536</v>
      </c>
      <c r="B80">
        <v>2502</v>
      </c>
    </row>
    <row r="81" spans="1:2" x14ac:dyDescent="0.35">
      <c r="A81" t="s">
        <v>537</v>
      </c>
      <c r="B81">
        <v>2502</v>
      </c>
    </row>
    <row r="82" spans="1:2" x14ac:dyDescent="0.35">
      <c r="A82" t="s">
        <v>538</v>
      </c>
      <c r="B82">
        <v>2502</v>
      </c>
    </row>
    <row r="83" spans="1:2" x14ac:dyDescent="0.35">
      <c r="A83" t="s">
        <v>539</v>
      </c>
      <c r="B83">
        <v>2502</v>
      </c>
    </row>
    <row r="84" spans="1:2" x14ac:dyDescent="0.35">
      <c r="A84" t="s">
        <v>540</v>
      </c>
      <c r="B84">
        <v>2081</v>
      </c>
    </row>
    <row r="85" spans="1:2" x14ac:dyDescent="0.35">
      <c r="A85" t="s">
        <v>541</v>
      </c>
      <c r="B85">
        <v>2081</v>
      </c>
    </row>
    <row r="86" spans="1:2" x14ac:dyDescent="0.35">
      <c r="A86" t="s">
        <v>542</v>
      </c>
      <c r="B86">
        <v>3055</v>
      </c>
    </row>
    <row r="87" spans="1:2" x14ac:dyDescent="0.35">
      <c r="A87" t="s">
        <v>543</v>
      </c>
      <c r="B87">
        <v>3055</v>
      </c>
    </row>
    <row r="88" spans="1:2" x14ac:dyDescent="0.35">
      <c r="A88" t="s">
        <v>544</v>
      </c>
      <c r="B88">
        <v>3621</v>
      </c>
    </row>
    <row r="89" spans="1:2" x14ac:dyDescent="0.35">
      <c r="A89" t="s">
        <v>545</v>
      </c>
      <c r="B89">
        <v>3621</v>
      </c>
    </row>
    <row r="90" spans="1:2" x14ac:dyDescent="0.35">
      <c r="A90" t="s">
        <v>546</v>
      </c>
      <c r="B90">
        <v>1985</v>
      </c>
    </row>
    <row r="91" spans="1:2" x14ac:dyDescent="0.35">
      <c r="A91" t="s">
        <v>547</v>
      </c>
      <c r="B91">
        <v>1985</v>
      </c>
    </row>
    <row r="92" spans="1:2" x14ac:dyDescent="0.35">
      <c r="A92" t="s">
        <v>548</v>
      </c>
      <c r="B92">
        <v>3281</v>
      </c>
    </row>
    <row r="93" spans="1:2" x14ac:dyDescent="0.35">
      <c r="A93" t="s">
        <v>549</v>
      </c>
      <c r="B93">
        <v>3281</v>
      </c>
    </row>
    <row r="94" spans="1:2" x14ac:dyDescent="0.35">
      <c r="A94" t="s">
        <v>550</v>
      </c>
      <c r="B94">
        <v>3281</v>
      </c>
    </row>
    <row r="95" spans="1:2" x14ac:dyDescent="0.35">
      <c r="A95" t="s">
        <v>551</v>
      </c>
      <c r="B95">
        <v>3281</v>
      </c>
    </row>
    <row r="96" spans="1:2" x14ac:dyDescent="0.35">
      <c r="A96" t="s">
        <v>552</v>
      </c>
      <c r="B96">
        <v>1457</v>
      </c>
    </row>
    <row r="97" spans="1:2" x14ac:dyDescent="0.35">
      <c r="A97" t="s">
        <v>553</v>
      </c>
      <c r="B97">
        <v>1457</v>
      </c>
    </row>
    <row r="98" spans="1:2" x14ac:dyDescent="0.35">
      <c r="A98" t="s">
        <v>554</v>
      </c>
      <c r="B98">
        <v>3300</v>
      </c>
    </row>
    <row r="99" spans="1:2" x14ac:dyDescent="0.35">
      <c r="A99" t="s">
        <v>555</v>
      </c>
      <c r="B99">
        <v>3300</v>
      </c>
    </row>
    <row r="100" spans="1:2" x14ac:dyDescent="0.35">
      <c r="A100" t="s">
        <v>556</v>
      </c>
      <c r="B100">
        <v>2074</v>
      </c>
    </row>
    <row r="101" spans="1:2" x14ac:dyDescent="0.35">
      <c r="A101" t="s">
        <v>557</v>
      </c>
      <c r="B101">
        <v>2074</v>
      </c>
    </row>
    <row r="102" spans="1:2" x14ac:dyDescent="0.35">
      <c r="A102" t="s">
        <v>558</v>
      </c>
      <c r="B102">
        <v>1617</v>
      </c>
    </row>
    <row r="103" spans="1:2" x14ac:dyDescent="0.35">
      <c r="A103" t="s">
        <v>559</v>
      </c>
      <c r="B103">
        <v>1617</v>
      </c>
    </row>
    <row r="104" spans="1:2" x14ac:dyDescent="0.35">
      <c r="A104" t="s">
        <v>560</v>
      </c>
      <c r="B104">
        <v>1617</v>
      </c>
    </row>
    <row r="105" spans="1:2" x14ac:dyDescent="0.35">
      <c r="A105" t="s">
        <v>561</v>
      </c>
      <c r="B105">
        <v>1617</v>
      </c>
    </row>
    <row r="106" spans="1:2" x14ac:dyDescent="0.35">
      <c r="A106" t="s">
        <v>562</v>
      </c>
      <c r="B106">
        <v>1585</v>
      </c>
    </row>
    <row r="107" spans="1:2" x14ac:dyDescent="0.35">
      <c r="A107" t="s">
        <v>563</v>
      </c>
      <c r="B107">
        <v>1585</v>
      </c>
    </row>
    <row r="108" spans="1:2" x14ac:dyDescent="0.35">
      <c r="A108" t="s">
        <v>564</v>
      </c>
      <c r="B108">
        <v>1585</v>
      </c>
    </row>
    <row r="109" spans="1:2" x14ac:dyDescent="0.35">
      <c r="A109" t="s">
        <v>565</v>
      </c>
      <c r="B109">
        <v>1585</v>
      </c>
    </row>
    <row r="110" spans="1:2" x14ac:dyDescent="0.35">
      <c r="A110" t="s">
        <v>566</v>
      </c>
      <c r="B110">
        <v>2261</v>
      </c>
    </row>
    <row r="111" spans="1:2" x14ac:dyDescent="0.35">
      <c r="A111" t="s">
        <v>567</v>
      </c>
      <c r="B111">
        <v>2261</v>
      </c>
    </row>
    <row r="112" spans="1:2" x14ac:dyDescent="0.35">
      <c r="A112" t="s">
        <v>568</v>
      </c>
      <c r="B112">
        <v>2027</v>
      </c>
    </row>
    <row r="113" spans="1:2" x14ac:dyDescent="0.35">
      <c r="A113" t="s">
        <v>569</v>
      </c>
      <c r="B113">
        <v>2027</v>
      </c>
    </row>
    <row r="114" spans="1:2" x14ac:dyDescent="0.35">
      <c r="A114" t="s">
        <v>570</v>
      </c>
      <c r="B114">
        <v>1800</v>
      </c>
    </row>
    <row r="115" spans="1:2" x14ac:dyDescent="0.35">
      <c r="A115" t="s">
        <v>571</v>
      </c>
      <c r="B115">
        <v>1800</v>
      </c>
    </row>
    <row r="116" spans="1:2" x14ac:dyDescent="0.35">
      <c r="A116" t="s">
        <v>572</v>
      </c>
      <c r="B116">
        <v>2695</v>
      </c>
    </row>
    <row r="117" spans="1:2" x14ac:dyDescent="0.35">
      <c r="A117" t="s">
        <v>573</v>
      </c>
      <c r="B117">
        <v>2695</v>
      </c>
    </row>
    <row r="118" spans="1:2" x14ac:dyDescent="0.35">
      <c r="A118" t="s">
        <v>574</v>
      </c>
      <c r="B118">
        <v>2695</v>
      </c>
    </row>
    <row r="119" spans="1:2" x14ac:dyDescent="0.35">
      <c r="A119" t="s">
        <v>575</v>
      </c>
      <c r="B119">
        <v>2695</v>
      </c>
    </row>
    <row r="120" spans="1:2" x14ac:dyDescent="0.35">
      <c r="A120" t="s">
        <v>576</v>
      </c>
      <c r="B120">
        <v>2127</v>
      </c>
    </row>
    <row r="121" spans="1:2" x14ac:dyDescent="0.35">
      <c r="A121" t="s">
        <v>577</v>
      </c>
      <c r="B121">
        <v>2127</v>
      </c>
    </row>
    <row r="122" spans="1:2" x14ac:dyDescent="0.35">
      <c r="A122" t="s">
        <v>578</v>
      </c>
      <c r="B122">
        <v>3159</v>
      </c>
    </row>
    <row r="123" spans="1:2" x14ac:dyDescent="0.35">
      <c r="A123" t="s">
        <v>579</v>
      </c>
      <c r="B123">
        <v>3159</v>
      </c>
    </row>
    <row r="124" spans="1:2" x14ac:dyDescent="0.35">
      <c r="A124" t="s">
        <v>580</v>
      </c>
      <c r="B124">
        <v>2126</v>
      </c>
    </row>
    <row r="125" spans="1:2" x14ac:dyDescent="0.35">
      <c r="A125" t="s">
        <v>581</v>
      </c>
      <c r="B125">
        <v>2126</v>
      </c>
    </row>
    <row r="126" spans="1:2" x14ac:dyDescent="0.35">
      <c r="A126" t="s">
        <v>582</v>
      </c>
      <c r="B126">
        <v>1715</v>
      </c>
    </row>
    <row r="127" spans="1:2" x14ac:dyDescent="0.35">
      <c r="A127" t="s">
        <v>583</v>
      </c>
      <c r="B127">
        <v>1715</v>
      </c>
    </row>
    <row r="128" spans="1:2" x14ac:dyDescent="0.35">
      <c r="A128" t="s">
        <v>584</v>
      </c>
      <c r="B128">
        <v>1715</v>
      </c>
    </row>
    <row r="129" spans="1:2" x14ac:dyDescent="0.35">
      <c r="A129" t="s">
        <v>585</v>
      </c>
      <c r="B129">
        <v>1715</v>
      </c>
    </row>
    <row r="130" spans="1:2" x14ac:dyDescent="0.35">
      <c r="A130" t="s">
        <v>586</v>
      </c>
      <c r="B130">
        <v>3091</v>
      </c>
    </row>
    <row r="131" spans="1:2" x14ac:dyDescent="0.35">
      <c r="A131" t="s">
        <v>587</v>
      </c>
      <c r="B131">
        <v>3091</v>
      </c>
    </row>
    <row r="132" spans="1:2" x14ac:dyDescent="0.35">
      <c r="A132" t="s">
        <v>588</v>
      </c>
      <c r="B132">
        <v>3091</v>
      </c>
    </row>
    <row r="133" spans="1:2" x14ac:dyDescent="0.35">
      <c r="A133" t="s">
        <v>589</v>
      </c>
      <c r="B133">
        <v>3091</v>
      </c>
    </row>
    <row r="134" spans="1:2" x14ac:dyDescent="0.35">
      <c r="A134" t="s">
        <v>590</v>
      </c>
      <c r="B134">
        <v>1717</v>
      </c>
    </row>
    <row r="135" spans="1:2" x14ac:dyDescent="0.35">
      <c r="A135" t="s">
        <v>591</v>
      </c>
      <c r="B135">
        <v>1717</v>
      </c>
    </row>
    <row r="136" spans="1:2" x14ac:dyDescent="0.35">
      <c r="A136" t="s">
        <v>592</v>
      </c>
      <c r="B136">
        <v>3071</v>
      </c>
    </row>
    <row r="137" spans="1:2" x14ac:dyDescent="0.35">
      <c r="A137" t="s">
        <v>593</v>
      </c>
      <c r="B137">
        <v>3071</v>
      </c>
    </row>
    <row r="138" spans="1:2" x14ac:dyDescent="0.35">
      <c r="A138" t="s">
        <v>594</v>
      </c>
      <c r="B138">
        <v>1783</v>
      </c>
    </row>
    <row r="139" spans="1:2" x14ac:dyDescent="0.35">
      <c r="A139" t="s">
        <v>595</v>
      </c>
      <c r="B139">
        <v>1783</v>
      </c>
    </row>
    <row r="140" spans="1:2" x14ac:dyDescent="0.35">
      <c r="A140" t="s">
        <v>596</v>
      </c>
      <c r="B140">
        <v>2316</v>
      </c>
    </row>
    <row r="141" spans="1:2" x14ac:dyDescent="0.35">
      <c r="A141" t="s">
        <v>597</v>
      </c>
      <c r="B141">
        <v>2316</v>
      </c>
    </row>
    <row r="142" spans="1:2" x14ac:dyDescent="0.35">
      <c r="A142" t="s">
        <v>598</v>
      </c>
      <c r="B142">
        <v>2316</v>
      </c>
    </row>
    <row r="143" spans="1:2" x14ac:dyDescent="0.35">
      <c r="A143" t="s">
        <v>599</v>
      </c>
      <c r="B143">
        <v>2316</v>
      </c>
    </row>
    <row r="144" spans="1:2" x14ac:dyDescent="0.35">
      <c r="A144" t="s">
        <v>600</v>
      </c>
      <c r="B144">
        <v>1810</v>
      </c>
    </row>
    <row r="145" spans="1:2" x14ac:dyDescent="0.35">
      <c r="A145" t="s">
        <v>601</v>
      </c>
      <c r="B145">
        <v>1810</v>
      </c>
    </row>
    <row r="146" spans="1:2" x14ac:dyDescent="0.35">
      <c r="A146" t="s">
        <v>602</v>
      </c>
      <c r="B146">
        <v>1797</v>
      </c>
    </row>
    <row r="147" spans="1:2" x14ac:dyDescent="0.35">
      <c r="A147" t="s">
        <v>603</v>
      </c>
      <c r="B147">
        <v>1797</v>
      </c>
    </row>
    <row r="148" spans="1:2" x14ac:dyDescent="0.35">
      <c r="A148" t="s">
        <v>604</v>
      </c>
      <c r="B148">
        <v>3018</v>
      </c>
    </row>
    <row r="149" spans="1:2" x14ac:dyDescent="0.35">
      <c r="A149" t="s">
        <v>605</v>
      </c>
      <c r="B149">
        <v>3018</v>
      </c>
    </row>
    <row r="150" spans="1:2" x14ac:dyDescent="0.35">
      <c r="A150" t="s">
        <v>606</v>
      </c>
      <c r="B150">
        <v>3018</v>
      </c>
    </row>
    <row r="151" spans="1:2" x14ac:dyDescent="0.35">
      <c r="A151" t="s">
        <v>607</v>
      </c>
      <c r="B151">
        <v>3018</v>
      </c>
    </row>
    <row r="152" spans="1:2" x14ac:dyDescent="0.35">
      <c r="A152" t="s">
        <v>608</v>
      </c>
      <c r="B152">
        <v>3018</v>
      </c>
    </row>
    <row r="153" spans="1:2" x14ac:dyDescent="0.35">
      <c r="A153" t="s">
        <v>609</v>
      </c>
      <c r="B153">
        <v>3018</v>
      </c>
    </row>
    <row r="154" spans="1:2" x14ac:dyDescent="0.35">
      <c r="A154" t="s">
        <v>610</v>
      </c>
      <c r="B154">
        <v>3018</v>
      </c>
    </row>
    <row r="155" spans="1:2" x14ac:dyDescent="0.35">
      <c r="A155" t="s">
        <v>611</v>
      </c>
      <c r="B155">
        <v>3018</v>
      </c>
    </row>
    <row r="156" spans="1:2" x14ac:dyDescent="0.35">
      <c r="A156" t="s">
        <v>612</v>
      </c>
      <c r="B156">
        <v>2030</v>
      </c>
    </row>
    <row r="157" spans="1:2" x14ac:dyDescent="0.35">
      <c r="A157" t="s">
        <v>613</v>
      </c>
      <c r="B157">
        <v>2030</v>
      </c>
    </row>
    <row r="158" spans="1:2" x14ac:dyDescent="0.35">
      <c r="A158" t="s">
        <v>614</v>
      </c>
      <c r="B158">
        <v>2012</v>
      </c>
    </row>
    <row r="159" spans="1:2" x14ac:dyDescent="0.35">
      <c r="A159" t="s">
        <v>615</v>
      </c>
      <c r="B159">
        <v>2012</v>
      </c>
    </row>
    <row r="160" spans="1:2" x14ac:dyDescent="0.35">
      <c r="A160" t="s">
        <v>616</v>
      </c>
      <c r="B160">
        <v>2012</v>
      </c>
    </row>
    <row r="161" spans="1:2" x14ac:dyDescent="0.35">
      <c r="A161" t="s">
        <v>617</v>
      </c>
      <c r="B161">
        <v>2012</v>
      </c>
    </row>
    <row r="162" spans="1:2" x14ac:dyDescent="0.35">
      <c r="A162" t="s">
        <v>618</v>
      </c>
      <c r="B162">
        <v>2275</v>
      </c>
    </row>
    <row r="163" spans="1:2" x14ac:dyDescent="0.35">
      <c r="A163" t="s">
        <v>619</v>
      </c>
      <c r="B163">
        <v>2275</v>
      </c>
    </row>
    <row r="164" spans="1:2" x14ac:dyDescent="0.35">
      <c r="A164" t="s">
        <v>620</v>
      </c>
      <c r="B164">
        <v>2275</v>
      </c>
    </row>
    <row r="165" spans="1:2" x14ac:dyDescent="0.35">
      <c r="A165" t="s">
        <v>621</v>
      </c>
      <c r="B165">
        <v>2275</v>
      </c>
    </row>
    <row r="166" spans="1:2" x14ac:dyDescent="0.35">
      <c r="A166" t="s">
        <v>622</v>
      </c>
      <c r="B166">
        <v>1950</v>
      </c>
    </row>
    <row r="167" spans="1:2" x14ac:dyDescent="0.35">
      <c r="A167" t="s">
        <v>623</v>
      </c>
      <c r="B167">
        <v>1950</v>
      </c>
    </row>
    <row r="168" spans="1:2" x14ac:dyDescent="0.35">
      <c r="A168" t="s">
        <v>624</v>
      </c>
      <c r="B168">
        <v>1950</v>
      </c>
    </row>
    <row r="169" spans="1:2" x14ac:dyDescent="0.35">
      <c r="A169" t="s">
        <v>625</v>
      </c>
      <c r="B169">
        <v>1950</v>
      </c>
    </row>
    <row r="170" spans="1:2" x14ac:dyDescent="0.35">
      <c r="A170" t="s">
        <v>626</v>
      </c>
      <c r="B170">
        <v>3188</v>
      </c>
    </row>
    <row r="171" spans="1:2" x14ac:dyDescent="0.35">
      <c r="A171" t="s">
        <v>627</v>
      </c>
      <c r="B171">
        <v>3188</v>
      </c>
    </row>
    <row r="172" spans="1:2" x14ac:dyDescent="0.35">
      <c r="A172" t="s">
        <v>628</v>
      </c>
      <c r="B172">
        <v>1966</v>
      </c>
    </row>
    <row r="173" spans="1:2" x14ac:dyDescent="0.35">
      <c r="A173" t="s">
        <v>629</v>
      </c>
      <c r="B173">
        <v>1966</v>
      </c>
    </row>
    <row r="174" spans="1:2" x14ac:dyDescent="0.35">
      <c r="A174" t="s">
        <v>630</v>
      </c>
      <c r="B174">
        <v>1469</v>
      </c>
    </row>
    <row r="175" spans="1:2" x14ac:dyDescent="0.35">
      <c r="A175" t="s">
        <v>631</v>
      </c>
      <c r="B175">
        <v>1469</v>
      </c>
    </row>
    <row r="176" spans="1:2" x14ac:dyDescent="0.35">
      <c r="A176" t="s">
        <v>632</v>
      </c>
      <c r="B176">
        <v>2122</v>
      </c>
    </row>
    <row r="177" spans="1:2" x14ac:dyDescent="0.35">
      <c r="A177" t="s">
        <v>633</v>
      </c>
      <c r="B177">
        <v>2122</v>
      </c>
    </row>
    <row r="178" spans="1:2" x14ac:dyDescent="0.35">
      <c r="A178" t="s">
        <v>634</v>
      </c>
      <c r="B178">
        <v>2332</v>
      </c>
    </row>
    <row r="179" spans="1:2" x14ac:dyDescent="0.35">
      <c r="A179" t="s">
        <v>635</v>
      </c>
      <c r="B179">
        <v>2332</v>
      </c>
    </row>
    <row r="180" spans="1:2" x14ac:dyDescent="0.35">
      <c r="A180" t="s">
        <v>636</v>
      </c>
      <c r="B180">
        <v>1669</v>
      </c>
    </row>
    <row r="181" spans="1:2" x14ac:dyDescent="0.35">
      <c r="A181" t="s">
        <v>637</v>
      </c>
      <c r="B181">
        <v>1669</v>
      </c>
    </row>
    <row r="182" spans="1:2" x14ac:dyDescent="0.35">
      <c r="A182" t="s">
        <v>638</v>
      </c>
      <c r="B182">
        <v>1669</v>
      </c>
    </row>
    <row r="183" spans="1:2" x14ac:dyDescent="0.35">
      <c r="A183" t="s">
        <v>639</v>
      </c>
      <c r="B183">
        <v>1669</v>
      </c>
    </row>
    <row r="184" spans="1:2" x14ac:dyDescent="0.35">
      <c r="A184" t="s">
        <v>640</v>
      </c>
      <c r="B184">
        <v>1660</v>
      </c>
    </row>
    <row r="185" spans="1:2" x14ac:dyDescent="0.35">
      <c r="A185" t="s">
        <v>641</v>
      </c>
      <c r="B185">
        <v>1660</v>
      </c>
    </row>
    <row r="186" spans="1:2" x14ac:dyDescent="0.35">
      <c r="A186" t="s">
        <v>642</v>
      </c>
      <c r="B186">
        <v>2195</v>
      </c>
    </row>
    <row r="187" spans="1:2" x14ac:dyDescent="0.35">
      <c r="A187" t="s">
        <v>643</v>
      </c>
      <c r="B187">
        <v>2195</v>
      </c>
    </row>
    <row r="188" spans="1:2" x14ac:dyDescent="0.35">
      <c r="A188" t="s">
        <v>644</v>
      </c>
      <c r="B188">
        <v>2195</v>
      </c>
    </row>
    <row r="189" spans="1:2" x14ac:dyDescent="0.35">
      <c r="A189" t="s">
        <v>645</v>
      </c>
      <c r="B189">
        <v>2195</v>
      </c>
    </row>
    <row r="190" spans="1:2" x14ac:dyDescent="0.35">
      <c r="A190" t="s">
        <v>646</v>
      </c>
      <c r="B190">
        <v>2195</v>
      </c>
    </row>
    <row r="191" spans="1:2" x14ac:dyDescent="0.35">
      <c r="A191" t="s">
        <v>647</v>
      </c>
      <c r="B191">
        <v>2195</v>
      </c>
    </row>
    <row r="192" spans="1:2" x14ac:dyDescent="0.35">
      <c r="A192" t="s">
        <v>648</v>
      </c>
      <c r="B192">
        <v>1594</v>
      </c>
    </row>
    <row r="193" spans="1:2" x14ac:dyDescent="0.35">
      <c r="A193" t="s">
        <v>649</v>
      </c>
      <c r="B193">
        <v>1594</v>
      </c>
    </row>
    <row r="194" spans="1:2" x14ac:dyDescent="0.35">
      <c r="A194" t="s">
        <v>650</v>
      </c>
      <c r="B194">
        <v>1594</v>
      </c>
    </row>
    <row r="195" spans="1:2" x14ac:dyDescent="0.35">
      <c r="A195" t="s">
        <v>651</v>
      </c>
      <c r="B195">
        <v>1594</v>
      </c>
    </row>
    <row r="196" spans="1:2" x14ac:dyDescent="0.35">
      <c r="A196" t="s">
        <v>652</v>
      </c>
      <c r="B196">
        <v>1594</v>
      </c>
    </row>
    <row r="197" spans="1:2" x14ac:dyDescent="0.35">
      <c r="A197" t="s">
        <v>653</v>
      </c>
      <c r="B197">
        <v>1594</v>
      </c>
    </row>
    <row r="198" spans="1:2" x14ac:dyDescent="0.35">
      <c r="A198" t="s">
        <v>654</v>
      </c>
      <c r="B198">
        <v>2168</v>
      </c>
    </row>
    <row r="199" spans="1:2" x14ac:dyDescent="0.35">
      <c r="A199" t="s">
        <v>655</v>
      </c>
      <c r="B199">
        <v>2168</v>
      </c>
    </row>
    <row r="200" spans="1:2" x14ac:dyDescent="0.35">
      <c r="A200" t="s">
        <v>656</v>
      </c>
      <c r="B200">
        <v>1625</v>
      </c>
    </row>
    <row r="201" spans="1:2" x14ac:dyDescent="0.35">
      <c r="A201" t="s">
        <v>657</v>
      </c>
      <c r="B201">
        <v>1625</v>
      </c>
    </row>
    <row r="202" spans="1:2" x14ac:dyDescent="0.35">
      <c r="A202" t="s">
        <v>658</v>
      </c>
      <c r="B202">
        <v>2162</v>
      </c>
    </row>
    <row r="203" spans="1:2" x14ac:dyDescent="0.35">
      <c r="A203" t="s">
        <v>659</v>
      </c>
      <c r="B203">
        <v>2162</v>
      </c>
    </row>
    <row r="204" spans="1:2" x14ac:dyDescent="0.35">
      <c r="A204" t="s">
        <v>660</v>
      </c>
      <c r="B204">
        <v>1506</v>
      </c>
    </row>
    <row r="205" spans="1:2" x14ac:dyDescent="0.35">
      <c r="A205" t="s">
        <v>661</v>
      </c>
      <c r="B205">
        <v>1506</v>
      </c>
    </row>
    <row r="206" spans="1:2" x14ac:dyDescent="0.35">
      <c r="A206" t="s">
        <v>662</v>
      </c>
      <c r="B206">
        <v>1724</v>
      </c>
    </row>
    <row r="207" spans="1:2" x14ac:dyDescent="0.35">
      <c r="A207" t="s">
        <v>663</v>
      </c>
      <c r="B207">
        <v>1724</v>
      </c>
    </row>
    <row r="208" spans="1:2" x14ac:dyDescent="0.35">
      <c r="A208" t="s">
        <v>664</v>
      </c>
      <c r="B208">
        <v>1565</v>
      </c>
    </row>
    <row r="209" spans="1:2" x14ac:dyDescent="0.35">
      <c r="A209" t="s">
        <v>665</v>
      </c>
      <c r="B209">
        <v>1565</v>
      </c>
    </row>
    <row r="210" spans="1:2" x14ac:dyDescent="0.35">
      <c r="A210" t="s">
        <v>666</v>
      </c>
      <c r="B210">
        <v>1565</v>
      </c>
    </row>
    <row r="211" spans="1:2" x14ac:dyDescent="0.35">
      <c r="A211" t="s">
        <v>667</v>
      </c>
      <c r="B211">
        <v>1565</v>
      </c>
    </row>
    <row r="212" spans="1:2" x14ac:dyDescent="0.35">
      <c r="A212" t="s">
        <v>668</v>
      </c>
      <c r="B212">
        <v>1565</v>
      </c>
    </row>
    <row r="213" spans="1:2" x14ac:dyDescent="0.35">
      <c r="A213" t="s">
        <v>669</v>
      </c>
      <c r="B213">
        <v>1565</v>
      </c>
    </row>
    <row r="214" spans="1:2" x14ac:dyDescent="0.35">
      <c r="A214" t="s">
        <v>670</v>
      </c>
      <c r="B214">
        <v>2188</v>
      </c>
    </row>
    <row r="215" spans="1:2" x14ac:dyDescent="0.35">
      <c r="A215" t="s">
        <v>671</v>
      </c>
      <c r="B215">
        <v>2188</v>
      </c>
    </row>
    <row r="216" spans="1:2" x14ac:dyDescent="0.35">
      <c r="A216" t="s">
        <v>672</v>
      </c>
      <c r="B216">
        <v>2188</v>
      </c>
    </row>
    <row r="217" spans="1:2" x14ac:dyDescent="0.35">
      <c r="A217" t="s">
        <v>673</v>
      </c>
      <c r="B217">
        <v>2188</v>
      </c>
    </row>
    <row r="218" spans="1:2" x14ac:dyDescent="0.35">
      <c r="A218" t="s">
        <v>674</v>
      </c>
      <c r="B218">
        <v>1691</v>
      </c>
    </row>
    <row r="219" spans="1:2" x14ac:dyDescent="0.35">
      <c r="A219" t="s">
        <v>675</v>
      </c>
      <c r="B219">
        <v>1691</v>
      </c>
    </row>
    <row r="220" spans="1:2" x14ac:dyDescent="0.35">
      <c r="A220" t="s">
        <v>676</v>
      </c>
      <c r="B220">
        <v>2504</v>
      </c>
    </row>
    <row r="221" spans="1:2" x14ac:dyDescent="0.35">
      <c r="A221" t="s">
        <v>677</v>
      </c>
      <c r="B221">
        <v>2504</v>
      </c>
    </row>
    <row r="222" spans="1:2" x14ac:dyDescent="0.35">
      <c r="A222" t="s">
        <v>678</v>
      </c>
      <c r="B222">
        <v>2591</v>
      </c>
    </row>
    <row r="223" spans="1:2" x14ac:dyDescent="0.35">
      <c r="A223" t="s">
        <v>679</v>
      </c>
      <c r="B223">
        <v>2591</v>
      </c>
    </row>
    <row r="224" spans="1:2" x14ac:dyDescent="0.35">
      <c r="A224" t="s">
        <v>680</v>
      </c>
      <c r="B224">
        <v>1508</v>
      </c>
    </row>
    <row r="225" spans="1:2" x14ac:dyDescent="0.35">
      <c r="A225" t="s">
        <v>681</v>
      </c>
      <c r="B225">
        <v>1508</v>
      </c>
    </row>
    <row r="226" spans="1:2" x14ac:dyDescent="0.35">
      <c r="A226" t="s">
        <v>682</v>
      </c>
      <c r="B226">
        <v>1508</v>
      </c>
    </row>
    <row r="227" spans="1:2" x14ac:dyDescent="0.35">
      <c r="A227" t="s">
        <v>683</v>
      </c>
      <c r="B227">
        <v>1508</v>
      </c>
    </row>
    <row r="228" spans="1:2" x14ac:dyDescent="0.35">
      <c r="A228" t="s">
        <v>684</v>
      </c>
      <c r="B228">
        <v>2168</v>
      </c>
    </row>
    <row r="229" spans="1:2" x14ac:dyDescent="0.35">
      <c r="A229" t="s">
        <v>685</v>
      </c>
      <c r="B229">
        <v>2168</v>
      </c>
    </row>
    <row r="230" spans="1:2" x14ac:dyDescent="0.35">
      <c r="A230" t="s">
        <v>686</v>
      </c>
      <c r="B230">
        <v>2168</v>
      </c>
    </row>
    <row r="231" spans="1:2" x14ac:dyDescent="0.35">
      <c r="A231" t="s">
        <v>687</v>
      </c>
      <c r="B231">
        <v>2168</v>
      </c>
    </row>
    <row r="232" spans="1:2" x14ac:dyDescent="0.35">
      <c r="A232" t="s">
        <v>688</v>
      </c>
      <c r="B232">
        <v>2168</v>
      </c>
    </row>
    <row r="233" spans="1:2" x14ac:dyDescent="0.35">
      <c r="A233" t="s">
        <v>689</v>
      </c>
      <c r="B233">
        <v>2168</v>
      </c>
    </row>
    <row r="234" spans="1:2" x14ac:dyDescent="0.35">
      <c r="A234" t="s">
        <v>690</v>
      </c>
      <c r="B234">
        <v>2224</v>
      </c>
    </row>
    <row r="235" spans="1:2" x14ac:dyDescent="0.35">
      <c r="A235" t="s">
        <v>691</v>
      </c>
      <c r="B235">
        <v>2224</v>
      </c>
    </row>
    <row r="236" spans="1:2" x14ac:dyDescent="0.35">
      <c r="A236" t="s">
        <v>692</v>
      </c>
      <c r="B236">
        <v>1881</v>
      </c>
    </row>
    <row r="237" spans="1:2" x14ac:dyDescent="0.35">
      <c r="A237" t="s">
        <v>693</v>
      </c>
      <c r="B237">
        <v>1881</v>
      </c>
    </row>
    <row r="238" spans="1:2" x14ac:dyDescent="0.35">
      <c r="A238" t="s">
        <v>694</v>
      </c>
      <c r="B238">
        <v>1869</v>
      </c>
    </row>
    <row r="239" spans="1:2" x14ac:dyDescent="0.35">
      <c r="A239" t="s">
        <v>695</v>
      </c>
      <c r="B239">
        <v>1869</v>
      </c>
    </row>
    <row r="240" spans="1:2" x14ac:dyDescent="0.35">
      <c r="A240" t="s">
        <v>696</v>
      </c>
      <c r="B240">
        <v>1869</v>
      </c>
    </row>
    <row r="241" spans="1:2" x14ac:dyDescent="0.35">
      <c r="A241" t="s">
        <v>697</v>
      </c>
      <c r="B241">
        <v>1869</v>
      </c>
    </row>
    <row r="242" spans="1:2" x14ac:dyDescent="0.35">
      <c r="A242" t="s">
        <v>698</v>
      </c>
      <c r="B242">
        <v>1662</v>
      </c>
    </row>
    <row r="243" spans="1:2" x14ac:dyDescent="0.35">
      <c r="A243" t="s">
        <v>699</v>
      </c>
      <c r="B243">
        <v>1662</v>
      </c>
    </row>
    <row r="244" spans="1:2" x14ac:dyDescent="0.35">
      <c r="A244" t="s">
        <v>700</v>
      </c>
      <c r="B244">
        <v>2102</v>
      </c>
    </row>
    <row r="245" spans="1:2" x14ac:dyDescent="0.35">
      <c r="A245" t="s">
        <v>701</v>
      </c>
      <c r="B245">
        <v>2102</v>
      </c>
    </row>
    <row r="246" spans="1:2" x14ac:dyDescent="0.35">
      <c r="A246" t="s">
        <v>702</v>
      </c>
      <c r="B246">
        <v>1898</v>
      </c>
    </row>
    <row r="247" spans="1:2" x14ac:dyDescent="0.35">
      <c r="A247" t="s">
        <v>703</v>
      </c>
      <c r="B247">
        <v>1898</v>
      </c>
    </row>
    <row r="248" spans="1:2" x14ac:dyDescent="0.35">
      <c r="A248" t="s">
        <v>704</v>
      </c>
      <c r="B248">
        <v>1600</v>
      </c>
    </row>
    <row r="249" spans="1:2" x14ac:dyDescent="0.35">
      <c r="A249" t="s">
        <v>705</v>
      </c>
      <c r="B249">
        <v>1600</v>
      </c>
    </row>
    <row r="250" spans="1:2" x14ac:dyDescent="0.35">
      <c r="A250" t="s">
        <v>706</v>
      </c>
      <c r="B250">
        <v>1838</v>
      </c>
    </row>
    <row r="251" spans="1:2" x14ac:dyDescent="0.35">
      <c r="A251" t="s">
        <v>707</v>
      </c>
      <c r="B251">
        <v>1838</v>
      </c>
    </row>
    <row r="252" spans="1:2" x14ac:dyDescent="0.35">
      <c r="A252" t="s">
        <v>708</v>
      </c>
      <c r="B252">
        <v>1959</v>
      </c>
    </row>
    <row r="253" spans="1:2" x14ac:dyDescent="0.35">
      <c r="A253" t="s">
        <v>709</v>
      </c>
      <c r="B253">
        <v>1959</v>
      </c>
    </row>
    <row r="254" spans="1:2" x14ac:dyDescent="0.35">
      <c r="A254" t="s">
        <v>710</v>
      </c>
      <c r="B254">
        <v>1799</v>
      </c>
    </row>
    <row r="255" spans="1:2" x14ac:dyDescent="0.35">
      <c r="A255" t="s">
        <v>711</v>
      </c>
      <c r="B255">
        <v>1799</v>
      </c>
    </row>
    <row r="256" spans="1:2" x14ac:dyDescent="0.35">
      <c r="A256" t="s">
        <v>712</v>
      </c>
      <c r="B256">
        <v>1799</v>
      </c>
    </row>
    <row r="257" spans="1:2" x14ac:dyDescent="0.35">
      <c r="A257" t="s">
        <v>713</v>
      </c>
      <c r="B257">
        <v>1799</v>
      </c>
    </row>
    <row r="258" spans="1:2" x14ac:dyDescent="0.35">
      <c r="A258" t="s">
        <v>714</v>
      </c>
      <c r="B258">
        <v>2044</v>
      </c>
    </row>
    <row r="259" spans="1:2" x14ac:dyDescent="0.35">
      <c r="A259" t="s">
        <v>715</v>
      </c>
      <c r="B259">
        <v>2044</v>
      </c>
    </row>
    <row r="260" spans="1:2" x14ac:dyDescent="0.35">
      <c r="A260" t="s">
        <v>716</v>
      </c>
      <c r="B260">
        <v>1904</v>
      </c>
    </row>
    <row r="261" spans="1:2" x14ac:dyDescent="0.35">
      <c r="A261" t="s">
        <v>717</v>
      </c>
      <c r="B261">
        <v>1904</v>
      </c>
    </row>
    <row r="262" spans="1:2" x14ac:dyDescent="0.35">
      <c r="A262" t="s">
        <v>718</v>
      </c>
      <c r="B262">
        <v>2073</v>
      </c>
    </row>
    <row r="263" spans="1:2" x14ac:dyDescent="0.35">
      <c r="A263" t="s">
        <v>719</v>
      </c>
      <c r="B263">
        <v>2073</v>
      </c>
    </row>
    <row r="264" spans="1:2" x14ac:dyDescent="0.35">
      <c r="A264" t="s">
        <v>720</v>
      </c>
      <c r="B264">
        <v>2073</v>
      </c>
    </row>
    <row r="265" spans="1:2" x14ac:dyDescent="0.35">
      <c r="A265" t="s">
        <v>721</v>
      </c>
      <c r="B265">
        <v>2073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Exp2_supplementary_measurements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2021-11-10T12:51:46Z</dcterms:created>
  <dcterms:modified xsi:type="dcterms:W3CDTF">2025-03-11T15:45:50Z</dcterms:modified>
</cp:coreProperties>
</file>