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BuÇalismaKitabi" hidePivotFieldList="1"/>
  <mc:AlternateContent xmlns:mc="http://schemas.openxmlformats.org/markup-compatibility/2006">
    <mc:Choice Requires="x15">
      <x15ac:absPath xmlns:x15ac="http://schemas.microsoft.com/office/spreadsheetml/2010/11/ac" url="https://d.docs.live.net/b8573645649659d0/2025/ANALİZ/HAZİRAN/"/>
    </mc:Choice>
  </mc:AlternateContent>
  <xr:revisionPtr revIDLastSave="509" documentId="13_ncr:1_{DD497D53-A57A-4350-A6E6-953F94E3FC11}" xr6:coauthVersionLast="47" xr6:coauthVersionMax="47" xr10:uidLastSave="{578A4724-3785-458F-9D6A-A8D9C3719909}"/>
  <bookViews>
    <workbookView xWindow="-120" yWindow="-120" windowWidth="29040" windowHeight="15840" firstSheet="1" activeTab="4" xr2:uid="{00000000-000D-0000-FFFF-FFFF00000000}"/>
  </bookViews>
  <sheets>
    <sheet name="DASHBOARD" sheetId="4" r:id="rId1"/>
    <sheet name="Ürün Maliyeti1" sheetId="10" r:id="rId2"/>
    <sheet name="BURGERATOR ÜRÜN MALİYETİ" sheetId="13" r:id="rId3"/>
    <sheet name="BURGERATOR ÜRÜN İÇERİK" sheetId="12" r:id="rId4"/>
    <sheet name="data" sheetId="1" r:id="rId5"/>
    <sheet name="Ciro" sheetId="21" r:id="rId6"/>
    <sheet name="Genel Gider" sheetId="9" r:id="rId7"/>
    <sheet name="servis maliyeti" sheetId="8" r:id="rId8"/>
    <sheet name="günlük genel gider maliyeti" sheetId="19" r:id="rId9"/>
    <sheet name="paketleme maliyeti" sheetId="7" r:id="rId10"/>
    <sheet name="AYLIK ANALİZ" sheetId="17" r:id="rId11"/>
    <sheet name="Sayfa1" sheetId="20" r:id="rId12"/>
  </sheets>
  <externalReferences>
    <externalReference r:id="rId13"/>
    <externalReference r:id="rId14"/>
  </externalReferences>
  <definedNames>
    <definedName name="_xlnm._FilterDatabase" localSheetId="10" hidden="1">'AYLIK ANALİZ'!$B$12:$V$10792</definedName>
    <definedName name="_xlnm._FilterDatabase" localSheetId="4" hidden="1">data!$B$7:$X$181</definedName>
    <definedName name="_xlnm.Print_Area" localSheetId="10">'AYLIK ANALİZ'!#REF!</definedName>
    <definedName name="_xlnm.Print_Area" localSheetId="4">data!$AA$69:$AC$98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5" i="1" l="1"/>
  <c r="O9" i="1"/>
  <c r="C5" i="21"/>
  <c r="C31" i="21" s="1"/>
  <c r="B5" i="21"/>
  <c r="B31" i="21" s="1"/>
  <c r="W2" i="17"/>
  <c r="V2" i="17"/>
  <c r="U2" i="17"/>
  <c r="T2" i="17"/>
  <c r="S2" i="17"/>
  <c r="Q2" i="17"/>
  <c r="R2" i="17"/>
  <c r="P2" i="17"/>
  <c r="O2" i="17"/>
  <c r="N2" i="17"/>
  <c r="D2" i="17"/>
  <c r="M2" i="17"/>
  <c r="L2" i="17"/>
  <c r="K2" i="17"/>
  <c r="J2" i="17"/>
  <c r="I2" i="17"/>
  <c r="H2" i="17"/>
  <c r="L7" i="17"/>
  <c r="H165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4" i="1"/>
  <c r="S35" i="1"/>
  <c r="S36" i="1"/>
  <c r="S37" i="1"/>
  <c r="S38" i="1"/>
  <c r="S40" i="1"/>
  <c r="S42" i="1"/>
  <c r="S46" i="1"/>
  <c r="S47" i="1"/>
  <c r="S48" i="1"/>
  <c r="S49" i="1"/>
  <c r="S50" i="1"/>
  <c r="S51" i="1"/>
  <c r="S53" i="1"/>
  <c r="S55" i="1"/>
  <c r="S56" i="1"/>
  <c r="S57" i="1"/>
  <c r="S58" i="1"/>
  <c r="S59" i="1"/>
  <c r="S60" i="1"/>
  <c r="S61" i="1"/>
  <c r="S63" i="1"/>
  <c r="S65" i="1"/>
  <c r="S66" i="1"/>
  <c r="S68" i="1"/>
  <c r="S69" i="1"/>
  <c r="S71" i="1"/>
  <c r="S72" i="1"/>
  <c r="S73" i="1"/>
  <c r="S74" i="1"/>
  <c r="S75" i="1"/>
  <c r="S76" i="1"/>
  <c r="S77" i="1"/>
  <c r="S79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F7" i="19"/>
  <c r="F6" i="19"/>
  <c r="F5" i="19"/>
  <c r="F4" i="8"/>
  <c r="F2" i="8"/>
  <c r="H163" i="1"/>
  <c r="M152" i="1" l="1"/>
  <c r="M155" i="1"/>
  <c r="M156" i="1"/>
  <c r="O151" i="1"/>
  <c r="I151" i="1" s="1"/>
  <c r="P151" i="1" a="1"/>
  <c r="P151" i="1" s="1"/>
  <c r="M151" i="1"/>
  <c r="O152" i="1"/>
  <c r="I152" i="1" s="1"/>
  <c r="P152" i="1" a="1"/>
  <c r="P152" i="1" s="1"/>
  <c r="J152" i="1" s="1"/>
  <c r="O153" i="1"/>
  <c r="I153" i="1" s="1"/>
  <c r="P153" i="1" a="1"/>
  <c r="P153" i="1" s="1"/>
  <c r="M153" i="1"/>
  <c r="M154" i="1"/>
  <c r="O154" i="1"/>
  <c r="I154" i="1" s="1"/>
  <c r="P154" i="1" a="1"/>
  <c r="P154" i="1" s="1"/>
  <c r="J154" i="1" s="1"/>
  <c r="O155" i="1"/>
  <c r="I155" i="1" s="1"/>
  <c r="P155" i="1" a="1"/>
  <c r="P155" i="1" s="1"/>
  <c r="O156" i="1"/>
  <c r="I156" i="1" s="1"/>
  <c r="P156" i="1" a="1"/>
  <c r="P156" i="1" s="1"/>
  <c r="J156" i="1" s="1"/>
  <c r="O157" i="1"/>
  <c r="I157" i="1" s="1"/>
  <c r="P157" i="1" a="1"/>
  <c r="P157" i="1" s="1"/>
  <c r="M157" i="1"/>
  <c r="M158" i="1"/>
  <c r="O158" i="1"/>
  <c r="I158" i="1" s="1"/>
  <c r="P158" i="1" a="1"/>
  <c r="P158" i="1" s="1"/>
  <c r="J158" i="1" s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O136" i="1"/>
  <c r="I136" i="1" s="1"/>
  <c r="P136" i="1" a="1"/>
  <c r="P136" i="1" s="1"/>
  <c r="O137" i="1"/>
  <c r="I137" i="1" s="1"/>
  <c r="P137" i="1" a="1"/>
  <c r="P137" i="1" s="1"/>
  <c r="J137" i="1" s="1"/>
  <c r="O138" i="1"/>
  <c r="I138" i="1" s="1"/>
  <c r="P138" i="1" a="1"/>
  <c r="P138" i="1" s="1"/>
  <c r="O139" i="1"/>
  <c r="I139" i="1" s="1"/>
  <c r="P139" i="1" a="1"/>
  <c r="P139" i="1" s="1"/>
  <c r="J139" i="1" s="1"/>
  <c r="O140" i="1"/>
  <c r="I140" i="1" s="1"/>
  <c r="P140" i="1" a="1"/>
  <c r="P140" i="1" s="1"/>
  <c r="O141" i="1"/>
  <c r="I141" i="1" s="1"/>
  <c r="P141" i="1" a="1"/>
  <c r="P141" i="1" s="1"/>
  <c r="J141" i="1" s="1"/>
  <c r="O142" i="1"/>
  <c r="I142" i="1" s="1"/>
  <c r="P142" i="1" a="1"/>
  <c r="P142" i="1" s="1"/>
  <c r="O143" i="1"/>
  <c r="I143" i="1" s="1"/>
  <c r="P143" i="1" a="1"/>
  <c r="P143" i="1" s="1"/>
  <c r="J143" i="1" s="1"/>
  <c r="O144" i="1"/>
  <c r="I144" i="1" s="1"/>
  <c r="P144" i="1" a="1"/>
  <c r="P144" i="1" s="1"/>
  <c r="O145" i="1"/>
  <c r="I145" i="1" s="1"/>
  <c r="P145" i="1" a="1"/>
  <c r="P145" i="1" s="1"/>
  <c r="J145" i="1" s="1"/>
  <c r="O146" i="1"/>
  <c r="I146" i="1" s="1"/>
  <c r="P146" i="1" a="1"/>
  <c r="P146" i="1" s="1"/>
  <c r="O147" i="1"/>
  <c r="I147" i="1" s="1"/>
  <c r="P147" i="1" a="1"/>
  <c r="P147" i="1" s="1"/>
  <c r="J147" i="1" s="1"/>
  <c r="O148" i="1"/>
  <c r="I148" i="1" s="1"/>
  <c r="P148" i="1" a="1"/>
  <c r="P148" i="1" s="1"/>
  <c r="O149" i="1"/>
  <c r="I149" i="1" s="1"/>
  <c r="P149" i="1" a="1"/>
  <c r="P149" i="1" s="1"/>
  <c r="J149" i="1" s="1"/>
  <c r="O150" i="1"/>
  <c r="I150" i="1" s="1"/>
  <c r="P150" i="1" a="1"/>
  <c r="P150" i="1" s="1"/>
  <c r="J157" i="1" l="1"/>
  <c r="J151" i="1"/>
  <c r="J155" i="1"/>
  <c r="J153" i="1"/>
  <c r="J148" i="1"/>
  <c r="J146" i="1"/>
  <c r="J136" i="1"/>
  <c r="J142" i="1"/>
  <c r="J150" i="1"/>
  <c r="J140" i="1"/>
  <c r="J144" i="1"/>
  <c r="J138" i="1"/>
  <c r="B26" i="9" l="1"/>
  <c r="O129" i="1"/>
  <c r="I129" i="1" s="1"/>
  <c r="P129" i="1" a="1"/>
  <c r="P129" i="1" s="1"/>
  <c r="J129" i="1" s="1"/>
  <c r="M129" i="1"/>
  <c r="O130" i="1"/>
  <c r="I130" i="1" s="1"/>
  <c r="P130" i="1" a="1"/>
  <c r="P130" i="1" s="1"/>
  <c r="J130" i="1" s="1"/>
  <c r="M130" i="1"/>
  <c r="O131" i="1"/>
  <c r="I131" i="1" s="1"/>
  <c r="P131" i="1" a="1"/>
  <c r="P131" i="1" s="1"/>
  <c r="J131" i="1" s="1"/>
  <c r="M131" i="1"/>
  <c r="O132" i="1"/>
  <c r="I132" i="1" s="1"/>
  <c r="P132" i="1" a="1"/>
  <c r="P132" i="1" s="1"/>
  <c r="J132" i="1" s="1"/>
  <c r="M132" i="1"/>
  <c r="O133" i="1"/>
  <c r="I133" i="1" s="1"/>
  <c r="P133" i="1" a="1"/>
  <c r="P133" i="1" s="1"/>
  <c r="J133" i="1" s="1"/>
  <c r="M133" i="1"/>
  <c r="O134" i="1"/>
  <c r="P134" i="1" a="1"/>
  <c r="P134" i="1" s="1"/>
  <c r="J134" i="1" s="1"/>
  <c r="M134" i="1"/>
  <c r="O135" i="1"/>
  <c r="I135" i="1" s="1"/>
  <c r="P135" i="1" a="1"/>
  <c r="P135" i="1" s="1"/>
  <c r="J135" i="1" s="1"/>
  <c r="M135" i="1"/>
  <c r="M127" i="1"/>
  <c r="M128" i="1"/>
  <c r="O127" i="1"/>
  <c r="I127" i="1" s="1"/>
  <c r="P127" i="1" a="1"/>
  <c r="P127" i="1" s="1"/>
  <c r="O128" i="1"/>
  <c r="I128" i="1" s="1"/>
  <c r="P128" i="1" a="1"/>
  <c r="P128" i="1" s="1"/>
  <c r="J128" i="1" s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I134" i="1" l="1"/>
  <c r="J127" i="1"/>
  <c r="N9" i="1" l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6" i="1"/>
  <c r="N27" i="1"/>
  <c r="N28" i="1"/>
  <c r="N29" i="1"/>
  <c r="N30" i="1"/>
  <c r="T8" i="1"/>
  <c r="N8" i="1" s="1"/>
  <c r="N25" i="1"/>
  <c r="F2" i="19"/>
  <c r="F8" i="19" s="1"/>
  <c r="F3" i="19"/>
  <c r="AI44" i="1"/>
  <c r="AH44" i="1"/>
  <c r="AI39" i="1"/>
  <c r="AI40" i="1"/>
  <c r="AI41" i="1"/>
  <c r="AI42" i="1"/>
  <c r="AI43" i="1"/>
  <c r="AH43" i="1"/>
  <c r="AH41" i="1"/>
  <c r="AC40" i="1"/>
  <c r="AB40" i="1"/>
  <c r="AC39" i="1"/>
  <c r="AB39" i="1"/>
  <c r="AC38" i="1"/>
  <c r="AB38" i="1"/>
  <c r="AC37" i="1"/>
  <c r="AB37" i="1"/>
  <c r="AC36" i="1"/>
  <c r="AB36" i="1"/>
  <c r="AI45" i="1" l="1"/>
  <c r="R8" i="1"/>
  <c r="D201" i="10" l="1"/>
  <c r="D200" i="10"/>
  <c r="D199" i="10"/>
  <c r="D198" i="10"/>
  <c r="D197" i="10"/>
  <c r="E197" i="10" s="1"/>
  <c r="D479" i="13"/>
  <c r="D481" i="13"/>
  <c r="D480" i="13"/>
  <c r="D478" i="13"/>
  <c r="D477" i="13"/>
  <c r="D476" i="13"/>
  <c r="D475" i="13"/>
  <c r="D474" i="13"/>
  <c r="D473" i="13"/>
  <c r="D470" i="13"/>
  <c r="D472" i="13"/>
  <c r="D471" i="13"/>
  <c r="D469" i="13"/>
  <c r="D468" i="13"/>
  <c r="D467" i="13"/>
  <c r="D466" i="13"/>
  <c r="D465" i="13"/>
  <c r="D460" i="13"/>
  <c r="D464" i="13"/>
  <c r="D462" i="13"/>
  <c r="D459" i="13"/>
  <c r="D458" i="13"/>
  <c r="D457" i="13"/>
  <c r="D456" i="13"/>
  <c r="D453" i="13"/>
  <c r="D450" i="13"/>
  <c r="D455" i="13"/>
  <c r="D452" i="13"/>
  <c r="D448" i="13"/>
  <c r="D447" i="13"/>
  <c r="D444" i="13"/>
  <c r="D14" i="12"/>
  <c r="D454" i="13" s="1"/>
  <c r="D10" i="12"/>
  <c r="D442" i="13" s="1"/>
  <c r="D446" i="13"/>
  <c r="D441" i="13"/>
  <c r="D440" i="13"/>
  <c r="N10" i="17"/>
  <c r="O10" i="1"/>
  <c r="I10" i="1" s="1"/>
  <c r="O11" i="1"/>
  <c r="O12" i="1"/>
  <c r="O13" i="1"/>
  <c r="I13" i="1" s="1"/>
  <c r="O14" i="1"/>
  <c r="I14" i="1" s="1"/>
  <c r="O15" i="1"/>
  <c r="O16" i="1"/>
  <c r="O17" i="1"/>
  <c r="I17" i="1" s="1"/>
  <c r="O18" i="1"/>
  <c r="I18" i="1" s="1"/>
  <c r="O19" i="1"/>
  <c r="O20" i="1"/>
  <c r="O21" i="1"/>
  <c r="O22" i="1"/>
  <c r="O23" i="1"/>
  <c r="O24" i="1"/>
  <c r="O25" i="1"/>
  <c r="O26" i="1"/>
  <c r="I26" i="1" s="1"/>
  <c r="O27" i="1"/>
  <c r="O28" i="1"/>
  <c r="O29" i="1"/>
  <c r="I29" i="1" s="1"/>
  <c r="O30" i="1"/>
  <c r="O31" i="1"/>
  <c r="O32" i="1"/>
  <c r="O33" i="1"/>
  <c r="O34" i="1"/>
  <c r="O35" i="1"/>
  <c r="O36" i="1"/>
  <c r="O37" i="1"/>
  <c r="I37" i="1" s="1"/>
  <c r="O38" i="1"/>
  <c r="O39" i="1"/>
  <c r="O40" i="1"/>
  <c r="I40" i="1" s="1"/>
  <c r="O41" i="1"/>
  <c r="O42" i="1"/>
  <c r="O43" i="1"/>
  <c r="I43" i="1" s="1"/>
  <c r="O44" i="1"/>
  <c r="I44" i="1" s="1"/>
  <c r="O45" i="1"/>
  <c r="I45" i="1" s="1"/>
  <c r="O46" i="1"/>
  <c r="I46" i="1" s="1"/>
  <c r="O47" i="1"/>
  <c r="O48" i="1"/>
  <c r="O49" i="1"/>
  <c r="I49" i="1" s="1"/>
  <c r="O50" i="1"/>
  <c r="I50" i="1" s="1"/>
  <c r="O51" i="1"/>
  <c r="O52" i="1"/>
  <c r="O53" i="1"/>
  <c r="O54" i="1"/>
  <c r="O55" i="1"/>
  <c r="I55" i="1" s="1"/>
  <c r="O56" i="1"/>
  <c r="O57" i="1"/>
  <c r="O58" i="1"/>
  <c r="O59" i="1"/>
  <c r="O60" i="1"/>
  <c r="O61" i="1"/>
  <c r="I61" i="1" s="1"/>
  <c r="O62" i="1"/>
  <c r="O63" i="1"/>
  <c r="O64" i="1"/>
  <c r="I64" i="1" s="1"/>
  <c r="O65" i="1"/>
  <c r="I65" i="1" s="1"/>
  <c r="O66" i="1"/>
  <c r="I66" i="1" s="1"/>
  <c r="O67" i="1"/>
  <c r="I67" i="1" s="1"/>
  <c r="O68" i="1"/>
  <c r="I68" i="1" s="1"/>
  <c r="O69" i="1"/>
  <c r="O70" i="1"/>
  <c r="I70" i="1" s="1"/>
  <c r="O71" i="1"/>
  <c r="I71" i="1" s="1"/>
  <c r="O72" i="1"/>
  <c r="I72" i="1" s="1"/>
  <c r="O73" i="1"/>
  <c r="I73" i="1" s="1"/>
  <c r="O74" i="1"/>
  <c r="O75" i="1"/>
  <c r="I75" i="1" s="1"/>
  <c r="O76" i="1"/>
  <c r="I76" i="1" s="1"/>
  <c r="O77" i="1"/>
  <c r="I77" i="1" s="1"/>
  <c r="O78" i="1"/>
  <c r="O79" i="1"/>
  <c r="I79" i="1" s="1"/>
  <c r="O80" i="1"/>
  <c r="I80" i="1" s="1"/>
  <c r="O81" i="1"/>
  <c r="O82" i="1"/>
  <c r="I82" i="1" s="1"/>
  <c r="O83" i="1"/>
  <c r="O84" i="1"/>
  <c r="I84" i="1" s="1"/>
  <c r="O85" i="1"/>
  <c r="I85" i="1" s="1"/>
  <c r="O86" i="1"/>
  <c r="O87" i="1"/>
  <c r="O88" i="1"/>
  <c r="I88" i="1" s="1"/>
  <c r="O89" i="1"/>
  <c r="I89" i="1" s="1"/>
  <c r="O90" i="1"/>
  <c r="I90" i="1" s="1"/>
  <c r="O91" i="1"/>
  <c r="I91" i="1" s="1"/>
  <c r="O92" i="1"/>
  <c r="I92" i="1" s="1"/>
  <c r="O93" i="1"/>
  <c r="I93" i="1" s="1"/>
  <c r="O94" i="1"/>
  <c r="O95" i="1"/>
  <c r="I95" i="1" s="1"/>
  <c r="O96" i="1"/>
  <c r="I96" i="1" s="1"/>
  <c r="O97" i="1"/>
  <c r="I97" i="1" s="1"/>
  <c r="O98" i="1"/>
  <c r="I98" i="1" s="1"/>
  <c r="O99" i="1"/>
  <c r="O100" i="1"/>
  <c r="I100" i="1" s="1"/>
  <c r="O101" i="1"/>
  <c r="I101" i="1" s="1"/>
  <c r="O102" i="1"/>
  <c r="I102" i="1" s="1"/>
  <c r="O103" i="1"/>
  <c r="O104" i="1"/>
  <c r="O105" i="1"/>
  <c r="I105" i="1" s="1"/>
  <c r="O106" i="1"/>
  <c r="I106" i="1" s="1"/>
  <c r="O107" i="1"/>
  <c r="I107" i="1" s="1"/>
  <c r="O108" i="1"/>
  <c r="I108" i="1" s="1"/>
  <c r="O109" i="1"/>
  <c r="I109" i="1" s="1"/>
  <c r="O110" i="1"/>
  <c r="I110" i="1" s="1"/>
  <c r="O111" i="1"/>
  <c r="I111" i="1" s="1"/>
  <c r="O112" i="1"/>
  <c r="O113" i="1"/>
  <c r="I113" i="1" s="1"/>
  <c r="O114" i="1"/>
  <c r="I114" i="1" s="1"/>
  <c r="O115" i="1"/>
  <c r="O116" i="1"/>
  <c r="O117" i="1"/>
  <c r="I117" i="1" s="1"/>
  <c r="O118" i="1"/>
  <c r="I118" i="1" s="1"/>
  <c r="O119" i="1"/>
  <c r="I119" i="1" s="1"/>
  <c r="O120" i="1"/>
  <c r="O121" i="1"/>
  <c r="I121" i="1" s="1"/>
  <c r="O122" i="1"/>
  <c r="I122" i="1" s="1"/>
  <c r="O123" i="1"/>
  <c r="I123" i="1" s="1"/>
  <c r="O124" i="1"/>
  <c r="O125" i="1"/>
  <c r="I125" i="1" s="1"/>
  <c r="O126" i="1"/>
  <c r="I126" i="1" s="1"/>
  <c r="O8" i="1"/>
  <c r="P8" i="1" a="1"/>
  <c r="P8" i="1" s="1"/>
  <c r="Q8" i="1"/>
  <c r="L8" i="1"/>
  <c r="S8" i="1"/>
  <c r="M8" i="1" s="1"/>
  <c r="AK8" i="1"/>
  <c r="P9" i="1" a="1"/>
  <c r="P9" i="1" s="1"/>
  <c r="J9" i="1" s="1"/>
  <c r="K9" i="1"/>
  <c r="L9" i="1"/>
  <c r="M9" i="1"/>
  <c r="AM9" i="1"/>
  <c r="AN9" i="1"/>
  <c r="AO9" i="1"/>
  <c r="AP9" i="1"/>
  <c r="P10" i="1" a="1"/>
  <c r="P10" i="1" s="1"/>
  <c r="J10" i="1" s="1"/>
  <c r="K10" i="1"/>
  <c r="L10" i="1"/>
  <c r="M10" i="1"/>
  <c r="AM10" i="1"/>
  <c r="AN10" i="1"/>
  <c r="AO10" i="1"/>
  <c r="AP10" i="1"/>
  <c r="P11" i="1" a="1"/>
  <c r="P11" i="1" s="1"/>
  <c r="J11" i="1" s="1"/>
  <c r="K11" i="1"/>
  <c r="L11" i="1"/>
  <c r="M11" i="1"/>
  <c r="AM11" i="1"/>
  <c r="AN11" i="1"/>
  <c r="AO11" i="1"/>
  <c r="AP11" i="1"/>
  <c r="P12" i="1" a="1"/>
  <c r="P12" i="1" s="1"/>
  <c r="J12" i="1" s="1"/>
  <c r="K12" i="1"/>
  <c r="L12" i="1"/>
  <c r="M12" i="1"/>
  <c r="AM12" i="1"/>
  <c r="AN12" i="1"/>
  <c r="AO12" i="1"/>
  <c r="AP12" i="1"/>
  <c r="P13" i="1" a="1"/>
  <c r="P13" i="1" s="1"/>
  <c r="K13" i="1"/>
  <c r="L13" i="1"/>
  <c r="M13" i="1"/>
  <c r="AM13" i="1"/>
  <c r="AN13" i="1"/>
  <c r="AO13" i="1"/>
  <c r="AP13" i="1"/>
  <c r="P14" i="1" a="1"/>
  <c r="P14" i="1" s="1"/>
  <c r="J14" i="1" s="1"/>
  <c r="K14" i="1"/>
  <c r="L14" i="1"/>
  <c r="M14" i="1"/>
  <c r="AM14" i="1"/>
  <c r="AN14" i="1"/>
  <c r="AO14" i="1"/>
  <c r="AP14" i="1"/>
  <c r="P15" i="1" a="1"/>
  <c r="P15" i="1" s="1"/>
  <c r="J15" i="1" s="1"/>
  <c r="K15" i="1"/>
  <c r="L15" i="1"/>
  <c r="M15" i="1"/>
  <c r="AM15" i="1"/>
  <c r="AN15" i="1"/>
  <c r="AO15" i="1"/>
  <c r="AP15" i="1"/>
  <c r="P16" i="1" a="1"/>
  <c r="P16" i="1" s="1"/>
  <c r="J16" i="1" s="1"/>
  <c r="K16" i="1"/>
  <c r="L16" i="1"/>
  <c r="M16" i="1"/>
  <c r="AM16" i="1"/>
  <c r="AN16" i="1"/>
  <c r="AO16" i="1"/>
  <c r="AP16" i="1"/>
  <c r="P17" i="1" a="1"/>
  <c r="P17" i="1" s="1"/>
  <c r="J17" i="1" s="1"/>
  <c r="K17" i="1"/>
  <c r="L17" i="1"/>
  <c r="M17" i="1"/>
  <c r="P18" i="1" a="1"/>
  <c r="P18" i="1" s="1"/>
  <c r="K18" i="1"/>
  <c r="L18" i="1"/>
  <c r="M18" i="1"/>
  <c r="AM18" i="1"/>
  <c r="AN18" i="1"/>
  <c r="AO18" i="1"/>
  <c r="AP18" i="1"/>
  <c r="P19" i="1" a="1"/>
  <c r="P19" i="1" s="1"/>
  <c r="J19" i="1" s="1"/>
  <c r="K19" i="1"/>
  <c r="L19" i="1"/>
  <c r="M19" i="1"/>
  <c r="P20" i="1" a="1"/>
  <c r="P20" i="1" s="1"/>
  <c r="J20" i="1" s="1"/>
  <c r="K20" i="1"/>
  <c r="L20" i="1"/>
  <c r="M20" i="1"/>
  <c r="P21" i="1" a="1"/>
  <c r="P21" i="1" s="1"/>
  <c r="J21" i="1" s="1"/>
  <c r="K21" i="1"/>
  <c r="L21" i="1"/>
  <c r="M21" i="1"/>
  <c r="P22" i="1" a="1"/>
  <c r="P22" i="1" s="1"/>
  <c r="J22" i="1" s="1"/>
  <c r="K22" i="1"/>
  <c r="L22" i="1"/>
  <c r="M22" i="1"/>
  <c r="AM22" i="1"/>
  <c r="AN22" i="1"/>
  <c r="AO22" i="1"/>
  <c r="AP22" i="1"/>
  <c r="P23" i="1" a="1"/>
  <c r="P23" i="1" s="1"/>
  <c r="J23" i="1" s="1"/>
  <c r="K23" i="1"/>
  <c r="L23" i="1"/>
  <c r="M23" i="1"/>
  <c r="P24" i="1" a="1"/>
  <c r="P24" i="1" s="1"/>
  <c r="J24" i="1" s="1"/>
  <c r="K24" i="1"/>
  <c r="L24" i="1"/>
  <c r="M24" i="1"/>
  <c r="P25" i="1" a="1"/>
  <c r="P25" i="1" s="1"/>
  <c r="J25" i="1" s="1"/>
  <c r="K25" i="1"/>
  <c r="L25" i="1"/>
  <c r="M25" i="1"/>
  <c r="P26" i="1" a="1"/>
  <c r="P26" i="1" s="1"/>
  <c r="J26" i="1" s="1"/>
  <c r="K26" i="1"/>
  <c r="L26" i="1"/>
  <c r="M26" i="1"/>
  <c r="P27" i="1" a="1"/>
  <c r="P27" i="1" s="1"/>
  <c r="J27" i="1" s="1"/>
  <c r="K27" i="1"/>
  <c r="L27" i="1"/>
  <c r="M27" i="1"/>
  <c r="P28" i="1" a="1"/>
  <c r="P28" i="1" s="1"/>
  <c r="J28" i="1" s="1"/>
  <c r="K28" i="1"/>
  <c r="L28" i="1"/>
  <c r="M28" i="1"/>
  <c r="P29" i="1" a="1"/>
  <c r="P29" i="1" s="1"/>
  <c r="J29" i="1" s="1"/>
  <c r="K29" i="1"/>
  <c r="L29" i="1"/>
  <c r="M29" i="1"/>
  <c r="P30" i="1" a="1"/>
  <c r="P30" i="1" s="1"/>
  <c r="J30" i="1" s="1"/>
  <c r="K30" i="1"/>
  <c r="L30" i="1"/>
  <c r="M30" i="1"/>
  <c r="AH39" i="1"/>
  <c r="AB27" i="1"/>
  <c r="AC27" i="1"/>
  <c r="AH40" i="1"/>
  <c r="AB28" i="1"/>
  <c r="AC28" i="1"/>
  <c r="AB29" i="1"/>
  <c r="AC29" i="1"/>
  <c r="AH42" i="1"/>
  <c r="AB30" i="1"/>
  <c r="AC30" i="1"/>
  <c r="AB31" i="1"/>
  <c r="AC31" i="1"/>
  <c r="AB32" i="1"/>
  <c r="AC32" i="1"/>
  <c r="AB33" i="1"/>
  <c r="AC33" i="1"/>
  <c r="AB34" i="1"/>
  <c r="AC34" i="1"/>
  <c r="AB35" i="1"/>
  <c r="AC35" i="1"/>
  <c r="AB106" i="1"/>
  <c r="D28" i="12"/>
  <c r="D27" i="12"/>
  <c r="D26" i="12"/>
  <c r="D24" i="12"/>
  <c r="D23" i="12"/>
  <c r="D22" i="12"/>
  <c r="D7" i="12"/>
  <c r="D6" i="12"/>
  <c r="D118" i="13" s="1"/>
  <c r="D5" i="12"/>
  <c r="D3" i="12"/>
  <c r="D443" i="13" s="1"/>
  <c r="G3" i="10"/>
  <c r="AI3" i="10"/>
  <c r="G5" i="10"/>
  <c r="N5" i="10"/>
  <c r="U5" i="10"/>
  <c r="AB5" i="10"/>
  <c r="AI5" i="10"/>
  <c r="E6" i="10"/>
  <c r="G7" i="10"/>
  <c r="N7" i="10"/>
  <c r="U7" i="10"/>
  <c r="AB7" i="10"/>
  <c r="AI7" i="10"/>
  <c r="E8" i="10"/>
  <c r="F9" i="10"/>
  <c r="E10" i="10"/>
  <c r="G11" i="10"/>
  <c r="N11" i="10"/>
  <c r="U11" i="10"/>
  <c r="AB11" i="10"/>
  <c r="G12" i="10"/>
  <c r="U12" i="10"/>
  <c r="AI14" i="10"/>
  <c r="G17" i="10"/>
  <c r="AI17" i="10"/>
  <c r="G19" i="10"/>
  <c r="N19" i="10"/>
  <c r="U19" i="10"/>
  <c r="AB19" i="10"/>
  <c r="AI19" i="10"/>
  <c r="E20" i="10"/>
  <c r="L20" i="10"/>
  <c r="G21" i="10"/>
  <c r="N21" i="10"/>
  <c r="U21" i="10"/>
  <c r="AB21" i="10"/>
  <c r="AI21" i="10"/>
  <c r="E22" i="10"/>
  <c r="F23" i="10"/>
  <c r="E24" i="10"/>
  <c r="F24" i="10"/>
  <c r="G25" i="10"/>
  <c r="N25" i="10"/>
  <c r="U25" i="10"/>
  <c r="AB25" i="10"/>
  <c r="G26" i="10"/>
  <c r="N26" i="10"/>
  <c r="U26" i="10"/>
  <c r="AB26" i="10"/>
  <c r="AI28" i="10"/>
  <c r="G31" i="10"/>
  <c r="G33" i="10"/>
  <c r="N33" i="10"/>
  <c r="U33" i="10"/>
  <c r="AB33" i="10"/>
  <c r="E34" i="10"/>
  <c r="L34" i="10"/>
  <c r="G35" i="10"/>
  <c r="N35" i="10"/>
  <c r="U35" i="10"/>
  <c r="AB35" i="10"/>
  <c r="E36" i="10"/>
  <c r="F37" i="10"/>
  <c r="E38" i="10"/>
  <c r="F38" i="10"/>
  <c r="G39" i="10"/>
  <c r="N39" i="10"/>
  <c r="U39" i="10"/>
  <c r="AB39" i="10"/>
  <c r="G40" i="10"/>
  <c r="N40" i="10"/>
  <c r="U40" i="10"/>
  <c r="AB40" i="10"/>
  <c r="G45" i="10"/>
  <c r="G47" i="10"/>
  <c r="N47" i="10"/>
  <c r="U47" i="10"/>
  <c r="AB47" i="10"/>
  <c r="E48" i="10"/>
  <c r="L48" i="10"/>
  <c r="G49" i="10"/>
  <c r="N49" i="10"/>
  <c r="U49" i="10"/>
  <c r="AB49" i="10"/>
  <c r="E50" i="10"/>
  <c r="F51" i="10"/>
  <c r="E52" i="10"/>
  <c r="F52" i="10"/>
  <c r="G53" i="10"/>
  <c r="G54" i="10"/>
  <c r="N54" i="10"/>
  <c r="U54" i="10"/>
  <c r="AB54" i="10"/>
  <c r="G59" i="10"/>
  <c r="G61" i="10"/>
  <c r="N61" i="10"/>
  <c r="U61" i="10"/>
  <c r="AB61" i="10"/>
  <c r="L62" i="10"/>
  <c r="S62" i="10"/>
  <c r="Z62" i="10"/>
  <c r="G63" i="10"/>
  <c r="N63" i="10"/>
  <c r="U63" i="10"/>
  <c r="AB63" i="10"/>
  <c r="G65" i="10"/>
  <c r="N65" i="10"/>
  <c r="U65" i="10"/>
  <c r="AB65" i="10"/>
  <c r="F66" i="10"/>
  <c r="M66" i="10"/>
  <c r="T66" i="10"/>
  <c r="AA66" i="10"/>
  <c r="E67" i="10"/>
  <c r="F67" i="10"/>
  <c r="L67" i="10"/>
  <c r="M67" i="10"/>
  <c r="S67" i="10"/>
  <c r="T67" i="10"/>
  <c r="Z67" i="10"/>
  <c r="AA67" i="10"/>
  <c r="G68" i="10"/>
  <c r="N68" i="10"/>
  <c r="U68" i="10"/>
  <c r="AB68" i="10"/>
  <c r="G69" i="10"/>
  <c r="N69" i="10"/>
  <c r="U69" i="10"/>
  <c r="AB69" i="10"/>
  <c r="G74" i="10"/>
  <c r="G76" i="10"/>
  <c r="N76" i="10"/>
  <c r="U76" i="10"/>
  <c r="AB76" i="10"/>
  <c r="E77" i="10"/>
  <c r="L77" i="10"/>
  <c r="G78" i="10"/>
  <c r="N78" i="10"/>
  <c r="U78" i="10"/>
  <c r="AB78" i="10"/>
  <c r="E79" i="10"/>
  <c r="F80" i="10"/>
  <c r="E81" i="10"/>
  <c r="F81" i="10"/>
  <c r="G83" i="10"/>
  <c r="N83" i="10"/>
  <c r="U83" i="10"/>
  <c r="AB83" i="10"/>
  <c r="G88" i="10"/>
  <c r="G91" i="10"/>
  <c r="N91" i="10"/>
  <c r="U91" i="10"/>
  <c r="AB91" i="10"/>
  <c r="F93" i="10"/>
  <c r="E94" i="10"/>
  <c r="F94" i="10"/>
  <c r="N95" i="10"/>
  <c r="U95" i="10"/>
  <c r="AB95" i="10"/>
  <c r="G97" i="10"/>
  <c r="N97" i="10"/>
  <c r="U97" i="10"/>
  <c r="AB97" i="10"/>
  <c r="G103" i="10"/>
  <c r="G105" i="10"/>
  <c r="N105" i="10"/>
  <c r="U105" i="10"/>
  <c r="AB105" i="10"/>
  <c r="E106" i="10"/>
  <c r="F106" i="10"/>
  <c r="G107" i="10"/>
  <c r="N107" i="10"/>
  <c r="U107" i="10"/>
  <c r="AB107" i="10"/>
  <c r="F109" i="10"/>
  <c r="E110" i="10"/>
  <c r="F110" i="10"/>
  <c r="G112" i="10"/>
  <c r="N112" i="10"/>
  <c r="U112" i="10"/>
  <c r="AB112" i="10"/>
  <c r="G113" i="10"/>
  <c r="N113" i="10"/>
  <c r="U113" i="10"/>
  <c r="AB113" i="10"/>
  <c r="G118" i="10"/>
  <c r="G120" i="10"/>
  <c r="N120" i="10"/>
  <c r="U120" i="10"/>
  <c r="AB120" i="10"/>
  <c r="E121" i="10"/>
  <c r="G122" i="10"/>
  <c r="N122" i="10"/>
  <c r="U122" i="10"/>
  <c r="AB122" i="10"/>
  <c r="F124" i="10"/>
  <c r="E125" i="10"/>
  <c r="F125" i="10"/>
  <c r="G126" i="10"/>
  <c r="G127" i="10"/>
  <c r="G128" i="10"/>
  <c r="N128" i="10"/>
  <c r="U128" i="10"/>
  <c r="AB128" i="10"/>
  <c r="D159" i="10"/>
  <c r="N88" i="10" s="1"/>
  <c r="E159" i="10"/>
  <c r="U88" i="10" s="1"/>
  <c r="F159" i="10"/>
  <c r="AB88" i="10" s="1"/>
  <c r="D160" i="10"/>
  <c r="N3" i="10" s="1"/>
  <c r="E160" i="10"/>
  <c r="U3" i="10" s="1"/>
  <c r="F160" i="10"/>
  <c r="AB3" i="10" s="1"/>
  <c r="D161" i="10"/>
  <c r="N17" i="10" s="1"/>
  <c r="E161" i="10"/>
  <c r="U17" i="10" s="1"/>
  <c r="F161" i="10"/>
  <c r="AB17" i="10" s="1"/>
  <c r="D162" i="10"/>
  <c r="N45" i="10" s="1"/>
  <c r="E162" i="10"/>
  <c r="U45" i="10" s="1"/>
  <c r="F162" i="10"/>
  <c r="AB45" i="10" s="1"/>
  <c r="D163" i="10"/>
  <c r="N31" i="10" s="1"/>
  <c r="E163" i="10"/>
  <c r="U31" i="10" s="1"/>
  <c r="F163" i="10"/>
  <c r="AB31" i="10" s="1"/>
  <c r="D164" i="10"/>
  <c r="N74" i="10" s="1"/>
  <c r="E164" i="10"/>
  <c r="U74" i="10" s="1"/>
  <c r="F164" i="10"/>
  <c r="AB74" i="10" s="1"/>
  <c r="D165" i="10"/>
  <c r="N59" i="10" s="1"/>
  <c r="E165" i="10"/>
  <c r="U59" i="10" s="1"/>
  <c r="F165" i="10"/>
  <c r="AB59" i="10" s="1"/>
  <c r="D166" i="10"/>
  <c r="N103" i="10" s="1"/>
  <c r="E166" i="10"/>
  <c r="U103" i="10" s="1"/>
  <c r="F166" i="10"/>
  <c r="AB103" i="10" s="1"/>
  <c r="D167" i="10"/>
  <c r="N118" i="10" s="1"/>
  <c r="E167" i="10"/>
  <c r="U118" i="10" s="1"/>
  <c r="F167" i="10"/>
  <c r="AB118" i="10" s="1"/>
  <c r="D169" i="10"/>
  <c r="E169" i="10"/>
  <c r="F169" i="10"/>
  <c r="O7" i="17"/>
  <c r="M10" i="17" l="1"/>
  <c r="C10" i="17" s="1"/>
  <c r="O163" i="1"/>
  <c r="J8" i="1"/>
  <c r="I8" i="1"/>
  <c r="K8" i="1"/>
  <c r="AD39" i="1"/>
  <c r="AC54" i="1"/>
  <c r="U19" i="1"/>
  <c r="U15" i="1"/>
  <c r="U12" i="1"/>
  <c r="I25" i="1"/>
  <c r="U25" i="1"/>
  <c r="X25" i="1" s="1"/>
  <c r="I21" i="1"/>
  <c r="U21" i="1"/>
  <c r="X21" i="1" s="1"/>
  <c r="I9" i="1"/>
  <c r="U9" i="1"/>
  <c r="X9" i="1" s="1"/>
  <c r="U10" i="1"/>
  <c r="X10" i="1" s="1"/>
  <c r="U30" i="1"/>
  <c r="U23" i="1"/>
  <c r="U14" i="1"/>
  <c r="U11" i="1"/>
  <c r="U27" i="1"/>
  <c r="U18" i="1"/>
  <c r="X18" i="1" s="1"/>
  <c r="U29" i="1"/>
  <c r="V29" i="1" s="1"/>
  <c r="W29" i="1" s="1"/>
  <c r="U28" i="1"/>
  <c r="U24" i="1"/>
  <c r="U20" i="1"/>
  <c r="U16" i="1"/>
  <c r="I22" i="1"/>
  <c r="U22" i="1"/>
  <c r="U26" i="1"/>
  <c r="X26" i="1" s="1"/>
  <c r="U17" i="1"/>
  <c r="V17" i="1" s="1"/>
  <c r="W17" i="1" s="1"/>
  <c r="U13" i="1"/>
  <c r="X13" i="1" s="1"/>
  <c r="U8" i="1"/>
  <c r="AD36" i="1"/>
  <c r="AD38" i="1"/>
  <c r="AC62" i="1"/>
  <c r="AD40" i="1"/>
  <c r="AH45" i="1"/>
  <c r="I34" i="1"/>
  <c r="AD37" i="1"/>
  <c r="H164" i="1"/>
  <c r="D5" i="21" s="1"/>
  <c r="D31" i="21" s="1"/>
  <c r="I7" i="17" s="1"/>
  <c r="AD33" i="1"/>
  <c r="I86" i="1"/>
  <c r="E199" i="10"/>
  <c r="E198" i="10"/>
  <c r="E200" i="10"/>
  <c r="E201" i="10"/>
  <c r="E473" i="13"/>
  <c r="J175" i="10" s="1"/>
  <c r="E465" i="13"/>
  <c r="J174" i="10" s="1"/>
  <c r="D463" i="13"/>
  <c r="D461" i="13"/>
  <c r="D445" i="13"/>
  <c r="E440" i="13" s="1"/>
  <c r="J171" i="10" s="1"/>
  <c r="D449" i="13"/>
  <c r="D451" i="13"/>
  <c r="I10" i="17"/>
  <c r="J18" i="1"/>
  <c r="J13" i="1"/>
  <c r="I69" i="1"/>
  <c r="I78" i="1"/>
  <c r="I99" i="1"/>
  <c r="I74" i="1"/>
  <c r="I51" i="1"/>
  <c r="I94" i="1"/>
  <c r="I57" i="1"/>
  <c r="AD31" i="1"/>
  <c r="I33" i="1"/>
  <c r="AD30" i="1"/>
  <c r="AD35" i="1"/>
  <c r="I47" i="1"/>
  <c r="I38" i="1"/>
  <c r="I62" i="1"/>
  <c r="I60" i="1"/>
  <c r="I56" i="1"/>
  <c r="I53" i="1"/>
  <c r="I30" i="1"/>
  <c r="I52" i="1"/>
  <c r="AD34" i="1"/>
  <c r="AD29" i="1"/>
  <c r="AD27" i="1"/>
  <c r="I115" i="1"/>
  <c r="I120" i="1"/>
  <c r="I112" i="1"/>
  <c r="I83" i="1"/>
  <c r="I103" i="1"/>
  <c r="I81" i="1"/>
  <c r="I59" i="1"/>
  <c r="I87" i="1"/>
  <c r="I124" i="1"/>
  <c r="I116" i="1"/>
  <c r="I104" i="1"/>
  <c r="I63" i="1"/>
  <c r="I58" i="1"/>
  <c r="I54" i="1"/>
  <c r="I42" i="1"/>
  <c r="I35" i="1"/>
  <c r="I27" i="1"/>
  <c r="I19" i="1"/>
  <c r="I11" i="1"/>
  <c r="I48" i="1"/>
  <c r="I41" i="1"/>
  <c r="I39" i="1"/>
  <c r="I31" i="1"/>
  <c r="I23" i="1"/>
  <c r="I15" i="1"/>
  <c r="I36" i="1"/>
  <c r="I32" i="1"/>
  <c r="I28" i="1"/>
  <c r="I24" i="1"/>
  <c r="I20" i="1"/>
  <c r="I16" i="1"/>
  <c r="I12" i="1"/>
  <c r="A10" i="17" l="1"/>
  <c r="E10" i="17"/>
  <c r="D10" i="17"/>
  <c r="B10" i="17"/>
  <c r="I163" i="1"/>
  <c r="X8" i="1"/>
  <c r="AK44" i="1"/>
  <c r="AJ43" i="1"/>
  <c r="AJ44" i="1"/>
  <c r="AJ41" i="1"/>
  <c r="AJ42" i="1"/>
  <c r="AJ39" i="1"/>
  <c r="AJ40" i="1"/>
  <c r="AK39" i="1"/>
  <c r="AK41" i="1"/>
  <c r="E456" i="13"/>
  <c r="J173" i="10" s="1"/>
  <c r="E447" i="13"/>
  <c r="J172" i="10" s="1"/>
  <c r="V9" i="1"/>
  <c r="W9" i="1" s="1"/>
  <c r="V13" i="1"/>
  <c r="W13" i="1" s="1"/>
  <c r="V26" i="1"/>
  <c r="W26" i="1" s="1"/>
  <c r="V18" i="1"/>
  <c r="W18" i="1" s="1"/>
  <c r="V25" i="1"/>
  <c r="W25" i="1" s="1"/>
  <c r="V10" i="1"/>
  <c r="W10" i="1" s="1"/>
  <c r="X29" i="1"/>
  <c r="V21" i="1"/>
  <c r="W21" i="1" s="1"/>
  <c r="AK42" i="1"/>
  <c r="AD28" i="1"/>
  <c r="AD54" i="1" s="1"/>
  <c r="V8" i="1"/>
  <c r="X17" i="1"/>
  <c r="X30" i="1"/>
  <c r="V30" i="1"/>
  <c r="W30" i="1" s="1"/>
  <c r="X14" i="1"/>
  <c r="V14" i="1"/>
  <c r="W14" i="1" s="1"/>
  <c r="V20" i="1"/>
  <c r="W20" i="1" s="1"/>
  <c r="X20" i="1"/>
  <c r="V16" i="1"/>
  <c r="W16" i="1" s="1"/>
  <c r="X16" i="1"/>
  <c r="V12" i="1"/>
  <c r="W12" i="1" s="1"/>
  <c r="X12" i="1"/>
  <c r="V28" i="1"/>
  <c r="W28" i="1" s="1"/>
  <c r="X28" i="1"/>
  <c r="X22" i="1"/>
  <c r="V22" i="1"/>
  <c r="W22" i="1" s="1"/>
  <c r="V24" i="1"/>
  <c r="W24" i="1" s="1"/>
  <c r="X24" i="1"/>
  <c r="X11" i="1"/>
  <c r="V11" i="1"/>
  <c r="W11" i="1" s="1"/>
  <c r="X15" i="1"/>
  <c r="V15" i="1"/>
  <c r="W15" i="1" s="1"/>
  <c r="X23" i="1"/>
  <c r="V23" i="1"/>
  <c r="W23" i="1" s="1"/>
  <c r="X19" i="1"/>
  <c r="V19" i="1"/>
  <c r="W19" i="1" s="1"/>
  <c r="X27" i="1"/>
  <c r="V27" i="1"/>
  <c r="W27" i="1" s="1"/>
  <c r="J10" i="17"/>
  <c r="W8" i="1" l="1"/>
  <c r="AJ45" i="1"/>
  <c r="AK40" i="1"/>
  <c r="E7" i="17"/>
  <c r="D7" i="17"/>
  <c r="A7" i="17"/>
  <c r="K10" i="17"/>
  <c r="AD10345" i="17"/>
  <c r="AC10345" i="17"/>
  <c r="AB10345" i="17"/>
  <c r="AA10345" i="17"/>
  <c r="AD10341" i="17"/>
  <c r="AC10341" i="17"/>
  <c r="AB10341" i="17"/>
  <c r="AA10341" i="17"/>
  <c r="AD10339" i="17"/>
  <c r="AC10339" i="17"/>
  <c r="AB10339" i="17"/>
  <c r="AA10339" i="17"/>
  <c r="AD10338" i="17"/>
  <c r="AC10338" i="17"/>
  <c r="AB10338" i="17"/>
  <c r="AA10338" i="17"/>
  <c r="AD10337" i="17"/>
  <c r="AC10337" i="17"/>
  <c r="AB10337" i="17"/>
  <c r="AA10337" i="17"/>
  <c r="AD10336" i="17"/>
  <c r="AC10336" i="17"/>
  <c r="AB10336" i="17"/>
  <c r="AA10336" i="17"/>
  <c r="AD10335" i="17"/>
  <c r="AC10335" i="17"/>
  <c r="AB10335" i="17"/>
  <c r="AA10335" i="17"/>
  <c r="AD10334" i="17"/>
  <c r="AC10334" i="17"/>
  <c r="AB10334" i="17"/>
  <c r="AA10334" i="17"/>
  <c r="AD10333" i="17"/>
  <c r="AC10333" i="17"/>
  <c r="AB10333" i="17"/>
  <c r="AA10333" i="17"/>
  <c r="AD10332" i="17"/>
  <c r="AC10332" i="17"/>
  <c r="AB10332" i="17"/>
  <c r="AA10332" i="17"/>
  <c r="Y10331" i="17"/>
  <c r="H7" i="17" l="1"/>
  <c r="J7" i="17" s="1"/>
  <c r="AD32" i="1" l="1"/>
  <c r="AD62" i="1" s="1"/>
  <c r="Y10365" i="17"/>
  <c r="Y10366" i="17"/>
  <c r="Y10364" i="17"/>
  <c r="Y10363" i="17"/>
  <c r="Y10362" i="17"/>
  <c r="Y10367" i="17" l="1"/>
  <c r="K192" i="1"/>
  <c r="AK43" i="1" l="1"/>
  <c r="AK45" i="1" s="1"/>
  <c r="D883" i="13"/>
  <c r="D882" i="13"/>
  <c r="D881" i="13"/>
  <c r="D880" i="13"/>
  <c r="D879" i="13"/>
  <c r="D878" i="13"/>
  <c r="D877" i="13"/>
  <c r="D876" i="13"/>
  <c r="D875" i="13"/>
  <c r="D874" i="13"/>
  <c r="D873" i="13"/>
  <c r="D872" i="13"/>
  <c r="D871" i="13"/>
  <c r="D870" i="13"/>
  <c r="D869" i="13"/>
  <c r="D868" i="13"/>
  <c r="D867" i="13"/>
  <c r="D866" i="13"/>
  <c r="D865" i="13"/>
  <c r="D864" i="13"/>
  <c r="D863" i="13"/>
  <c r="D862" i="13"/>
  <c r="D861" i="13"/>
  <c r="D860" i="13"/>
  <c r="D859" i="13"/>
  <c r="D858" i="13"/>
  <c r="D857" i="13"/>
  <c r="D856" i="13"/>
  <c r="D855" i="13"/>
  <c r="D854" i="13"/>
  <c r="D853" i="13"/>
  <c r="D852" i="13"/>
  <c r="D851" i="13"/>
  <c r="D850" i="13"/>
  <c r="D849" i="13"/>
  <c r="D848" i="13"/>
  <c r="D847" i="13"/>
  <c r="D846" i="13"/>
  <c r="D845" i="13"/>
  <c r="D844" i="13"/>
  <c r="D843" i="13"/>
  <c r="D842" i="13"/>
  <c r="D841" i="13"/>
  <c r="D840" i="13"/>
  <c r="D839" i="13"/>
  <c r="D838" i="13"/>
  <c r="D837" i="13"/>
  <c r="D836" i="13"/>
  <c r="D835" i="13"/>
  <c r="D834" i="13"/>
  <c r="D833" i="13"/>
  <c r="D832" i="13"/>
  <c r="D831" i="13"/>
  <c r="D830" i="13"/>
  <c r="D829" i="13"/>
  <c r="D828" i="13"/>
  <c r="D827" i="13"/>
  <c r="D826" i="13"/>
  <c r="D825" i="13"/>
  <c r="D824" i="13"/>
  <c r="D823" i="13"/>
  <c r="D822" i="13"/>
  <c r="D821" i="13"/>
  <c r="D820" i="13"/>
  <c r="D819" i="13"/>
  <c r="D818" i="13"/>
  <c r="D817" i="13"/>
  <c r="D816" i="13"/>
  <c r="D815" i="13"/>
  <c r="D814" i="13"/>
  <c r="D813" i="13"/>
  <c r="D812" i="13"/>
  <c r="D811" i="13"/>
  <c r="D810" i="13"/>
  <c r="D809" i="13"/>
  <c r="D808" i="13"/>
  <c r="D807" i="13"/>
  <c r="D806" i="13"/>
  <c r="D805" i="13"/>
  <c r="D804" i="13"/>
  <c r="D803" i="13"/>
  <c r="D802" i="13"/>
  <c r="D801" i="13"/>
  <c r="D800" i="13"/>
  <c r="D799" i="13"/>
  <c r="D798" i="13"/>
  <c r="D797" i="13"/>
  <c r="D796" i="13"/>
  <c r="D795" i="13"/>
  <c r="D794" i="13"/>
  <c r="D793" i="13"/>
  <c r="D792" i="13"/>
  <c r="D791" i="13"/>
  <c r="D790" i="13"/>
  <c r="D789" i="13"/>
  <c r="D788" i="13"/>
  <c r="D787" i="13"/>
  <c r="D786" i="13"/>
  <c r="D785" i="13"/>
  <c r="D784" i="13"/>
  <c r="D783" i="13"/>
  <c r="D782" i="13"/>
  <c r="D781" i="13"/>
  <c r="D780" i="13"/>
  <c r="D779" i="13"/>
  <c r="D778" i="13"/>
  <c r="D777" i="13"/>
  <c r="D776" i="13"/>
  <c r="D775" i="13"/>
  <c r="D774" i="13"/>
  <c r="D773" i="13"/>
  <c r="D772" i="13"/>
  <c r="D771" i="13"/>
  <c r="D770" i="13"/>
  <c r="D769" i="13"/>
  <c r="D768" i="13"/>
  <c r="D767" i="13"/>
  <c r="D766" i="13"/>
  <c r="D765" i="13"/>
  <c r="D764" i="13"/>
  <c r="D763" i="13"/>
  <c r="D762" i="13"/>
  <c r="D761" i="13"/>
  <c r="D760" i="13"/>
  <c r="D759" i="13"/>
  <c r="D758" i="13"/>
  <c r="D757" i="13"/>
  <c r="D756" i="13"/>
  <c r="D755" i="13"/>
  <c r="D754" i="13"/>
  <c r="D753" i="13"/>
  <c r="D752" i="13"/>
  <c r="D751" i="13"/>
  <c r="D750" i="13"/>
  <c r="D749" i="13"/>
  <c r="D748" i="13"/>
  <c r="D747" i="13"/>
  <c r="D746" i="13"/>
  <c r="D745" i="13"/>
  <c r="D744" i="13"/>
  <c r="D743" i="13"/>
  <c r="D742" i="13"/>
  <c r="D741" i="13"/>
  <c r="D740" i="13"/>
  <c r="D739" i="13"/>
  <c r="D738" i="13"/>
  <c r="D737" i="13"/>
  <c r="D736" i="13"/>
  <c r="D735" i="13"/>
  <c r="D734" i="13"/>
  <c r="D733" i="13"/>
  <c r="D732" i="13"/>
  <c r="D731" i="13"/>
  <c r="D730" i="13"/>
  <c r="D729" i="13"/>
  <c r="D728" i="13"/>
  <c r="D727" i="13"/>
  <c r="D726" i="13"/>
  <c r="D725" i="13"/>
  <c r="D724" i="13"/>
  <c r="D723" i="13"/>
  <c r="D722" i="13"/>
  <c r="D721" i="13"/>
  <c r="D720" i="13"/>
  <c r="D719" i="13"/>
  <c r="D718" i="13"/>
  <c r="D717" i="13"/>
  <c r="D716" i="13"/>
  <c r="D715" i="13"/>
  <c r="D714" i="13"/>
  <c r="D713" i="13"/>
  <c r="D712" i="13"/>
  <c r="D711" i="13"/>
  <c r="D710" i="13"/>
  <c r="D709" i="13"/>
  <c r="D708" i="13"/>
  <c r="D707" i="13"/>
  <c r="D706" i="13"/>
  <c r="D705" i="13"/>
  <c r="D704" i="13"/>
  <c r="D703" i="13"/>
  <c r="D702" i="13"/>
  <c r="D701" i="13"/>
  <c r="D700" i="13"/>
  <c r="D699" i="13"/>
  <c r="D698" i="13"/>
  <c r="D697" i="13"/>
  <c r="D696" i="13"/>
  <c r="D695" i="13"/>
  <c r="D694" i="13"/>
  <c r="D693" i="13"/>
  <c r="D692" i="13"/>
  <c r="D691" i="13"/>
  <c r="D690" i="13"/>
  <c r="D689" i="13"/>
  <c r="D688" i="13"/>
  <c r="D687" i="13"/>
  <c r="D686" i="13"/>
  <c r="D685" i="13"/>
  <c r="D684" i="13"/>
  <c r="D683" i="13"/>
  <c r="D682" i="13"/>
  <c r="D681" i="13"/>
  <c r="D680" i="13"/>
  <c r="D679" i="13"/>
  <c r="D678" i="13"/>
  <c r="D677" i="13"/>
  <c r="D676" i="13"/>
  <c r="D675" i="13"/>
  <c r="D674" i="13"/>
  <c r="D673" i="13"/>
  <c r="D672" i="13"/>
  <c r="D671" i="13"/>
  <c r="D670" i="13"/>
  <c r="D669" i="13"/>
  <c r="D668" i="13"/>
  <c r="D667" i="13"/>
  <c r="D666" i="13"/>
  <c r="D665" i="13"/>
  <c r="D664" i="13"/>
  <c r="D663" i="13"/>
  <c r="D662" i="13"/>
  <c r="D661" i="13"/>
  <c r="D660" i="13"/>
  <c r="D659" i="13"/>
  <c r="D658" i="13"/>
  <c r="D657" i="13"/>
  <c r="D656" i="13"/>
  <c r="D655" i="13"/>
  <c r="D654" i="13"/>
  <c r="D653" i="13"/>
  <c r="D652" i="13"/>
  <c r="D651" i="13"/>
  <c r="D650" i="13"/>
  <c r="D649" i="13"/>
  <c r="D648" i="13"/>
  <c r="D647" i="13"/>
  <c r="D646" i="13"/>
  <c r="D645" i="13"/>
  <c r="D644" i="13"/>
  <c r="D643" i="13"/>
  <c r="D642" i="13"/>
  <c r="D641" i="13"/>
  <c r="D640" i="13"/>
  <c r="D639" i="13"/>
  <c r="D638" i="13"/>
  <c r="D637" i="13"/>
  <c r="D636" i="13"/>
  <c r="D635" i="13"/>
  <c r="D634" i="13"/>
  <c r="D633" i="13"/>
  <c r="D632" i="13"/>
  <c r="D631" i="13"/>
  <c r="D630" i="13"/>
  <c r="D629" i="13"/>
  <c r="D628" i="13"/>
  <c r="D627" i="13"/>
  <c r="D626" i="13"/>
  <c r="D625" i="13"/>
  <c r="D624" i="13"/>
  <c r="D623" i="13"/>
  <c r="D622" i="13"/>
  <c r="D621" i="13"/>
  <c r="D620" i="13"/>
  <c r="D619" i="13"/>
  <c r="D618" i="13"/>
  <c r="D617" i="13"/>
  <c r="D616" i="13"/>
  <c r="D615" i="13"/>
  <c r="D614" i="13"/>
  <c r="D613" i="13"/>
  <c r="D612" i="13"/>
  <c r="D611" i="13"/>
  <c r="D610" i="13"/>
  <c r="D609" i="13"/>
  <c r="D608" i="13"/>
  <c r="D607" i="13"/>
  <c r="D606" i="13"/>
  <c r="D605" i="13"/>
  <c r="D604" i="13"/>
  <c r="D603" i="13"/>
  <c r="D602" i="13"/>
  <c r="D601" i="13"/>
  <c r="D600" i="13"/>
  <c r="D599" i="13"/>
  <c r="D598" i="13"/>
  <c r="D597" i="13"/>
  <c r="D596" i="13"/>
  <c r="D595" i="13"/>
  <c r="D594" i="13"/>
  <c r="D593" i="13"/>
  <c r="D592" i="13"/>
  <c r="D591" i="13"/>
  <c r="D590" i="13"/>
  <c r="D589" i="13"/>
  <c r="D588" i="13"/>
  <c r="D587" i="13"/>
  <c r="D586" i="13"/>
  <c r="D585" i="13"/>
  <c r="D584" i="13"/>
  <c r="D583" i="13"/>
  <c r="D582" i="13"/>
  <c r="D581" i="13"/>
  <c r="D580" i="13"/>
  <c r="D579" i="13"/>
  <c r="D578" i="13"/>
  <c r="D577" i="13"/>
  <c r="D576" i="13"/>
  <c r="D575" i="13"/>
  <c r="D574" i="13"/>
  <c r="D573" i="13"/>
  <c r="D572" i="13"/>
  <c r="D571" i="13"/>
  <c r="D570" i="13"/>
  <c r="D569" i="13"/>
  <c r="D568" i="13"/>
  <c r="D567" i="13"/>
  <c r="D566" i="13"/>
  <c r="D565" i="13"/>
  <c r="D564" i="13"/>
  <c r="D563" i="13"/>
  <c r="D562" i="13"/>
  <c r="D561" i="13"/>
  <c r="D560" i="13"/>
  <c r="D559" i="13"/>
  <c r="D558" i="13"/>
  <c r="D557" i="13"/>
  <c r="D556" i="13"/>
  <c r="D555" i="13"/>
  <c r="D554" i="13"/>
  <c r="D553" i="13"/>
  <c r="D552" i="13"/>
  <c r="D551" i="13"/>
  <c r="D550" i="13"/>
  <c r="D549" i="13"/>
  <c r="D548" i="13"/>
  <c r="D547" i="13"/>
  <c r="D546" i="13"/>
  <c r="D545" i="13"/>
  <c r="D544" i="13"/>
  <c r="D543" i="13"/>
  <c r="D542" i="13"/>
  <c r="D541" i="13"/>
  <c r="D540" i="13"/>
  <c r="D539" i="13"/>
  <c r="D538" i="13"/>
  <c r="D537" i="13"/>
  <c r="D536" i="13"/>
  <c r="D535" i="13"/>
  <c r="D534" i="13"/>
  <c r="D533" i="13"/>
  <c r="D532" i="13"/>
  <c r="D531" i="13"/>
  <c r="D530" i="13"/>
  <c r="D529" i="13"/>
  <c r="D528" i="13"/>
  <c r="D527" i="13"/>
  <c r="D526" i="13"/>
  <c r="D525" i="13"/>
  <c r="D524" i="13"/>
  <c r="D523" i="13"/>
  <c r="D522" i="13"/>
  <c r="D521" i="13"/>
  <c r="D520" i="13"/>
  <c r="D519" i="13"/>
  <c r="D518" i="13"/>
  <c r="D517" i="13"/>
  <c r="D516" i="13"/>
  <c r="D515" i="13"/>
  <c r="D514" i="13"/>
  <c r="D513" i="13"/>
  <c r="D512" i="13"/>
  <c r="D511" i="13"/>
  <c r="D510" i="13"/>
  <c r="D509" i="13"/>
  <c r="D508" i="13"/>
  <c r="D507" i="13"/>
  <c r="D506" i="13"/>
  <c r="D505" i="13"/>
  <c r="D504" i="13"/>
  <c r="D503" i="13"/>
  <c r="D502" i="13"/>
  <c r="D501" i="13"/>
  <c r="D500" i="13"/>
  <c r="D499" i="13"/>
  <c r="D498" i="13"/>
  <c r="D497" i="13"/>
  <c r="D496" i="13"/>
  <c r="D495" i="13"/>
  <c r="D494" i="13"/>
  <c r="D493" i="13"/>
  <c r="D492" i="13"/>
  <c r="D491" i="13"/>
  <c r="D490" i="13"/>
  <c r="D489" i="13"/>
  <c r="D488" i="13"/>
  <c r="D487" i="13"/>
  <c r="D486" i="13"/>
  <c r="D485" i="13"/>
  <c r="D484" i="13"/>
  <c r="D483" i="13"/>
  <c r="D482" i="13"/>
  <c r="D439" i="13"/>
  <c r="D437" i="13"/>
  <c r="D433" i="13"/>
  <c r="D431" i="13"/>
  <c r="D429" i="13"/>
  <c r="D425" i="13"/>
  <c r="D423" i="13"/>
  <c r="D421" i="13"/>
  <c r="D417" i="13"/>
  <c r="D415" i="13"/>
  <c r="D413" i="13"/>
  <c r="D407" i="13"/>
  <c r="D405" i="13"/>
  <c r="D401" i="13"/>
  <c r="D399" i="13"/>
  <c r="D397" i="13"/>
  <c r="D391" i="13"/>
  <c r="D389" i="13"/>
  <c r="D385" i="13"/>
  <c r="D383" i="13"/>
  <c r="D381" i="13"/>
  <c r="D380" i="13"/>
  <c r="D376" i="13"/>
  <c r="D374" i="13"/>
  <c r="D372" i="13"/>
  <c r="D368" i="13"/>
  <c r="D366" i="13"/>
  <c r="D364" i="13"/>
  <c r="D360" i="13"/>
  <c r="D358" i="13"/>
  <c r="D356" i="13"/>
  <c r="D352" i="13"/>
  <c r="D350" i="13"/>
  <c r="D348" i="13"/>
  <c r="D344" i="13"/>
  <c r="D342" i="13"/>
  <c r="D340" i="13"/>
  <c r="D334" i="13"/>
  <c r="D332" i="13"/>
  <c r="D328" i="13"/>
  <c r="D326" i="13"/>
  <c r="D324" i="13"/>
  <c r="D318" i="13"/>
  <c r="D316" i="13"/>
  <c r="D312" i="13"/>
  <c r="D310" i="13"/>
  <c r="D308" i="13"/>
  <c r="D307" i="13"/>
  <c r="D303" i="13"/>
  <c r="D301" i="13"/>
  <c r="D299" i="13"/>
  <c r="D295" i="13"/>
  <c r="D293" i="13"/>
  <c r="D291" i="13"/>
  <c r="D287" i="13"/>
  <c r="D285" i="13"/>
  <c r="D283" i="13"/>
  <c r="D279" i="13"/>
  <c r="D277" i="13"/>
  <c r="D275" i="13"/>
  <c r="D271" i="13"/>
  <c r="D269" i="13"/>
  <c r="D267" i="13"/>
  <c r="D261" i="13"/>
  <c r="D259" i="13"/>
  <c r="D255" i="13"/>
  <c r="D253" i="13"/>
  <c r="D251" i="13"/>
  <c r="D245" i="13"/>
  <c r="D243" i="13"/>
  <c r="D239" i="13"/>
  <c r="D237" i="13"/>
  <c r="D235" i="13"/>
  <c r="D234" i="13"/>
  <c r="D230" i="13"/>
  <c r="D228" i="13"/>
  <c r="D226" i="13"/>
  <c r="D222" i="13"/>
  <c r="D220" i="13"/>
  <c r="D218" i="13"/>
  <c r="D214" i="13"/>
  <c r="D212" i="13"/>
  <c r="D210" i="13"/>
  <c r="D206" i="13"/>
  <c r="D204" i="13"/>
  <c r="D202" i="13"/>
  <c r="D198" i="13"/>
  <c r="D196" i="13"/>
  <c r="D194" i="13"/>
  <c r="D188" i="13"/>
  <c r="D186" i="13"/>
  <c r="D182" i="13"/>
  <c r="D180" i="13"/>
  <c r="D178" i="13"/>
  <c r="D172" i="13"/>
  <c r="D170" i="13"/>
  <c r="D166" i="13"/>
  <c r="D164" i="13"/>
  <c r="D162" i="13"/>
  <c r="D161" i="13"/>
  <c r="D157" i="13"/>
  <c r="D155" i="13"/>
  <c r="D153" i="13"/>
  <c r="D149" i="13"/>
  <c r="D147" i="13"/>
  <c r="D145" i="13"/>
  <c r="D141" i="13"/>
  <c r="D139" i="13"/>
  <c r="D137" i="13"/>
  <c r="D133" i="13"/>
  <c r="D131" i="13"/>
  <c r="D129" i="13"/>
  <c r="D125" i="13"/>
  <c r="D123" i="13"/>
  <c r="D121" i="13"/>
  <c r="D115" i="13"/>
  <c r="D113" i="13"/>
  <c r="D109" i="13"/>
  <c r="D107" i="13"/>
  <c r="D105" i="13"/>
  <c r="D99" i="13"/>
  <c r="D97" i="13"/>
  <c r="D93" i="13"/>
  <c r="D91" i="13"/>
  <c r="D89" i="13"/>
  <c r="D88" i="13"/>
  <c r="D84" i="13"/>
  <c r="D82" i="13"/>
  <c r="D80" i="13"/>
  <c r="D76" i="13"/>
  <c r="D74" i="13"/>
  <c r="D72" i="13"/>
  <c r="D68" i="13"/>
  <c r="D66" i="13"/>
  <c r="D64" i="13"/>
  <c r="D60" i="13"/>
  <c r="D58" i="13"/>
  <c r="D56" i="13"/>
  <c r="D52" i="13"/>
  <c r="D50" i="13"/>
  <c r="D48" i="13"/>
  <c r="D42" i="13"/>
  <c r="D40" i="13"/>
  <c r="D36" i="13"/>
  <c r="D34" i="13"/>
  <c r="D32" i="13"/>
  <c r="D26" i="13"/>
  <c r="D24" i="13"/>
  <c r="D20" i="13"/>
  <c r="D18" i="13"/>
  <c r="D16" i="13"/>
  <c r="D15" i="13"/>
  <c r="D11" i="13"/>
  <c r="D9" i="13"/>
  <c r="D7" i="13"/>
  <c r="D3" i="13"/>
  <c r="D438" i="13"/>
  <c r="D384" i="13"/>
  <c r="F4" i="7"/>
  <c r="D395" i="13" l="1"/>
  <c r="D103" i="13"/>
  <c r="D281" i="13"/>
  <c r="D95" i="13"/>
  <c r="D200" i="13"/>
  <c r="D387" i="13"/>
  <c r="D70" i="13"/>
  <c r="D151" i="13"/>
  <c r="D232" i="13"/>
  <c r="D362" i="13"/>
  <c r="D184" i="13"/>
  <c r="D27" i="13"/>
  <c r="D51" i="13"/>
  <c r="D83" i="13"/>
  <c r="D238" i="13"/>
  <c r="D319" i="13"/>
  <c r="D375" i="13"/>
  <c r="D13" i="13"/>
  <c r="D19" i="13"/>
  <c r="D62" i="13"/>
  <c r="D75" i="13"/>
  <c r="D100" i="13"/>
  <c r="D108" i="13"/>
  <c r="D124" i="13"/>
  <c r="D143" i="13"/>
  <c r="D156" i="13"/>
  <c r="D168" i="13"/>
  <c r="D176" i="13"/>
  <c r="D189" i="13"/>
  <c r="D205" i="13"/>
  <c r="D224" i="13"/>
  <c r="D257" i="13"/>
  <c r="D273" i="13"/>
  <c r="D286" i="13"/>
  <c r="D305" i="13"/>
  <c r="D311" i="13"/>
  <c r="D354" i="13"/>
  <c r="D367" i="13"/>
  <c r="D392" i="13"/>
  <c r="D400" i="13"/>
  <c r="D416" i="13"/>
  <c r="D435" i="13"/>
  <c r="D35" i="13"/>
  <c r="D213" i="13"/>
  <c r="D294" i="13"/>
  <c r="D343" i="13"/>
  <c r="D424" i="13"/>
  <c r="D30" i="13"/>
  <c r="D43" i="13"/>
  <c r="D59" i="13"/>
  <c r="D127" i="13"/>
  <c r="D140" i="13"/>
  <c r="D159" i="13"/>
  <c r="D165" i="13"/>
  <c r="D208" i="13"/>
  <c r="D221" i="13"/>
  <c r="D246" i="13"/>
  <c r="D254" i="13"/>
  <c r="D270" i="13"/>
  <c r="D289" i="13"/>
  <c r="D302" i="13"/>
  <c r="D314" i="13"/>
  <c r="D322" i="13"/>
  <c r="D335" i="13"/>
  <c r="D351" i="13"/>
  <c r="D370" i="13"/>
  <c r="D403" i="13"/>
  <c r="D419" i="13"/>
  <c r="D432" i="13"/>
  <c r="D2" i="13"/>
  <c r="D116" i="13"/>
  <c r="D132" i="13"/>
  <c r="D327" i="13"/>
  <c r="D408" i="13"/>
  <c r="D10" i="13"/>
  <c r="D22" i="13"/>
  <c r="D78" i="13"/>
  <c r="D111" i="13"/>
  <c r="D5" i="13"/>
  <c r="D38" i="13"/>
  <c r="D54" i="13"/>
  <c r="D67" i="13"/>
  <c r="D86" i="13"/>
  <c r="D92" i="13"/>
  <c r="D135" i="13"/>
  <c r="D148" i="13"/>
  <c r="D173" i="13"/>
  <c r="D181" i="13"/>
  <c r="D197" i="13"/>
  <c r="D216" i="13"/>
  <c r="D229" i="13"/>
  <c r="D241" i="13"/>
  <c r="D249" i="13"/>
  <c r="D262" i="13"/>
  <c r="D278" i="13"/>
  <c r="D297" i="13"/>
  <c r="D330" i="13"/>
  <c r="D346" i="13"/>
  <c r="D359" i="13"/>
  <c r="D378" i="13"/>
  <c r="D427" i="13"/>
  <c r="D434" i="13"/>
  <c r="D338" i="13"/>
  <c r="D409" i="13"/>
  <c r="D420" i="13"/>
  <c r="D412" i="13"/>
  <c r="D44" i="13"/>
  <c r="D336" i="13"/>
  <c r="D190" i="13"/>
  <c r="D47" i="13"/>
  <c r="D339" i="13"/>
  <c r="D193" i="13"/>
  <c r="D187" i="13"/>
  <c r="D8" i="13"/>
  <c r="D333" i="13"/>
  <c r="D357" i="13"/>
  <c r="D130" i="13"/>
  <c r="D154" i="13"/>
  <c r="D179" i="13"/>
  <c r="D276" i="13"/>
  <c r="D300" i="13"/>
  <c r="D325" i="13"/>
  <c r="D382" i="13"/>
  <c r="D422" i="13"/>
  <c r="D211" i="13"/>
  <c r="D33" i="13"/>
  <c r="D90" i="13"/>
  <c r="D122" i="13"/>
  <c r="D73" i="13"/>
  <c r="D268" i="13"/>
  <c r="D414" i="13"/>
  <c r="D219" i="13"/>
  <c r="D41" i="13"/>
  <c r="D65" i="13"/>
  <c r="D98" i="13"/>
  <c r="D365" i="13"/>
  <c r="D244" i="13"/>
  <c r="D390" i="13"/>
  <c r="D236" i="13"/>
  <c r="D347" i="13"/>
  <c r="D379" i="13"/>
  <c r="D436" i="13"/>
  <c r="D250" i="13"/>
  <c r="D201" i="13"/>
  <c r="D290" i="13"/>
  <c r="D6" i="13"/>
  <c r="D31" i="13"/>
  <c r="D233" i="13"/>
  <c r="D55" i="13"/>
  <c r="D87" i="13"/>
  <c r="D144" i="13"/>
  <c r="D371" i="13"/>
  <c r="D225" i="13"/>
  <c r="D404" i="13"/>
  <c r="D79" i="13"/>
  <c r="D258" i="13"/>
  <c r="D104" i="13"/>
  <c r="D112" i="13"/>
  <c r="D396" i="13"/>
  <c r="D4" i="13"/>
  <c r="D410" i="13"/>
  <c r="D296" i="13"/>
  <c r="D264" i="13"/>
  <c r="D321" i="13"/>
  <c r="D353" i="13"/>
  <c r="D150" i="13"/>
  <c r="K193" i="1"/>
  <c r="K200" i="1"/>
  <c r="D29" i="13"/>
  <c r="D175" i="13"/>
  <c r="D207" i="13"/>
  <c r="D61" i="13"/>
  <c r="D428" i="13"/>
  <c r="D282" i="13"/>
  <c r="D355" i="13"/>
  <c r="D209" i="13"/>
  <c r="D63" i="13"/>
  <c r="D136" i="13"/>
  <c r="D320" i="13"/>
  <c r="D174" i="13"/>
  <c r="D28" i="13"/>
  <c r="D101" i="13"/>
  <c r="D393" i="13"/>
  <c r="D247" i="13"/>
  <c r="D388" i="13"/>
  <c r="D242" i="13"/>
  <c r="D96" i="13"/>
  <c r="D315" i="13"/>
  <c r="D23" i="13"/>
  <c r="D169" i="13"/>
  <c r="D37" i="13"/>
  <c r="D69" i="13"/>
  <c r="D215" i="13"/>
  <c r="D272" i="13"/>
  <c r="D304" i="13"/>
  <c r="D329" i="13"/>
  <c r="D411" i="13"/>
  <c r="D12" i="13"/>
  <c r="D119" i="13"/>
  <c r="D183" i="13"/>
  <c r="D240" i="13"/>
  <c r="D386" i="13"/>
  <c r="D17" i="13"/>
  <c r="D49" i="13"/>
  <c r="D77" i="13"/>
  <c r="D81" i="13"/>
  <c r="D102" i="13"/>
  <c r="D106" i="13"/>
  <c r="D120" i="13"/>
  <c r="D134" i="13"/>
  <c r="D138" i="13"/>
  <c r="D152" i="13"/>
  <c r="D163" i="13"/>
  <c r="D177" i="13"/>
  <c r="D191" i="13"/>
  <c r="D195" i="13"/>
  <c r="D223" i="13"/>
  <c r="D227" i="13"/>
  <c r="D248" i="13"/>
  <c r="D252" i="13"/>
  <c r="D266" i="13"/>
  <c r="D280" i="13"/>
  <c r="D284" i="13"/>
  <c r="D298" i="13"/>
  <c r="D309" i="13"/>
  <c r="D323" i="13"/>
  <c r="D337" i="13"/>
  <c r="D341" i="13"/>
  <c r="D369" i="13"/>
  <c r="D373" i="13"/>
  <c r="D394" i="13"/>
  <c r="D398" i="13"/>
  <c r="D426" i="13"/>
  <c r="D430" i="13"/>
  <c r="D94" i="13"/>
  <c r="D126" i="13"/>
  <c r="D158" i="13"/>
  <c r="D265" i="13"/>
  <c r="D361" i="13"/>
  <c r="D418" i="13"/>
  <c r="D45" i="13"/>
  <c r="D14" i="13"/>
  <c r="D21" i="13"/>
  <c r="D25" i="13"/>
  <c r="D39" i="13"/>
  <c r="D46" i="13"/>
  <c r="D53" i="13"/>
  <c r="D57" i="13"/>
  <c r="D71" i="13"/>
  <c r="D85" i="13"/>
  <c r="D110" i="13"/>
  <c r="D114" i="13"/>
  <c r="D117" i="13"/>
  <c r="D128" i="13"/>
  <c r="D142" i="13"/>
  <c r="D146" i="13"/>
  <c r="D160" i="13"/>
  <c r="D167" i="13"/>
  <c r="D171" i="13"/>
  <c r="D185" i="13"/>
  <c r="D192" i="13"/>
  <c r="D199" i="13"/>
  <c r="D203" i="13"/>
  <c r="D217" i="13"/>
  <c r="D231" i="13"/>
  <c r="D256" i="13"/>
  <c r="D260" i="13"/>
  <c r="D263" i="13"/>
  <c r="D274" i="13"/>
  <c r="D288" i="13"/>
  <c r="D292" i="13"/>
  <c r="D306" i="13"/>
  <c r="D313" i="13"/>
  <c r="D317" i="13"/>
  <c r="D331" i="13"/>
  <c r="D345" i="13"/>
  <c r="D349" i="13"/>
  <c r="D363" i="13"/>
  <c r="D377" i="13"/>
  <c r="D402" i="13"/>
  <c r="D406" i="13"/>
  <c r="F3" i="9"/>
  <c r="E432" i="13" l="1"/>
  <c r="O163" i="10" s="1"/>
  <c r="E2" i="13"/>
  <c r="J165" i="10" s="1"/>
  <c r="E375" i="13"/>
  <c r="O170" i="10" s="1"/>
  <c r="E229" i="13"/>
  <c r="M170" i="10" s="1"/>
  <c r="E416" i="13"/>
  <c r="O164" i="10" s="1"/>
  <c r="E294" i="13"/>
  <c r="N165" i="10" s="1"/>
  <c r="E83" i="13"/>
  <c r="K170" i="10" s="1"/>
  <c r="E92" i="13"/>
  <c r="K169" i="10" s="1"/>
  <c r="E359" i="13"/>
  <c r="N163" i="10" s="1"/>
  <c r="E35" i="13"/>
  <c r="J166" i="10" s="1"/>
  <c r="P45" i="1" s="1" a="1"/>
  <c r="P45" i="1" s="1"/>
  <c r="E27" i="13"/>
  <c r="J167" i="10" s="1"/>
  <c r="E59" i="13"/>
  <c r="J168" i="10" s="1"/>
  <c r="E408" i="13"/>
  <c r="O162" i="10" s="1"/>
  <c r="E351" i="13"/>
  <c r="N168" i="10" s="1"/>
  <c r="E140" i="13"/>
  <c r="K163" i="10" s="1"/>
  <c r="E108" i="13"/>
  <c r="K166" i="10" s="1"/>
  <c r="E335" i="13"/>
  <c r="N162" i="10" s="1"/>
  <c r="E302" i="13"/>
  <c r="N170" i="10" s="1"/>
  <c r="E124" i="13"/>
  <c r="K164" i="10" s="1"/>
  <c r="E51" i="13"/>
  <c r="J164" i="10" s="1"/>
  <c r="E238" i="13"/>
  <c r="M169" i="10" s="1"/>
  <c r="E148" i="13"/>
  <c r="L165" i="10" s="1"/>
  <c r="P125" i="1" s="1" a="1"/>
  <c r="P125" i="1" s="1"/>
  <c r="J125" i="1" s="1"/>
  <c r="E384" i="13"/>
  <c r="O169" i="10" s="1"/>
  <c r="E343" i="13"/>
  <c r="N164" i="10" s="1"/>
  <c r="E205" i="13"/>
  <c r="L168" i="10" s="1"/>
  <c r="E270" i="13"/>
  <c r="M164" i="10" s="1"/>
  <c r="E254" i="13"/>
  <c r="M166" i="10" s="1"/>
  <c r="E278" i="13"/>
  <c r="M168" i="10" s="1"/>
  <c r="E132" i="13"/>
  <c r="K168" i="10" s="1"/>
  <c r="E10" i="13"/>
  <c r="J170" i="10" s="1"/>
  <c r="E19" i="13"/>
  <c r="J169" i="10" s="1"/>
  <c r="E311" i="13"/>
  <c r="N169" i="10" s="1"/>
  <c r="E116" i="13"/>
  <c r="K162" i="10" s="1"/>
  <c r="E156" i="13"/>
  <c r="L170" i="10" s="1"/>
  <c r="E213" i="13"/>
  <c r="L163" i="10" s="1"/>
  <c r="E173" i="13"/>
  <c r="L167" i="10" s="1"/>
  <c r="E286" i="13"/>
  <c r="M163" i="10" s="1"/>
  <c r="E197" i="13"/>
  <c r="L164" i="10" s="1"/>
  <c r="E165" i="13"/>
  <c r="L169" i="10" s="1"/>
  <c r="E400" i="13"/>
  <c r="O166" i="10" s="1"/>
  <c r="E262" i="13"/>
  <c r="M162" i="10" s="1"/>
  <c r="E181" i="13"/>
  <c r="L166" i="10" s="1"/>
  <c r="E327" i="13"/>
  <c r="N166" i="10" s="1"/>
  <c r="E67" i="13"/>
  <c r="J163" i="10" s="1"/>
  <c r="E319" i="13"/>
  <c r="N167" i="10" s="1"/>
  <c r="E75" i="13"/>
  <c r="K165" i="10" s="1"/>
  <c r="E246" i="13"/>
  <c r="M167" i="10" s="1"/>
  <c r="E367" i="13"/>
  <c r="O165" i="10" s="1"/>
  <c r="E392" i="13"/>
  <c r="O167" i="10" s="1"/>
  <c r="E43" i="13"/>
  <c r="J162" i="10" s="1"/>
  <c r="E424" i="13"/>
  <c r="O168" i="10" s="1"/>
  <c r="E221" i="13"/>
  <c r="M165" i="10" s="1"/>
  <c r="E189" i="13"/>
  <c r="L162" i="10" s="1"/>
  <c r="E100" i="13"/>
  <c r="K167" i="10" s="1"/>
  <c r="P86" i="1" l="1" a="1"/>
  <c r="P86" i="1" s="1"/>
  <c r="J86" i="1" s="1"/>
  <c r="P113" i="1" a="1"/>
  <c r="P113" i="1" s="1"/>
  <c r="J113" i="1" s="1"/>
  <c r="P120" i="1" a="1"/>
  <c r="P120" i="1" s="1"/>
  <c r="J120" i="1" s="1"/>
  <c r="P104" i="1" a="1"/>
  <c r="P104" i="1" s="1"/>
  <c r="J104" i="1" s="1"/>
  <c r="P102" i="1" a="1"/>
  <c r="P102" i="1" s="1"/>
  <c r="J102" i="1" s="1"/>
  <c r="P84" i="1" a="1"/>
  <c r="P84" i="1" s="1"/>
  <c r="J84" i="1" s="1"/>
  <c r="P111" i="1" a="1"/>
  <c r="P111" i="1" s="1"/>
  <c r="J111" i="1" s="1"/>
  <c r="P126" i="1" a="1"/>
  <c r="P126" i="1" s="1"/>
  <c r="J126" i="1" s="1"/>
  <c r="P105" i="1" a="1"/>
  <c r="P105" i="1" s="1"/>
  <c r="J105" i="1" s="1"/>
  <c r="P49" i="1" a="1"/>
  <c r="P49" i="1" s="1"/>
  <c r="J49" i="1" s="1"/>
  <c r="P72" i="1" a="1"/>
  <c r="P72" i="1" s="1"/>
  <c r="J72" i="1" s="1"/>
  <c r="P101" i="1" a="1"/>
  <c r="P101" i="1" s="1"/>
  <c r="J101" i="1" s="1"/>
  <c r="P114" i="1" a="1"/>
  <c r="P114" i="1" s="1"/>
  <c r="J114" i="1" s="1"/>
  <c r="P122" i="1" a="1"/>
  <c r="P122" i="1" s="1"/>
  <c r="J122" i="1" s="1"/>
  <c r="P42" i="1" a="1"/>
  <c r="P42" i="1" s="1"/>
  <c r="J42" i="1" s="1"/>
  <c r="P65" i="1" a="1"/>
  <c r="P65" i="1" s="1"/>
  <c r="J65" i="1" s="1"/>
  <c r="P88" i="1" a="1"/>
  <c r="P88" i="1" s="1"/>
  <c r="J88" i="1" s="1"/>
  <c r="P51" i="1" a="1"/>
  <c r="P51" i="1" s="1"/>
  <c r="J51" i="1" s="1"/>
  <c r="P59" i="1" a="1"/>
  <c r="P59" i="1" s="1"/>
  <c r="J59" i="1" s="1"/>
  <c r="P73" i="1" a="1"/>
  <c r="P73" i="1" s="1"/>
  <c r="J73" i="1" s="1"/>
  <c r="P92" i="1" a="1"/>
  <c r="P92" i="1" s="1"/>
  <c r="J92" i="1" s="1"/>
  <c r="P43" i="1" a="1"/>
  <c r="P43" i="1" s="1"/>
  <c r="J43" i="1" s="1"/>
  <c r="P78" i="1" a="1"/>
  <c r="P78" i="1" s="1"/>
  <c r="J78" i="1" s="1"/>
  <c r="P97" i="1" a="1"/>
  <c r="P97" i="1" s="1"/>
  <c r="J97" i="1" s="1"/>
  <c r="P106" i="1" a="1"/>
  <c r="P106" i="1" s="1"/>
  <c r="J106" i="1" s="1"/>
  <c r="P57" i="1" a="1"/>
  <c r="P57" i="1" s="1"/>
  <c r="J57" i="1" s="1"/>
  <c r="P70" i="1" a="1"/>
  <c r="P70" i="1" s="1"/>
  <c r="J70" i="1" s="1"/>
  <c r="P71" i="1" a="1"/>
  <c r="P71" i="1" s="1"/>
  <c r="J71" i="1" s="1"/>
  <c r="P35" i="1" a="1"/>
  <c r="P35" i="1" s="1"/>
  <c r="J35" i="1" s="1"/>
  <c r="P75" i="1" a="1"/>
  <c r="P75" i="1" s="1"/>
  <c r="J75" i="1" s="1"/>
  <c r="P55" i="1" a="1"/>
  <c r="P55" i="1" s="1"/>
  <c r="J55" i="1" s="1"/>
  <c r="P34" i="1" a="1"/>
  <c r="P34" i="1" s="1"/>
  <c r="J34" i="1" s="1"/>
  <c r="P40" i="1" a="1"/>
  <c r="P40" i="1" s="1"/>
  <c r="J40" i="1" s="1"/>
  <c r="P89" i="1" a="1"/>
  <c r="P89" i="1" s="1"/>
  <c r="J89" i="1" s="1"/>
  <c r="P93" i="1" a="1"/>
  <c r="P93" i="1" s="1"/>
  <c r="J93" i="1" s="1"/>
  <c r="P79" i="1" a="1"/>
  <c r="P79" i="1" s="1"/>
  <c r="J79" i="1" s="1"/>
  <c r="P39" i="1" a="1"/>
  <c r="P39" i="1" s="1"/>
  <c r="J39" i="1" s="1"/>
  <c r="P53" i="1" a="1"/>
  <c r="P53" i="1" s="1"/>
  <c r="J53" i="1" s="1"/>
  <c r="P68" i="1" a="1"/>
  <c r="P68" i="1" s="1"/>
  <c r="J68" i="1" s="1"/>
  <c r="P115" i="1" a="1"/>
  <c r="P115" i="1" s="1"/>
  <c r="J115" i="1" s="1"/>
  <c r="P117" i="1" a="1"/>
  <c r="P117" i="1" s="1"/>
  <c r="J117" i="1" s="1"/>
  <c r="P41" i="1" a="1"/>
  <c r="P41" i="1" s="1"/>
  <c r="J41" i="1" s="1"/>
  <c r="P81" i="1" a="1"/>
  <c r="P81" i="1" s="1"/>
  <c r="J81" i="1" s="1"/>
  <c r="P58" i="1" a="1"/>
  <c r="P58" i="1" s="1"/>
  <c r="J58" i="1" s="1"/>
  <c r="P52" i="1" a="1"/>
  <c r="P52" i="1" s="1"/>
  <c r="J52" i="1" s="1"/>
  <c r="P100" i="1" a="1"/>
  <c r="P100" i="1" s="1"/>
  <c r="J100" i="1" s="1"/>
  <c r="P108" i="1" a="1"/>
  <c r="P108" i="1" s="1"/>
  <c r="J108" i="1" s="1"/>
  <c r="P123" i="1" a="1"/>
  <c r="P123" i="1" s="1"/>
  <c r="J123" i="1" s="1"/>
  <c r="P31" i="1" a="1"/>
  <c r="P31" i="1" s="1"/>
  <c r="P33" i="1" a="1"/>
  <c r="P33" i="1" s="1"/>
  <c r="J33" i="1" s="1"/>
  <c r="P44" i="1" a="1"/>
  <c r="P44" i="1" s="1"/>
  <c r="J44" i="1" s="1"/>
  <c r="P54" i="1" a="1"/>
  <c r="P54" i="1" s="1"/>
  <c r="J54" i="1" s="1"/>
  <c r="P62" i="1" a="1"/>
  <c r="P62" i="1" s="1"/>
  <c r="J62" i="1" s="1"/>
  <c r="P76" i="1" a="1"/>
  <c r="P76" i="1" s="1"/>
  <c r="J76" i="1" s="1"/>
  <c r="P77" i="1" a="1"/>
  <c r="P77" i="1" s="1"/>
  <c r="J77" i="1" s="1"/>
  <c r="P48" i="1" a="1"/>
  <c r="P48" i="1" s="1"/>
  <c r="J48" i="1" s="1"/>
  <c r="P32" i="1" a="1"/>
  <c r="P32" i="1" s="1"/>
  <c r="P56" i="1" a="1"/>
  <c r="P56" i="1" s="1"/>
  <c r="J56" i="1" s="1"/>
  <c r="P63" i="1" a="1"/>
  <c r="P63" i="1" s="1"/>
  <c r="J63" i="1" s="1"/>
  <c r="P67" i="1" a="1"/>
  <c r="P67" i="1" s="1"/>
  <c r="J67" i="1" s="1"/>
  <c r="P74" i="1" a="1"/>
  <c r="P74" i="1" s="1"/>
  <c r="J74" i="1" s="1"/>
  <c r="P87" i="1" a="1"/>
  <c r="P87" i="1" s="1"/>
  <c r="J87" i="1" s="1"/>
  <c r="P69" i="1" a="1"/>
  <c r="P69" i="1" s="1"/>
  <c r="J69" i="1" s="1"/>
  <c r="P64" i="1" a="1"/>
  <c r="P64" i="1" s="1"/>
  <c r="J64" i="1" s="1"/>
  <c r="P109" i="1" a="1"/>
  <c r="P109" i="1" s="1"/>
  <c r="J109" i="1" s="1"/>
  <c r="P61" i="1" a="1"/>
  <c r="P61" i="1" s="1"/>
  <c r="J61" i="1" s="1"/>
  <c r="P119" i="1" a="1"/>
  <c r="P119" i="1" s="1"/>
  <c r="J119" i="1" s="1"/>
  <c r="J45" i="1"/>
  <c r="P107" i="1" a="1"/>
  <c r="P107" i="1" s="1"/>
  <c r="J107" i="1" s="1"/>
  <c r="P99" i="1" a="1"/>
  <c r="P99" i="1" s="1"/>
  <c r="J99" i="1" s="1"/>
  <c r="P83" i="1" a="1"/>
  <c r="P83" i="1" s="1"/>
  <c r="J83" i="1" s="1"/>
  <c r="P46" i="1" a="1"/>
  <c r="P46" i="1" s="1"/>
  <c r="P47" i="1" a="1"/>
  <c r="P47" i="1" s="1"/>
  <c r="J47" i="1" s="1"/>
  <c r="P96" i="1" a="1"/>
  <c r="P96" i="1" s="1"/>
  <c r="J96" i="1" s="1"/>
  <c r="P110" i="1" a="1"/>
  <c r="P110" i="1" s="1"/>
  <c r="J110" i="1" s="1"/>
  <c r="P116" i="1" a="1"/>
  <c r="P116" i="1" s="1"/>
  <c r="J116" i="1" s="1"/>
  <c r="P82" i="1" a="1"/>
  <c r="P82" i="1" s="1"/>
  <c r="J82" i="1" s="1"/>
  <c r="P94" i="1" a="1"/>
  <c r="P94" i="1" s="1"/>
  <c r="J94" i="1" s="1"/>
  <c r="P118" i="1" a="1"/>
  <c r="P118" i="1" s="1"/>
  <c r="J118" i="1" s="1"/>
  <c r="P91" i="1" a="1"/>
  <c r="P91" i="1" s="1"/>
  <c r="J91" i="1" s="1"/>
  <c r="P98" i="1" a="1"/>
  <c r="P98" i="1" s="1"/>
  <c r="J98" i="1" s="1"/>
  <c r="P36" i="1" a="1"/>
  <c r="P36" i="1" s="1"/>
  <c r="J36" i="1" s="1"/>
  <c r="P90" i="1" a="1"/>
  <c r="P90" i="1" s="1"/>
  <c r="J90" i="1" s="1"/>
  <c r="P95" i="1" a="1"/>
  <c r="P95" i="1" s="1"/>
  <c r="J95" i="1" s="1"/>
  <c r="P38" i="1" a="1"/>
  <c r="P38" i="1" s="1"/>
  <c r="J38" i="1" s="1"/>
  <c r="P60" i="1" a="1"/>
  <c r="P60" i="1" s="1"/>
  <c r="J60" i="1" s="1"/>
  <c r="P37" i="1" a="1"/>
  <c r="P37" i="1" s="1"/>
  <c r="J37" i="1" s="1"/>
  <c r="P66" i="1" a="1"/>
  <c r="P66" i="1" s="1"/>
  <c r="J66" i="1" s="1"/>
  <c r="P80" i="1" a="1"/>
  <c r="P80" i="1" s="1"/>
  <c r="J80" i="1" s="1"/>
  <c r="P121" i="1" a="1"/>
  <c r="P121" i="1" s="1"/>
  <c r="J121" i="1" s="1"/>
  <c r="P124" i="1" a="1"/>
  <c r="P124" i="1" s="1"/>
  <c r="J124" i="1" s="1"/>
  <c r="P112" i="1" a="1"/>
  <c r="P112" i="1" s="1"/>
  <c r="J112" i="1" s="1"/>
  <c r="P85" i="1" a="1"/>
  <c r="P85" i="1" s="1"/>
  <c r="J85" i="1" s="1"/>
  <c r="P50" i="1" a="1"/>
  <c r="P50" i="1" s="1"/>
  <c r="J50" i="1" s="1"/>
  <c r="P103" i="1" a="1"/>
  <c r="P103" i="1" s="1"/>
  <c r="J103" i="1" s="1"/>
  <c r="P163" i="1" l="1"/>
  <c r="J32" i="1"/>
  <c r="J31" i="1"/>
  <c r="J46" i="1"/>
  <c r="AB107" i="1"/>
  <c r="K194" i="1"/>
  <c r="J163" i="1" l="1"/>
  <c r="S152" i="10"/>
  <c r="R152" i="10"/>
  <c r="Q152" i="10"/>
  <c r="P152" i="10"/>
  <c r="O152" i="10"/>
  <c r="AB96" i="10" s="1"/>
  <c r="N152" i="10"/>
  <c r="U96" i="10" s="1"/>
  <c r="M152" i="10"/>
  <c r="N96" i="10" s="1"/>
  <c r="L152" i="10"/>
  <c r="G96" i="10" s="1"/>
  <c r="M157" i="10" l="1"/>
  <c r="N157" i="10" l="1"/>
  <c r="N127" i="10"/>
  <c r="L153" i="10"/>
  <c r="G92" i="10" s="1"/>
  <c r="L150" i="10"/>
  <c r="L149" i="10"/>
  <c r="L148" i="10"/>
  <c r="L141" i="10"/>
  <c r="L140" i="10"/>
  <c r="L139" i="10"/>
  <c r="L137" i="10"/>
  <c r="L154" i="10"/>
  <c r="G111" i="10" s="1"/>
  <c r="G20" i="10" l="1"/>
  <c r="G34" i="10"/>
  <c r="G6" i="10"/>
  <c r="G106" i="10"/>
  <c r="G48" i="10"/>
  <c r="G77" i="10"/>
  <c r="G121" i="10"/>
  <c r="G62" i="10"/>
  <c r="G22" i="10"/>
  <c r="G50" i="10"/>
  <c r="G8" i="10"/>
  <c r="G79" i="10"/>
  <c r="G36" i="10"/>
  <c r="G108" i="10"/>
  <c r="G123" i="10"/>
  <c r="U64" i="10"/>
  <c r="AB64" i="10"/>
  <c r="G64" i="10"/>
  <c r="N64" i="10"/>
  <c r="G82" i="10"/>
  <c r="N82" i="10"/>
  <c r="U82" i="10"/>
  <c r="AB82" i="10"/>
  <c r="O157" i="10"/>
  <c r="AB127" i="10" s="1"/>
  <c r="U127" i="10"/>
  <c r="G109" i="10"/>
  <c r="G124" i="10"/>
  <c r="G9" i="10"/>
  <c r="G51" i="10"/>
  <c r="G93" i="10"/>
  <c r="G23" i="10"/>
  <c r="G80" i="10"/>
  <c r="G66" i="10"/>
  <c r="G37" i="10"/>
  <c r="G90" i="10"/>
  <c r="G95" i="10"/>
  <c r="AB24" i="10"/>
  <c r="AB38" i="10"/>
  <c r="N52" i="10"/>
  <c r="G67" i="10"/>
  <c r="G81" i="10"/>
  <c r="N94" i="10"/>
  <c r="U110" i="10"/>
  <c r="U125" i="10"/>
  <c r="G24" i="10"/>
  <c r="G38" i="10"/>
  <c r="U52" i="10"/>
  <c r="AB67" i="10"/>
  <c r="N81" i="10"/>
  <c r="U94" i="10"/>
  <c r="AB110" i="10"/>
  <c r="AB125" i="10"/>
  <c r="AB10" i="10"/>
  <c r="N24" i="10"/>
  <c r="N38" i="10"/>
  <c r="AB52" i="10"/>
  <c r="U67" i="10"/>
  <c r="U81" i="10"/>
  <c r="AB94" i="10"/>
  <c r="G110" i="10"/>
  <c r="G125" i="10"/>
  <c r="G10" i="10"/>
  <c r="G52" i="10"/>
  <c r="N125" i="10"/>
  <c r="N110" i="10"/>
  <c r="G94" i="10"/>
  <c r="U24" i="10"/>
  <c r="U38" i="10"/>
  <c r="N67" i="10"/>
  <c r="AB81" i="10"/>
  <c r="R154" i="10"/>
  <c r="S154" i="10" s="1"/>
  <c r="Q154" i="10"/>
  <c r="M154" i="10"/>
  <c r="N111" i="10" s="1"/>
  <c r="P150" i="10"/>
  <c r="Q150" i="10"/>
  <c r="S150" i="10"/>
  <c r="R150" i="10"/>
  <c r="G70" i="10" l="1"/>
  <c r="G114" i="10"/>
  <c r="G98" i="10"/>
  <c r="G129" i="10"/>
  <c r="G13" i="10"/>
  <c r="G84" i="10"/>
  <c r="G41" i="10"/>
  <c r="G55" i="10"/>
  <c r="G27" i="10"/>
  <c r="S140" i="10" l="1"/>
  <c r="AI23" i="10" s="1"/>
  <c r="R140" i="10"/>
  <c r="Q140" i="10"/>
  <c r="O140" i="10"/>
  <c r="M140" i="10"/>
  <c r="M147" i="10"/>
  <c r="N37" i="10" l="1"/>
  <c r="N66" i="10"/>
  <c r="N109" i="10"/>
  <c r="N124" i="10"/>
  <c r="N9" i="10"/>
  <c r="N51" i="10"/>
  <c r="N93" i="10"/>
  <c r="N80" i="10"/>
  <c r="N23" i="10"/>
  <c r="AB9" i="10"/>
  <c r="AB51" i="10"/>
  <c r="AB93" i="10"/>
  <c r="AB23" i="10"/>
  <c r="AB66" i="10"/>
  <c r="AB80" i="10"/>
  <c r="AB37" i="10"/>
  <c r="AB124" i="10"/>
  <c r="AB109" i="10"/>
  <c r="M156" i="10"/>
  <c r="M139" i="10"/>
  <c r="M144" i="10"/>
  <c r="N53" i="10" s="1"/>
  <c r="M143" i="10"/>
  <c r="N12" i="10" s="1"/>
  <c r="P148" i="10"/>
  <c r="AI8" i="10" s="1"/>
  <c r="N150" i="10"/>
  <c r="U90" i="10" s="1"/>
  <c r="M137" i="10"/>
  <c r="M141" i="10"/>
  <c r="N10" i="10" s="1"/>
  <c r="M145" i="10"/>
  <c r="N145" i="10" s="1"/>
  <c r="O145" i="10" s="1"/>
  <c r="N153" i="10"/>
  <c r="U92" i="10" s="1"/>
  <c r="M150" i="10"/>
  <c r="N90" i="10" s="1"/>
  <c r="N137" i="10"/>
  <c r="N140" i="10"/>
  <c r="P137" i="10"/>
  <c r="AI6" i="10" s="1"/>
  <c r="M146" i="10"/>
  <c r="M149" i="10"/>
  <c r="N149" i="10" s="1"/>
  <c r="O149" i="10" s="1"/>
  <c r="P140" i="10"/>
  <c r="AI9" i="10" s="1"/>
  <c r="M148" i="10"/>
  <c r="M153" i="10"/>
  <c r="N92" i="10" s="1"/>
  <c r="N8" i="10" l="1"/>
  <c r="N108" i="10"/>
  <c r="N123" i="10"/>
  <c r="N22" i="10"/>
  <c r="N50" i="10"/>
  <c r="N79" i="10"/>
  <c r="N36" i="10"/>
  <c r="U23" i="10"/>
  <c r="U80" i="10"/>
  <c r="U9" i="10"/>
  <c r="U37" i="10"/>
  <c r="U109" i="10"/>
  <c r="U124" i="10"/>
  <c r="U66" i="10"/>
  <c r="U93" i="10"/>
  <c r="U51" i="10"/>
  <c r="N156" i="10"/>
  <c r="N126" i="10"/>
  <c r="U48" i="10"/>
  <c r="U106" i="10"/>
  <c r="U121" i="10"/>
  <c r="U6" i="10"/>
  <c r="U77" i="10"/>
  <c r="U62" i="10"/>
  <c r="U70" i="10" s="1"/>
  <c r="U20" i="10"/>
  <c r="U34" i="10"/>
  <c r="U98" i="10"/>
  <c r="N98" i="10"/>
  <c r="N48" i="10"/>
  <c r="N55" i="10" s="1"/>
  <c r="N106" i="10"/>
  <c r="N114" i="10" s="1"/>
  <c r="N121" i="10"/>
  <c r="N129" i="10" s="1"/>
  <c r="N6" i="10"/>
  <c r="N13" i="10" s="1"/>
  <c r="N62" i="10"/>
  <c r="N70" i="10" s="1"/>
  <c r="N77" i="10"/>
  <c r="N84" i="10" s="1"/>
  <c r="N20" i="10"/>
  <c r="N34" i="10"/>
  <c r="N154" i="10"/>
  <c r="S139" i="10"/>
  <c r="AI22" i="10" s="1"/>
  <c r="N139" i="10"/>
  <c r="O139" i="10" s="1"/>
  <c r="R139" i="10"/>
  <c r="Q139" i="10"/>
  <c r="P139" i="10"/>
  <c r="N144" i="10"/>
  <c r="U53" i="10" s="1"/>
  <c r="N143" i="10"/>
  <c r="O143" i="10" s="1"/>
  <c r="P143" i="10" s="1"/>
  <c r="AI12" i="10" s="1"/>
  <c r="N141" i="10"/>
  <c r="U10" i="10" s="1"/>
  <c r="O150" i="10"/>
  <c r="AB90" i="10" s="1"/>
  <c r="Q137" i="10"/>
  <c r="M106" i="10" s="1"/>
  <c r="S137" i="10"/>
  <c r="AI20" i="10" s="1"/>
  <c r="R137" i="10"/>
  <c r="O153" i="10"/>
  <c r="AB92" i="10" s="1"/>
  <c r="N148" i="10"/>
  <c r="Q148" i="10"/>
  <c r="O137" i="10"/>
  <c r="S148" i="10"/>
  <c r="R148" i="10"/>
  <c r="N41" i="10" l="1"/>
  <c r="N27" i="10"/>
  <c r="AB98" i="10"/>
  <c r="U13" i="10"/>
  <c r="U36" i="10"/>
  <c r="U41" i="10" s="1"/>
  <c r="U8" i="10"/>
  <c r="U108" i="10"/>
  <c r="U123" i="10"/>
  <c r="U22" i="10"/>
  <c r="U27" i="10" s="1"/>
  <c r="U50" i="10"/>
  <c r="U55" i="10" s="1"/>
  <c r="U79" i="10"/>
  <c r="U84" i="10" s="1"/>
  <c r="AB20" i="10"/>
  <c r="AB34" i="10"/>
  <c r="AB62" i="10"/>
  <c r="AB70" i="10" s="1"/>
  <c r="AB6" i="10"/>
  <c r="AB48" i="10"/>
  <c r="AB106" i="10"/>
  <c r="AB121" i="10"/>
  <c r="AB77" i="10"/>
  <c r="L6" i="10"/>
  <c r="L106" i="10"/>
  <c r="O154" i="10"/>
  <c r="AB111" i="10" s="1"/>
  <c r="U111" i="10"/>
  <c r="O156" i="10"/>
  <c r="AB126" i="10" s="1"/>
  <c r="U126" i="10"/>
  <c r="Q143" i="10"/>
  <c r="R143" i="10" s="1"/>
  <c r="S143" i="10" s="1"/>
  <c r="O144" i="10"/>
  <c r="AB53" i="10" s="1"/>
  <c r="P154" i="10"/>
  <c r="P153" i="10"/>
  <c r="Q153" i="10" s="1"/>
  <c r="R153" i="10" s="1"/>
  <c r="S153" i="10" s="1"/>
  <c r="O141" i="10"/>
  <c r="P141" i="10" s="1"/>
  <c r="Q141" i="10" s="1"/>
  <c r="R141" i="10" s="1"/>
  <c r="S141" i="10" s="1"/>
  <c r="O148" i="10"/>
  <c r="F6" i="7"/>
  <c r="F5" i="7"/>
  <c r="F2" i="7"/>
  <c r="U129" i="10" l="1"/>
  <c r="U114" i="10"/>
  <c r="AB79" i="10"/>
  <c r="AB84" i="10" s="1"/>
  <c r="AB36" i="10"/>
  <c r="AB41" i="10" s="1"/>
  <c r="AB8" i="10"/>
  <c r="AB108" i="10"/>
  <c r="AB114" i="10" s="1"/>
  <c r="AB123" i="10"/>
  <c r="AB129" i="10" s="1"/>
  <c r="AB22" i="10"/>
  <c r="AB27" i="10" s="1"/>
  <c r="AB50" i="10"/>
  <c r="AB55" i="10" s="1"/>
  <c r="AI24" i="10"/>
  <c r="AI10" i="10"/>
  <c r="AB12" i="10"/>
  <c r="AI26" i="10"/>
  <c r="P144" i="10"/>
  <c r="Q144" i="10" s="1"/>
  <c r="R144" i="10" s="1"/>
  <c r="S144" i="10" s="1"/>
  <c r="S142" i="10"/>
  <c r="AB13" i="10" l="1"/>
  <c r="AI11" i="10"/>
  <c r="AI13" i="10" s="1"/>
  <c r="AI15" i="10" s="1"/>
  <c r="AI25" i="10"/>
  <c r="AI27" i="10" s="1"/>
  <c r="AI29" i="10" s="1"/>
  <c r="F19" i="9"/>
  <c r="F20" i="9" l="1"/>
  <c r="F9" i="7" l="1"/>
  <c r="M39" i="1" l="1"/>
  <c r="M43" i="1"/>
  <c r="M52" i="1"/>
  <c r="M55" i="1"/>
  <c r="M58" i="1"/>
  <c r="M61" i="1"/>
  <c r="M64" i="1"/>
  <c r="M66" i="1"/>
  <c r="M68" i="1"/>
  <c r="M70" i="1"/>
  <c r="M72" i="1"/>
  <c r="M79" i="1"/>
  <c r="M82" i="1"/>
  <c r="M85" i="1"/>
  <c r="M87" i="1"/>
  <c r="M91" i="1"/>
  <c r="M98" i="1"/>
  <c r="M101" i="1"/>
  <c r="M104" i="1"/>
  <c r="M106" i="1"/>
  <c r="M112" i="1"/>
  <c r="M31" i="1"/>
  <c r="M34" i="1"/>
  <c r="M37" i="1"/>
  <c r="M44" i="1"/>
  <c r="M45" i="1"/>
  <c r="M53" i="1"/>
  <c r="M59" i="1"/>
  <c r="M62" i="1"/>
  <c r="M69" i="1"/>
  <c r="M75" i="1"/>
  <c r="M77" i="1"/>
  <c r="M80" i="1"/>
  <c r="M83" i="1"/>
  <c r="M88" i="1"/>
  <c r="M92" i="1"/>
  <c r="M97" i="1"/>
  <c r="M99" i="1"/>
  <c r="M110" i="1"/>
  <c r="M117" i="1"/>
  <c r="M119" i="1"/>
  <c r="M121" i="1"/>
  <c r="M123" i="1"/>
  <c r="M125" i="1"/>
  <c r="M50" i="1"/>
  <c r="M63" i="1"/>
  <c r="M73" i="1"/>
  <c r="M78" i="1"/>
  <c r="M84" i="1"/>
  <c r="M95" i="1"/>
  <c r="M100" i="1"/>
  <c r="M105" i="1"/>
  <c r="M113" i="1"/>
  <c r="M124" i="1"/>
  <c r="M33" i="1"/>
  <c r="M42" i="1"/>
  <c r="M46" i="1"/>
  <c r="M51" i="1"/>
  <c r="M57" i="1"/>
  <c r="M67" i="1"/>
  <c r="M71" i="1"/>
  <c r="M74" i="1"/>
  <c r="M86" i="1"/>
  <c r="M89" i="1"/>
  <c r="M93" i="1"/>
  <c r="M96" i="1"/>
  <c r="M103" i="1"/>
  <c r="M107" i="1"/>
  <c r="M111" i="1"/>
  <c r="M116" i="1"/>
  <c r="M118" i="1"/>
  <c r="M120" i="1"/>
  <c r="M122" i="1"/>
  <c r="M126" i="1"/>
  <c r="M94" i="1"/>
  <c r="M108" i="1"/>
  <c r="M114" i="1"/>
  <c r="M32" i="1"/>
  <c r="M35" i="1"/>
  <c r="M38" i="1"/>
  <c r="M40" i="1"/>
  <c r="M41" i="1"/>
  <c r="M47" i="1"/>
  <c r="M48" i="1"/>
  <c r="M49" i="1"/>
  <c r="M54" i="1"/>
  <c r="M56" i="1"/>
  <c r="M60" i="1"/>
  <c r="M65" i="1"/>
  <c r="M76" i="1"/>
  <c r="M81" i="1"/>
  <c r="M90" i="1"/>
  <c r="M102" i="1"/>
  <c r="M109" i="1"/>
  <c r="M115" i="1"/>
  <c r="M36" i="1"/>
  <c r="K188" i="1"/>
  <c r="M163" i="1" l="1"/>
  <c r="G24" i="9"/>
  <c r="L19" i="9" l="1"/>
  <c r="B7" i="17" l="1"/>
  <c r="F10" i="17" l="1"/>
  <c r="H10" i="17" s="1"/>
  <c r="C7" i="17" l="1"/>
  <c r="L10" i="17" l="1"/>
  <c r="F7" i="17" l="1"/>
  <c r="G7" i="17" l="1"/>
  <c r="K7" i="17" s="1"/>
  <c r="M7" i="17" s="1"/>
  <c r="N7" i="17" l="1"/>
  <c r="AB45" i="1" l="1"/>
  <c r="AB108" i="1" s="1"/>
  <c r="AB109" i="1" s="1"/>
  <c r="G173" i="1" l="1"/>
  <c r="L171" i="1" s="1"/>
  <c r="L178" i="1" l="1"/>
  <c r="Q271" i="1" s="1"/>
  <c r="L172" i="1"/>
  <c r="K184" i="1"/>
  <c r="K189" i="1"/>
  <c r="L173" i="1"/>
  <c r="Q172" i="1" l="1"/>
  <c r="Q174" i="1"/>
  <c r="Q180" i="1"/>
  <c r="Q182" i="1"/>
  <c r="Q188" i="1"/>
  <c r="Q190" i="1"/>
  <c r="Q196" i="1"/>
  <c r="Q198" i="1"/>
  <c r="Q204" i="1"/>
  <c r="Q206" i="1"/>
  <c r="Q211" i="1"/>
  <c r="Q213" i="1"/>
  <c r="Q219" i="1"/>
  <c r="Q221" i="1"/>
  <c r="Q227" i="1"/>
  <c r="Q229" i="1"/>
  <c r="Q235" i="1"/>
  <c r="Q237" i="1"/>
  <c r="Q243" i="1"/>
  <c r="Q245" i="1"/>
  <c r="Q251" i="1"/>
  <c r="Q253" i="1"/>
  <c r="Q259" i="1"/>
  <c r="Q261" i="1"/>
  <c r="Q267" i="1"/>
  <c r="Q269" i="1"/>
  <c r="Q175" i="1"/>
  <c r="Q177" i="1"/>
  <c r="Q183" i="1"/>
  <c r="Q185" i="1"/>
  <c r="Q191" i="1"/>
  <c r="Q193" i="1"/>
  <c r="Q199" i="1"/>
  <c r="Q201" i="1"/>
  <c r="Q207" i="1"/>
  <c r="Q212" i="1"/>
  <c r="Q214" i="1"/>
  <c r="Q220" i="1"/>
  <c r="Q222" i="1"/>
  <c r="Q228" i="1"/>
  <c r="Q230" i="1"/>
  <c r="Q236" i="1"/>
  <c r="Q238" i="1"/>
  <c r="Q244" i="1"/>
  <c r="Q246" i="1"/>
  <c r="Q252" i="1"/>
  <c r="Q254" i="1"/>
  <c r="Q260" i="1"/>
  <c r="Q262" i="1"/>
  <c r="Q268" i="1"/>
  <c r="Q270" i="1"/>
  <c r="Q173" i="1"/>
  <c r="Q181" i="1"/>
  <c r="Q189" i="1"/>
  <c r="Q195" i="1"/>
  <c r="Q203" i="1"/>
  <c r="Q208" i="1"/>
  <c r="Q176" i="1"/>
  <c r="Q178" i="1"/>
  <c r="Q184" i="1"/>
  <c r="Q186" i="1"/>
  <c r="Q192" i="1"/>
  <c r="Q194" i="1"/>
  <c r="Q200" i="1"/>
  <c r="Q202" i="1"/>
  <c r="Q209" i="1"/>
  <c r="Q215" i="1"/>
  <c r="Q217" i="1"/>
  <c r="Q223" i="1"/>
  <c r="Q225" i="1"/>
  <c r="Q231" i="1"/>
  <c r="Q233" i="1"/>
  <c r="Q239" i="1"/>
  <c r="Q241" i="1"/>
  <c r="Q247" i="1"/>
  <c r="Q249" i="1"/>
  <c r="Q255" i="1"/>
  <c r="Q257" i="1"/>
  <c r="Q263" i="1"/>
  <c r="Q265" i="1"/>
  <c r="Q171" i="1"/>
  <c r="Q179" i="1"/>
  <c r="Q187" i="1"/>
  <c r="Q197" i="1"/>
  <c r="Q205" i="1"/>
  <c r="Q210" i="1"/>
  <c r="Q216" i="1"/>
  <c r="Q226" i="1"/>
  <c r="Q248" i="1"/>
  <c r="Q258" i="1"/>
  <c r="Q250" i="1"/>
  <c r="Q218" i="1"/>
  <c r="Q240" i="1"/>
  <c r="Q232" i="1"/>
  <c r="Q242" i="1"/>
  <c r="Q264" i="1"/>
  <c r="Q224" i="1"/>
  <c r="Q234" i="1"/>
  <c r="Q256" i="1"/>
  <c r="Q266" i="1"/>
  <c r="AC70" i="1"/>
  <c r="AC77" i="1" l="1"/>
  <c r="AC78" i="1"/>
  <c r="AC73" i="1"/>
  <c r="AC71" i="1"/>
  <c r="AC75" i="1"/>
  <c r="AC74" i="1"/>
  <c r="AC76" i="1"/>
  <c r="AC72" i="1"/>
  <c r="AB83" i="1" l="1"/>
  <c r="AC83" i="1" s="1"/>
  <c r="AB82" i="1"/>
  <c r="AC82" i="1" s="1"/>
  <c r="Q31" i="1" l="1"/>
  <c r="AC84" i="1"/>
  <c r="AB84" i="1" s="1"/>
  <c r="L31" i="1" l="1"/>
  <c r="K31" i="1"/>
  <c r="N31" i="1"/>
  <c r="U31" i="1" l="1"/>
  <c r="X31" i="1" l="1"/>
  <c r="V31" i="1"/>
  <c r="W31" i="1" l="1"/>
  <c r="L44" i="1" l="1"/>
  <c r="L43" i="1"/>
  <c r="L33" i="1"/>
  <c r="L32" i="1"/>
  <c r="L78" i="1"/>
  <c r="L52" i="1"/>
  <c r="L54" i="1"/>
  <c r="L67" i="1"/>
  <c r="L80" i="1"/>
  <c r="L41" i="1"/>
  <c r="L64" i="1"/>
  <c r="L70" i="1"/>
  <c r="L45" i="1"/>
  <c r="L39" i="1"/>
  <c r="L62" i="1"/>
  <c r="F3" i="8" l="1"/>
  <c r="F5" i="8" l="1"/>
  <c r="AD55" i="1"/>
  <c r="AD64" i="1" s="1"/>
  <c r="AB56" i="1"/>
  <c r="AB63" i="1" s="1"/>
  <c r="AE36" i="1" s="1"/>
  <c r="AB57" i="1"/>
  <c r="AB65" i="1" s="1"/>
  <c r="AE38" i="1" s="1"/>
  <c r="AD57" i="1"/>
  <c r="AD65" i="1" s="1"/>
  <c r="AD56" i="1"/>
  <c r="AD63" i="1" s="1"/>
  <c r="AC57" i="1"/>
  <c r="AC65" i="1" s="1"/>
  <c r="AB54" i="1"/>
  <c r="AB79" i="1"/>
  <c r="AB55" i="1"/>
  <c r="AB64" i="1" s="1"/>
  <c r="AE37" i="1" s="1"/>
  <c r="AC55" i="1"/>
  <c r="AC64" i="1" s="1"/>
  <c r="AC56" i="1"/>
  <c r="AC63" i="1" s="1"/>
  <c r="AB62" i="1"/>
  <c r="G2" i="8" s="1"/>
  <c r="H2" i="8" s="1"/>
  <c r="G19" i="9" l="1"/>
  <c r="I19" i="9" s="1"/>
  <c r="G2" i="19"/>
  <c r="H2" i="19" s="1"/>
  <c r="G4" i="19"/>
  <c r="H4" i="19" s="1"/>
  <c r="G3" i="8"/>
  <c r="H3" i="8" s="1"/>
  <c r="AB66" i="1"/>
  <c r="AE39" i="1" s="1"/>
  <c r="G3" i="19"/>
  <c r="H3" i="19" s="1"/>
  <c r="G5" i="19"/>
  <c r="H5" i="19" s="1"/>
  <c r="AE28" i="1"/>
  <c r="AE33" i="1"/>
  <c r="G6" i="19"/>
  <c r="H6" i="19" s="1"/>
  <c r="G4" i="8"/>
  <c r="H4" i="8" s="1"/>
  <c r="AE41" i="1"/>
  <c r="AE27" i="1"/>
  <c r="AE35" i="1"/>
  <c r="AE29" i="1"/>
  <c r="AE32" i="1"/>
  <c r="AE31" i="1"/>
  <c r="G7" i="19"/>
  <c r="AE30" i="1"/>
  <c r="AE34" i="1"/>
  <c r="AD66" i="1"/>
  <c r="AC66" i="1"/>
  <c r="AE54" i="1" s="1"/>
  <c r="AE57" i="1" l="1"/>
  <c r="H7" i="8"/>
  <c r="R144" i="1" s="1"/>
  <c r="L144" i="1" s="1"/>
  <c r="AE56" i="1"/>
  <c r="R75" i="1"/>
  <c r="L75" i="1" s="1"/>
  <c r="R124" i="1"/>
  <c r="L124" i="1" s="1"/>
  <c r="R68" i="1"/>
  <c r="L68" i="1" s="1"/>
  <c r="R84" i="1"/>
  <c r="L84" i="1" s="1"/>
  <c r="R87" i="1"/>
  <c r="L87" i="1" s="1"/>
  <c r="R90" i="1"/>
  <c r="L90" i="1" s="1"/>
  <c r="R79" i="1"/>
  <c r="L79" i="1" s="1"/>
  <c r="R99" i="1"/>
  <c r="L99" i="1" s="1"/>
  <c r="R102" i="1"/>
  <c r="L102" i="1" s="1"/>
  <c r="R94" i="1"/>
  <c r="L94" i="1" s="1"/>
  <c r="R42" i="1"/>
  <c r="L42" i="1" s="1"/>
  <c r="R58" i="1"/>
  <c r="L58" i="1" s="1"/>
  <c r="R101" i="1"/>
  <c r="L101" i="1" s="1"/>
  <c r="R117" i="1"/>
  <c r="L117" i="1" s="1"/>
  <c r="R98" i="1"/>
  <c r="L98" i="1" s="1"/>
  <c r="R73" i="1"/>
  <c r="L73" i="1" s="1"/>
  <c r="R50" i="1"/>
  <c r="L50" i="1" s="1"/>
  <c r="R61" i="1"/>
  <c r="L61" i="1" s="1"/>
  <c r="R151" i="1"/>
  <c r="L151" i="1" s="1"/>
  <c r="R152" i="1"/>
  <c r="L152" i="1" s="1"/>
  <c r="R69" i="1"/>
  <c r="L69" i="1" s="1"/>
  <c r="R63" i="1"/>
  <c r="L63" i="1" s="1"/>
  <c r="R141" i="1"/>
  <c r="L141" i="1" s="1"/>
  <c r="R112" i="1"/>
  <c r="L112" i="1" s="1"/>
  <c r="R142" i="1"/>
  <c r="L142" i="1" s="1"/>
  <c r="R111" i="1"/>
  <c r="L111" i="1" s="1"/>
  <c r="R125" i="1"/>
  <c r="L125" i="1" s="1"/>
  <c r="R51" i="1"/>
  <c r="L51" i="1" s="1"/>
  <c r="R105" i="1"/>
  <c r="L105" i="1" s="1"/>
  <c r="R140" i="1"/>
  <c r="L140" i="1" s="1"/>
  <c r="R77" i="1"/>
  <c r="L77" i="1" s="1"/>
  <c r="R60" i="1"/>
  <c r="L60" i="1" s="1"/>
  <c r="R119" i="1"/>
  <c r="L119" i="1" s="1"/>
  <c r="R82" i="1"/>
  <c r="L82" i="1" s="1"/>
  <c r="R131" i="1"/>
  <c r="L131" i="1" s="1"/>
  <c r="R127" i="1"/>
  <c r="L127" i="1" s="1"/>
  <c r="R116" i="1"/>
  <c r="L116" i="1" s="1"/>
  <c r="R148" i="1"/>
  <c r="L148" i="1" s="1"/>
  <c r="R57" i="1"/>
  <c r="L57" i="1" s="1"/>
  <c r="R55" i="1"/>
  <c r="L55" i="1" s="1"/>
  <c r="R37" i="1"/>
  <c r="L37" i="1" s="1"/>
  <c r="R91" i="1"/>
  <c r="L91" i="1" s="1"/>
  <c r="R136" i="1"/>
  <c r="L136" i="1" s="1"/>
  <c r="R135" i="1"/>
  <c r="L135" i="1" s="1"/>
  <c r="R138" i="1"/>
  <c r="L138" i="1" s="1"/>
  <c r="R129" i="1"/>
  <c r="L129" i="1" s="1"/>
  <c r="R133" i="1"/>
  <c r="L133" i="1" s="1"/>
  <c r="R53" i="1"/>
  <c r="L53" i="1" s="1"/>
  <c r="R38" i="1"/>
  <c r="L38" i="1" s="1"/>
  <c r="R71" i="1"/>
  <c r="L71" i="1" s="1"/>
  <c r="R100" i="1"/>
  <c r="L100" i="1" s="1"/>
  <c r="R113" i="1"/>
  <c r="L113" i="1" s="1"/>
  <c r="R147" i="1"/>
  <c r="L147" i="1" s="1"/>
  <c r="R103" i="1"/>
  <c r="L103" i="1" s="1"/>
  <c r="R46" i="1"/>
  <c r="L46" i="1" s="1"/>
  <c r="R110" i="1"/>
  <c r="L110" i="1" s="1"/>
  <c r="R107" i="1"/>
  <c r="L107" i="1" s="1"/>
  <c r="R115" i="1"/>
  <c r="L115" i="1" s="1"/>
  <c r="R59" i="1"/>
  <c r="L59" i="1" s="1"/>
  <c r="R88" i="1"/>
  <c r="L88" i="1" s="1"/>
  <c r="R145" i="1"/>
  <c r="L145" i="1" s="1"/>
  <c r="R74" i="1"/>
  <c r="L74" i="1" s="1"/>
  <c r="R114" i="1"/>
  <c r="L114" i="1" s="1"/>
  <c r="R47" i="1"/>
  <c r="L47" i="1" s="1"/>
  <c r="R93" i="1"/>
  <c r="L93" i="1" s="1"/>
  <c r="R48" i="1"/>
  <c r="L48" i="1" s="1"/>
  <c r="R56" i="1"/>
  <c r="L56" i="1" s="1"/>
  <c r="R106" i="1"/>
  <c r="L106" i="1" s="1"/>
  <c r="R86" i="1"/>
  <c r="L86" i="1" s="1"/>
  <c r="R120" i="1"/>
  <c r="L120" i="1" s="1"/>
  <c r="R40" i="1"/>
  <c r="L40" i="1" s="1"/>
  <c r="R143" i="1"/>
  <c r="L143" i="1" s="1"/>
  <c r="R155" i="1"/>
  <c r="L155" i="1" s="1"/>
  <c r="R126" i="1"/>
  <c r="L126" i="1" s="1"/>
  <c r="R35" i="1"/>
  <c r="L35" i="1" s="1"/>
  <c r="R134" i="1"/>
  <c r="L134" i="1" s="1"/>
  <c r="R96" i="1"/>
  <c r="L96" i="1" s="1"/>
  <c r="R36" i="1"/>
  <c r="L36" i="1" s="1"/>
  <c r="R95" i="1"/>
  <c r="L95" i="1" s="1"/>
  <c r="R154" i="1"/>
  <c r="L154" i="1" s="1"/>
  <c r="R122" i="1"/>
  <c r="L122" i="1" s="1"/>
  <c r="R81" i="1"/>
  <c r="L81" i="1" s="1"/>
  <c r="R92" i="1"/>
  <c r="L92" i="1" s="1"/>
  <c r="R121" i="1"/>
  <c r="L121" i="1" s="1"/>
  <c r="R89" i="1"/>
  <c r="L89" i="1" s="1"/>
  <c r="R146" i="1"/>
  <c r="L146" i="1" s="1"/>
  <c r="R66" i="1"/>
  <c r="L66" i="1" s="1"/>
  <c r="R83" i="1"/>
  <c r="L83" i="1" s="1"/>
  <c r="R128" i="1"/>
  <c r="L128" i="1" s="1"/>
  <c r="R139" i="1"/>
  <c r="L139" i="1" s="1"/>
  <c r="R156" i="1"/>
  <c r="L156" i="1" s="1"/>
  <c r="R132" i="1"/>
  <c r="L132" i="1" s="1"/>
  <c r="R158" i="1"/>
  <c r="L158" i="1" s="1"/>
  <c r="R153" i="1"/>
  <c r="L153" i="1" s="1"/>
  <c r="R109" i="1"/>
  <c r="L109" i="1" s="1"/>
  <c r="R130" i="1"/>
  <c r="L130" i="1" s="1"/>
  <c r="R49" i="1"/>
  <c r="L49" i="1" s="1"/>
  <c r="R118" i="1"/>
  <c r="L118" i="1" s="1"/>
  <c r="R72" i="1"/>
  <c r="L72" i="1" s="1"/>
  <c r="R65" i="1"/>
  <c r="L65" i="1" s="1"/>
  <c r="R123" i="1"/>
  <c r="L123" i="1" s="1"/>
  <c r="R34" i="1"/>
  <c r="L34" i="1" s="1"/>
  <c r="H7" i="19"/>
  <c r="H10" i="19" s="1"/>
  <c r="F13" i="7"/>
  <c r="B25" i="9" s="1"/>
  <c r="B27" i="9" s="1"/>
  <c r="Q48" i="1"/>
  <c r="Q78" i="1"/>
  <c r="Q140" i="1"/>
  <c r="Q129" i="1"/>
  <c r="Q54" i="1"/>
  <c r="Q145" i="1"/>
  <c r="Q136" i="1"/>
  <c r="Q117" i="1"/>
  <c r="Q56" i="1"/>
  <c r="Q37" i="1"/>
  <c r="F24" i="9"/>
  <c r="Q154" i="1"/>
  <c r="Q123" i="1"/>
  <c r="Q96" i="1"/>
  <c r="Q72" i="1"/>
  <c r="Q83" i="1"/>
  <c r="Q45" i="1"/>
  <c r="Q51" i="1"/>
  <c r="Q101" i="1"/>
  <c r="Q55" i="1"/>
  <c r="Q38" i="1"/>
  <c r="Q68" i="1"/>
  <c r="Q63" i="1"/>
  <c r="Q97" i="1"/>
  <c r="Q61" i="1"/>
  <c r="Q77" i="1"/>
  <c r="Q133" i="1"/>
  <c r="K185" i="1"/>
  <c r="Q155" i="1"/>
  <c r="Q84" i="1"/>
  <c r="Q91" i="1"/>
  <c r="Q113" i="1"/>
  <c r="Q104" i="1"/>
  <c r="Q153" i="1"/>
  <c r="Q138" i="1"/>
  <c r="Q74" i="1"/>
  <c r="Q65" i="1"/>
  <c r="Q98" i="1"/>
  <c r="Q59" i="1"/>
  <c r="Q102" i="1"/>
  <c r="Q36" i="1"/>
  <c r="Q41" i="1"/>
  <c r="Q58" i="1"/>
  <c r="Q100" i="1"/>
  <c r="Q76" i="1"/>
  <c r="Q126" i="1"/>
  <c r="Q147" i="1"/>
  <c r="Q73" i="1"/>
  <c r="Q90" i="1"/>
  <c r="Q122" i="1"/>
  <c r="Q124" i="1"/>
  <c r="Q139" i="1"/>
  <c r="Q75" i="1"/>
  <c r="Q50" i="1"/>
  <c r="Q110" i="1"/>
  <c r="Q146" i="1"/>
  <c r="Q40" i="1"/>
  <c r="Q108" i="1"/>
  <c r="Q81" i="1"/>
  <c r="Q66" i="1"/>
  <c r="Q62" i="1"/>
  <c r="Q47" i="1"/>
  <c r="Q94" i="1"/>
  <c r="Q70" i="1"/>
  <c r="Q144" i="1"/>
  <c r="Q114" i="1"/>
  <c r="Q149" i="1"/>
  <c r="Q151" i="1"/>
  <c r="Q92" i="1"/>
  <c r="Q128" i="1"/>
  <c r="Q119" i="1"/>
  <c r="Q33" i="1"/>
  <c r="Q118" i="1"/>
  <c r="Q103" i="1"/>
  <c r="Q86" i="1"/>
  <c r="Q85" i="1"/>
  <c r="Q127" i="1"/>
  <c r="Q121" i="1"/>
  <c r="Q135" i="1"/>
  <c r="Q44" i="1"/>
  <c r="Q150" i="1"/>
  <c r="Q32" i="1"/>
  <c r="Q57" i="1"/>
  <c r="Q35" i="1"/>
  <c r="Q39" i="1"/>
  <c r="Q64" i="1"/>
  <c r="Q80" i="1"/>
  <c r="Q125" i="1"/>
  <c r="Q116" i="1"/>
  <c r="Q148" i="1"/>
  <c r="Q43" i="1"/>
  <c r="Q131" i="1"/>
  <c r="Q106" i="1"/>
  <c r="Q93" i="1"/>
  <c r="Q158" i="1"/>
  <c r="Q88" i="1"/>
  <c r="Q105" i="1"/>
  <c r="Q52" i="1"/>
  <c r="Q142" i="1"/>
  <c r="Q141" i="1"/>
  <c r="Q115" i="1"/>
  <c r="Q152" i="1"/>
  <c r="Q99" i="1"/>
  <c r="Q109" i="1"/>
  <c r="Q60" i="1"/>
  <c r="Q67" i="1"/>
  <c r="Q112" i="1"/>
  <c r="Q156" i="1"/>
  <c r="Q46" i="1"/>
  <c r="Q87" i="1"/>
  <c r="Q120" i="1"/>
  <c r="Q137" i="1"/>
  <c r="Q130" i="1"/>
  <c r="Q79" i="1"/>
  <c r="Q42" i="1"/>
  <c r="Q71" i="1"/>
  <c r="Q49" i="1"/>
  <c r="Q89" i="1"/>
  <c r="Q132" i="1"/>
  <c r="Q82" i="1"/>
  <c r="Q53" i="1"/>
  <c r="Q107" i="1"/>
  <c r="Q95" i="1"/>
  <c r="Q134" i="1"/>
  <c r="Q157" i="1"/>
  <c r="Q111" i="1"/>
  <c r="Q69" i="1"/>
  <c r="Q143" i="1"/>
  <c r="Q34" i="1"/>
  <c r="AE55" i="1"/>
  <c r="AE58" i="1" l="1"/>
  <c r="R85" i="1"/>
  <c r="L85" i="1" s="1"/>
  <c r="R137" i="1"/>
  <c r="L137" i="1" s="1"/>
  <c r="R76" i="1"/>
  <c r="L76" i="1" s="1"/>
  <c r="R149" i="1"/>
  <c r="L149" i="1" s="1"/>
  <c r="R108" i="1"/>
  <c r="L108" i="1" s="1"/>
  <c r="R150" i="1"/>
  <c r="L150" i="1" s="1"/>
  <c r="R157" i="1"/>
  <c r="L157" i="1" s="1"/>
  <c r="R104" i="1"/>
  <c r="L104" i="1" s="1"/>
  <c r="R97" i="1"/>
  <c r="L97" i="1" s="1"/>
  <c r="K143" i="1"/>
  <c r="K82" i="1"/>
  <c r="K71" i="1"/>
  <c r="K137" i="1"/>
  <c r="K156" i="1"/>
  <c r="K109" i="1"/>
  <c r="K141" i="1"/>
  <c r="K88" i="1"/>
  <c r="K131" i="1"/>
  <c r="K125" i="1"/>
  <c r="K35" i="1"/>
  <c r="K44" i="1"/>
  <c r="K85" i="1"/>
  <c r="K33" i="1"/>
  <c r="K151" i="1"/>
  <c r="K70" i="1"/>
  <c r="K66" i="1"/>
  <c r="K146" i="1"/>
  <c r="K139" i="1"/>
  <c r="K73" i="1"/>
  <c r="K100" i="1"/>
  <c r="K102" i="1"/>
  <c r="K74" i="1"/>
  <c r="K113" i="1"/>
  <c r="K97" i="1"/>
  <c r="K55" i="1"/>
  <c r="K83" i="1"/>
  <c r="K154" i="1"/>
  <c r="K117" i="1"/>
  <c r="K129" i="1"/>
  <c r="K95" i="1"/>
  <c r="K132" i="1"/>
  <c r="K42" i="1"/>
  <c r="K120" i="1"/>
  <c r="K112" i="1"/>
  <c r="K99" i="1"/>
  <c r="K142" i="1"/>
  <c r="K158" i="1"/>
  <c r="K43" i="1"/>
  <c r="K80" i="1"/>
  <c r="K57" i="1"/>
  <c r="K135" i="1"/>
  <c r="K86" i="1"/>
  <c r="K119" i="1"/>
  <c r="K149" i="1"/>
  <c r="K94" i="1"/>
  <c r="K81" i="1"/>
  <c r="K110" i="1"/>
  <c r="K124" i="1"/>
  <c r="K147" i="1"/>
  <c r="K58" i="1"/>
  <c r="K59" i="1"/>
  <c r="K138" i="1"/>
  <c r="K91" i="1"/>
  <c r="K133" i="1"/>
  <c r="K63" i="1"/>
  <c r="K101" i="1"/>
  <c r="K72" i="1"/>
  <c r="AB130" i="10"/>
  <c r="AB131" i="10" s="1"/>
  <c r="AB42" i="10"/>
  <c r="AB43" i="10" s="1"/>
  <c r="AB115" i="10"/>
  <c r="AB116" i="10" s="1"/>
  <c r="G85" i="10"/>
  <c r="G86" i="10" s="1"/>
  <c r="U99" i="10"/>
  <c r="U100" i="10" s="1"/>
  <c r="G56" i="10"/>
  <c r="G57" i="10" s="1"/>
  <c r="N130" i="10"/>
  <c r="N131" i="10" s="1"/>
  <c r="G14" i="10"/>
  <c r="G15" i="10" s="1"/>
  <c r="AB56" i="10"/>
  <c r="AB57" i="10" s="1"/>
  <c r="G28" i="10"/>
  <c r="G29" i="10" s="1"/>
  <c r="AB28" i="10"/>
  <c r="AB29" i="10" s="1"/>
  <c r="AB14" i="10"/>
  <c r="AB15" i="10" s="1"/>
  <c r="AB85" i="10"/>
  <c r="AB86" i="10" s="1"/>
  <c r="U130" i="10"/>
  <c r="U131" i="10" s="1"/>
  <c r="AB71" i="10"/>
  <c r="AB72" i="10" s="1"/>
  <c r="N42" i="10"/>
  <c r="N43" i="10" s="1"/>
  <c r="AB99" i="10"/>
  <c r="AB100" i="10" s="1"/>
  <c r="U14" i="10"/>
  <c r="U15" i="10" s="1"/>
  <c r="G99" i="10"/>
  <c r="G100" i="10" s="1"/>
  <c r="U115" i="10"/>
  <c r="U116" i="10" s="1"/>
  <c r="U56" i="10"/>
  <c r="U57" i="10" s="1"/>
  <c r="U42" i="10"/>
  <c r="U43" i="10" s="1"/>
  <c r="U85" i="10"/>
  <c r="U86" i="10" s="1"/>
  <c r="H24" i="9"/>
  <c r="N99" i="10"/>
  <c r="N100" i="10" s="1"/>
  <c r="N14" i="10"/>
  <c r="N15" i="10" s="1"/>
  <c r="U71" i="10"/>
  <c r="U72" i="10" s="1"/>
  <c r="G42" i="10"/>
  <c r="G43" i="10" s="1"/>
  <c r="N56" i="10"/>
  <c r="N57" i="10" s="1"/>
  <c r="N115" i="10"/>
  <c r="N116" i="10" s="1"/>
  <c r="N71" i="10"/>
  <c r="N72" i="10" s="1"/>
  <c r="U28" i="10"/>
  <c r="U29" i="10" s="1"/>
  <c r="G130" i="10"/>
  <c r="G131" i="10" s="1"/>
  <c r="G115" i="10"/>
  <c r="G116" i="10" s="1"/>
  <c r="N28" i="10"/>
  <c r="N29" i="10" s="1"/>
  <c r="G71" i="10"/>
  <c r="G72" i="10" s="1"/>
  <c r="F25" i="9"/>
  <c r="N85" i="10"/>
  <c r="N86" i="10" s="1"/>
  <c r="K136" i="1"/>
  <c r="K140" i="1"/>
  <c r="T43" i="1"/>
  <c r="N43" i="1" s="1"/>
  <c r="T41" i="1"/>
  <c r="N41" i="1" s="1"/>
  <c r="T120" i="1"/>
  <c r="N120" i="1" s="1"/>
  <c r="T145" i="1"/>
  <c r="N145" i="1" s="1"/>
  <c r="T148" i="1"/>
  <c r="N148" i="1" s="1"/>
  <c r="T93" i="1"/>
  <c r="N93" i="1" s="1"/>
  <c r="T108" i="1"/>
  <c r="N108" i="1" s="1"/>
  <c r="T155" i="1"/>
  <c r="N155" i="1" s="1"/>
  <c r="T86" i="1"/>
  <c r="N86" i="1" s="1"/>
  <c r="T56" i="1"/>
  <c r="N56" i="1" s="1"/>
  <c r="T137" i="1"/>
  <c r="N137" i="1" s="1"/>
  <c r="T84" i="1"/>
  <c r="N84" i="1" s="1"/>
  <c r="T112" i="1"/>
  <c r="N112" i="1" s="1"/>
  <c r="T69" i="1"/>
  <c r="N69" i="1" s="1"/>
  <c r="T147" i="1"/>
  <c r="N147" i="1" s="1"/>
  <c r="T83" i="1"/>
  <c r="N83" i="1" s="1"/>
  <c r="T67" i="1"/>
  <c r="N67" i="1" s="1"/>
  <c r="T154" i="1"/>
  <c r="N154" i="1" s="1"/>
  <c r="T47" i="1"/>
  <c r="N47" i="1" s="1"/>
  <c r="T119" i="1"/>
  <c r="N119" i="1" s="1"/>
  <c r="T58" i="1"/>
  <c r="N58" i="1" s="1"/>
  <c r="T48" i="1"/>
  <c r="N48" i="1" s="1"/>
  <c r="T122" i="1"/>
  <c r="N122" i="1" s="1"/>
  <c r="T77" i="1"/>
  <c r="N77" i="1" s="1"/>
  <c r="T107" i="1"/>
  <c r="N107" i="1" s="1"/>
  <c r="T99" i="1"/>
  <c r="N99" i="1" s="1"/>
  <c r="T57" i="1"/>
  <c r="N57" i="1" s="1"/>
  <c r="T97" i="1"/>
  <c r="N97" i="1" s="1"/>
  <c r="T98" i="1"/>
  <c r="N98" i="1" s="1"/>
  <c r="T88" i="1"/>
  <c r="N88" i="1" s="1"/>
  <c r="T123" i="1"/>
  <c r="N123" i="1" s="1"/>
  <c r="T73" i="1"/>
  <c r="N73" i="1" s="1"/>
  <c r="T100" i="1"/>
  <c r="N100" i="1" s="1"/>
  <c r="T138" i="1"/>
  <c r="N138" i="1" s="1"/>
  <c r="T91" i="1"/>
  <c r="N91" i="1" s="1"/>
  <c r="T35" i="1"/>
  <c r="N35" i="1" s="1"/>
  <c r="T55" i="1"/>
  <c r="N55" i="1" s="1"/>
  <c r="T146" i="1"/>
  <c r="N146" i="1" s="1"/>
  <c r="T49" i="1"/>
  <c r="N49" i="1" s="1"/>
  <c r="T144" i="1"/>
  <c r="N144" i="1" s="1"/>
  <c r="T135" i="1"/>
  <c r="N135" i="1" s="1"/>
  <c r="T66" i="1"/>
  <c r="N66" i="1" s="1"/>
  <c r="T139" i="1"/>
  <c r="N139" i="1" s="1"/>
  <c r="T59" i="1"/>
  <c r="N59" i="1" s="1"/>
  <c r="T81" i="1"/>
  <c r="N81" i="1" s="1"/>
  <c r="T131" i="1"/>
  <c r="N131" i="1" s="1"/>
  <c r="T102" i="1"/>
  <c r="N102" i="1" s="1"/>
  <c r="T96" i="1"/>
  <c r="N96" i="1" s="1"/>
  <c r="T92" i="1"/>
  <c r="N92" i="1" s="1"/>
  <c r="T74" i="1"/>
  <c r="N74" i="1" s="1"/>
  <c r="T37" i="1"/>
  <c r="N37" i="1" s="1"/>
  <c r="T142" i="1"/>
  <c r="N142" i="1" s="1"/>
  <c r="T33" i="1"/>
  <c r="N33" i="1" s="1"/>
  <c r="T80" i="1"/>
  <c r="N80" i="1" s="1"/>
  <c r="T64" i="1"/>
  <c r="N64" i="1" s="1"/>
  <c r="T157" i="1"/>
  <c r="N157" i="1" s="1"/>
  <c r="T36" i="1"/>
  <c r="N36" i="1" s="1"/>
  <c r="T82" i="1"/>
  <c r="N82" i="1" s="1"/>
  <c r="T75" i="1"/>
  <c r="N75" i="1" s="1"/>
  <c r="T103" i="1"/>
  <c r="N103" i="1" s="1"/>
  <c r="T89" i="1"/>
  <c r="N89" i="1" s="1"/>
  <c r="T126" i="1"/>
  <c r="N126" i="1" s="1"/>
  <c r="T156" i="1"/>
  <c r="N156" i="1" s="1"/>
  <c r="T129" i="1"/>
  <c r="N129" i="1" s="1"/>
  <c r="T153" i="1"/>
  <c r="N153" i="1" s="1"/>
  <c r="T136" i="1"/>
  <c r="N136" i="1" s="1"/>
  <c r="T65" i="1"/>
  <c r="N65" i="1" s="1"/>
  <c r="T125" i="1"/>
  <c r="N125" i="1" s="1"/>
  <c r="T106" i="1"/>
  <c r="N106" i="1" s="1"/>
  <c r="T152" i="1"/>
  <c r="N152" i="1" s="1"/>
  <c r="T132" i="1"/>
  <c r="N132" i="1" s="1"/>
  <c r="T105" i="1"/>
  <c r="N105" i="1" s="1"/>
  <c r="T109" i="1"/>
  <c r="N109" i="1" s="1"/>
  <c r="T113" i="1"/>
  <c r="N113" i="1" s="1"/>
  <c r="T128" i="1"/>
  <c r="N128" i="1" s="1"/>
  <c r="T85" i="1"/>
  <c r="N85" i="1" s="1"/>
  <c r="T40" i="1"/>
  <c r="N40" i="1" s="1"/>
  <c r="T38" i="1"/>
  <c r="N38" i="1" s="1"/>
  <c r="T134" i="1"/>
  <c r="N134" i="1" s="1"/>
  <c r="T111" i="1"/>
  <c r="N111" i="1" s="1"/>
  <c r="T150" i="1"/>
  <c r="N150" i="1" s="1"/>
  <c r="T158" i="1"/>
  <c r="N158" i="1" s="1"/>
  <c r="T130" i="1"/>
  <c r="N130" i="1" s="1"/>
  <c r="T115" i="1"/>
  <c r="N115" i="1" s="1"/>
  <c r="T104" i="1"/>
  <c r="N104" i="1" s="1"/>
  <c r="T94" i="1"/>
  <c r="N94" i="1" s="1"/>
  <c r="T151" i="1"/>
  <c r="N151" i="1" s="1"/>
  <c r="T95" i="1"/>
  <c r="N95" i="1" s="1"/>
  <c r="T121" i="1"/>
  <c r="N121" i="1" s="1"/>
  <c r="T46" i="1"/>
  <c r="N46" i="1" s="1"/>
  <c r="T133" i="1"/>
  <c r="N133" i="1" s="1"/>
  <c r="T117" i="1"/>
  <c r="N117" i="1" s="1"/>
  <c r="T63" i="1"/>
  <c r="N63" i="1" s="1"/>
  <c r="T72" i="1"/>
  <c r="N72" i="1" s="1"/>
  <c r="T53" i="1"/>
  <c r="N53" i="1" s="1"/>
  <c r="T143" i="1"/>
  <c r="N143" i="1" s="1"/>
  <c r="T127" i="1"/>
  <c r="N127" i="1" s="1"/>
  <c r="T87" i="1"/>
  <c r="N87" i="1" s="1"/>
  <c r="T60" i="1"/>
  <c r="N60" i="1" s="1"/>
  <c r="T124" i="1"/>
  <c r="N124" i="1" s="1"/>
  <c r="T78" i="1"/>
  <c r="N78" i="1" s="1"/>
  <c r="T61" i="1"/>
  <c r="N61" i="1" s="1"/>
  <c r="T90" i="1"/>
  <c r="N90" i="1" s="1"/>
  <c r="T118" i="1"/>
  <c r="N118" i="1" s="1"/>
  <c r="T141" i="1"/>
  <c r="N141" i="1" s="1"/>
  <c r="T39" i="1"/>
  <c r="N39" i="1" s="1"/>
  <c r="T54" i="1"/>
  <c r="N54" i="1" s="1"/>
  <c r="T116" i="1"/>
  <c r="N116" i="1" s="1"/>
  <c r="T34" i="1"/>
  <c r="N34" i="1" s="1"/>
  <c r="T79" i="1"/>
  <c r="N79" i="1" s="1"/>
  <c r="T110" i="1"/>
  <c r="N110" i="1" s="1"/>
  <c r="T42" i="1"/>
  <c r="N42" i="1" s="1"/>
  <c r="T140" i="1"/>
  <c r="N140" i="1" s="1"/>
  <c r="T149" i="1"/>
  <c r="N149" i="1" s="1"/>
  <c r="T71" i="1"/>
  <c r="N71" i="1" s="1"/>
  <c r="T50" i="1"/>
  <c r="N50" i="1" s="1"/>
  <c r="T45" i="1"/>
  <c r="N45" i="1" s="1"/>
  <c r="T70" i="1"/>
  <c r="N70" i="1" s="1"/>
  <c r="T101" i="1"/>
  <c r="N101" i="1" s="1"/>
  <c r="T51" i="1"/>
  <c r="N51" i="1" s="1"/>
  <c r="T62" i="1"/>
  <c r="N62" i="1" s="1"/>
  <c r="T76" i="1"/>
  <c r="N76" i="1" s="1"/>
  <c r="T114" i="1"/>
  <c r="N114" i="1" s="1"/>
  <c r="T44" i="1"/>
  <c r="N44" i="1" s="1"/>
  <c r="T68" i="1"/>
  <c r="N68" i="1" s="1"/>
  <c r="T52" i="1"/>
  <c r="N52" i="1" s="1"/>
  <c r="T32" i="1"/>
  <c r="N32" i="1" s="1"/>
  <c r="K134" i="1"/>
  <c r="K111" i="1"/>
  <c r="K107" i="1"/>
  <c r="K89" i="1"/>
  <c r="U79" i="1"/>
  <c r="K79" i="1"/>
  <c r="U87" i="1"/>
  <c r="K87" i="1"/>
  <c r="K67" i="1"/>
  <c r="K152" i="1"/>
  <c r="U152" i="1"/>
  <c r="K52" i="1"/>
  <c r="K93" i="1"/>
  <c r="U93" i="1"/>
  <c r="K148" i="1"/>
  <c r="U64" i="1"/>
  <c r="K64" i="1"/>
  <c r="K32" i="1"/>
  <c r="Q163" i="1"/>
  <c r="K121" i="1"/>
  <c r="K103" i="1"/>
  <c r="K128" i="1"/>
  <c r="K114" i="1"/>
  <c r="K47" i="1"/>
  <c r="K108" i="1"/>
  <c r="K50" i="1"/>
  <c r="K122" i="1"/>
  <c r="K126" i="1"/>
  <c r="U126" i="1"/>
  <c r="U41" i="1"/>
  <c r="K41" i="1"/>
  <c r="K98" i="1"/>
  <c r="K153" i="1"/>
  <c r="K84" i="1"/>
  <c r="K77" i="1"/>
  <c r="K68" i="1"/>
  <c r="K51" i="1"/>
  <c r="K96" i="1"/>
  <c r="K37" i="1"/>
  <c r="K145" i="1"/>
  <c r="K78" i="1"/>
  <c r="K69" i="1"/>
  <c r="U69" i="1"/>
  <c r="K34" i="1"/>
  <c r="K157" i="1"/>
  <c r="K53" i="1"/>
  <c r="K49" i="1"/>
  <c r="U130" i="1"/>
  <c r="K130" i="1"/>
  <c r="U46" i="1"/>
  <c r="K46" i="1"/>
  <c r="U60" i="1"/>
  <c r="K60" i="1"/>
  <c r="K115" i="1"/>
  <c r="K105" i="1"/>
  <c r="K106" i="1"/>
  <c r="K116" i="1"/>
  <c r="U39" i="1"/>
  <c r="K39" i="1"/>
  <c r="K150" i="1"/>
  <c r="K127" i="1"/>
  <c r="K118" i="1"/>
  <c r="K92" i="1"/>
  <c r="K144" i="1"/>
  <c r="U62" i="1"/>
  <c r="K62" i="1"/>
  <c r="K40" i="1"/>
  <c r="K75" i="1"/>
  <c r="K90" i="1"/>
  <c r="K76" i="1"/>
  <c r="K36" i="1"/>
  <c r="K65" i="1"/>
  <c r="K104" i="1"/>
  <c r="K155" i="1"/>
  <c r="U61" i="1"/>
  <c r="K61" i="1"/>
  <c r="U38" i="1"/>
  <c r="K38" i="1"/>
  <c r="K45" i="1"/>
  <c r="K123" i="1"/>
  <c r="U56" i="1"/>
  <c r="K56" i="1"/>
  <c r="K54" i="1"/>
  <c r="K48" i="1"/>
  <c r="U48" i="1"/>
  <c r="U105" i="1" l="1"/>
  <c r="U128" i="1"/>
  <c r="U90" i="1"/>
  <c r="X90" i="1" s="1"/>
  <c r="U53" i="1"/>
  <c r="V53" i="1" s="1"/>
  <c r="W53" i="1" s="1"/>
  <c r="U37" i="1"/>
  <c r="V37" i="1" s="1"/>
  <c r="W37" i="1" s="1"/>
  <c r="U122" i="1"/>
  <c r="U108" i="1"/>
  <c r="U49" i="1"/>
  <c r="V49" i="1" s="1"/>
  <c r="W49" i="1" s="1"/>
  <c r="U47" i="1"/>
  <c r="X47" i="1" s="1"/>
  <c r="U76" i="1"/>
  <c r="X76" i="1" s="1"/>
  <c r="U54" i="1"/>
  <c r="X54" i="1" s="1"/>
  <c r="U123" i="1"/>
  <c r="X123" i="1" s="1"/>
  <c r="U65" i="1"/>
  <c r="V65" i="1" s="1"/>
  <c r="W65" i="1" s="1"/>
  <c r="U75" i="1"/>
  <c r="U50" i="1"/>
  <c r="V50" i="1" s="1"/>
  <c r="W50" i="1" s="1"/>
  <c r="U134" i="1"/>
  <c r="V134" i="1" s="1"/>
  <c r="W134" i="1" s="1"/>
  <c r="U127" i="1"/>
  <c r="X127" i="1" s="1"/>
  <c r="U98" i="1"/>
  <c r="U107" i="1"/>
  <c r="X107" i="1" s="1"/>
  <c r="U104" i="1"/>
  <c r="V104" i="1" s="1"/>
  <c r="W104" i="1" s="1"/>
  <c r="U153" i="1"/>
  <c r="X153" i="1" s="1"/>
  <c r="U36" i="1"/>
  <c r="U150" i="1"/>
  <c r="V150" i="1" s="1"/>
  <c r="W150" i="1" s="1"/>
  <c r="U148" i="1"/>
  <c r="V148" i="1" s="1"/>
  <c r="W148" i="1" s="1"/>
  <c r="U67" i="1"/>
  <c r="X67" i="1" s="1"/>
  <c r="U68" i="1"/>
  <c r="U118" i="1"/>
  <c r="X118" i="1" s="1"/>
  <c r="U144" i="1"/>
  <c r="V144" i="1" s="1"/>
  <c r="W144" i="1" s="1"/>
  <c r="U145" i="1"/>
  <c r="V145" i="1" s="1"/>
  <c r="W145" i="1" s="1"/>
  <c r="U96" i="1"/>
  <c r="X96" i="1" s="1"/>
  <c r="U114" i="1"/>
  <c r="V114" i="1" s="1"/>
  <c r="W114" i="1" s="1"/>
  <c r="U34" i="1"/>
  <c r="V34" i="1" s="1"/>
  <c r="W34" i="1" s="1"/>
  <c r="U45" i="1"/>
  <c r="X45" i="1" s="1"/>
  <c r="U40" i="1"/>
  <c r="V40" i="1" s="1"/>
  <c r="W40" i="1" s="1"/>
  <c r="U116" i="1"/>
  <c r="X116" i="1" s="1"/>
  <c r="U51" i="1"/>
  <c r="V51" i="1" s="1"/>
  <c r="W51" i="1" s="1"/>
  <c r="U77" i="1"/>
  <c r="V77" i="1" s="1"/>
  <c r="W77" i="1" s="1"/>
  <c r="U103" i="1"/>
  <c r="V103" i="1" s="1"/>
  <c r="W103" i="1" s="1"/>
  <c r="U78" i="1"/>
  <c r="V78" i="1" s="1"/>
  <c r="W78" i="1" s="1"/>
  <c r="U155" i="1"/>
  <c r="X155" i="1" s="1"/>
  <c r="U92" i="1"/>
  <c r="V92" i="1" s="1"/>
  <c r="W92" i="1" s="1"/>
  <c r="U106" i="1"/>
  <c r="X106" i="1" s="1"/>
  <c r="U115" i="1"/>
  <c r="X115" i="1" s="1"/>
  <c r="U157" i="1"/>
  <c r="V157" i="1" s="1"/>
  <c r="W157" i="1" s="1"/>
  <c r="U84" i="1"/>
  <c r="X84" i="1" s="1"/>
  <c r="U121" i="1"/>
  <c r="X121" i="1" s="1"/>
  <c r="U89" i="1"/>
  <c r="X89" i="1" s="1"/>
  <c r="U111" i="1"/>
  <c r="V111" i="1" s="1"/>
  <c r="W111" i="1" s="1"/>
  <c r="L163" i="1"/>
  <c r="K186" i="1" s="1"/>
  <c r="U52" i="1"/>
  <c r="X52" i="1" s="1"/>
  <c r="N163" i="1"/>
  <c r="K187" i="1" s="1"/>
  <c r="V123" i="1"/>
  <c r="W123" i="1" s="1"/>
  <c r="V75" i="1"/>
  <c r="W75" i="1" s="1"/>
  <c r="X75" i="1"/>
  <c r="V39" i="1"/>
  <c r="W39" i="1" s="1"/>
  <c r="X39" i="1"/>
  <c r="V98" i="1"/>
  <c r="W98" i="1" s="1"/>
  <c r="X98" i="1"/>
  <c r="V93" i="1"/>
  <c r="W93" i="1" s="1"/>
  <c r="X93" i="1"/>
  <c r="X152" i="1"/>
  <c r="V152" i="1"/>
  <c r="W152" i="1" s="1"/>
  <c r="U140" i="1"/>
  <c r="U101" i="1"/>
  <c r="U133" i="1"/>
  <c r="U138" i="1"/>
  <c r="U81" i="1"/>
  <c r="U57" i="1"/>
  <c r="U112" i="1"/>
  <c r="U42" i="1"/>
  <c r="U129" i="1"/>
  <c r="U55" i="1"/>
  <c r="U73" i="1"/>
  <c r="U33" i="1"/>
  <c r="U44" i="1"/>
  <c r="U88" i="1"/>
  <c r="U109" i="1"/>
  <c r="U82" i="1"/>
  <c r="V38" i="1"/>
  <c r="W38" i="1" s="1"/>
  <c r="X38" i="1"/>
  <c r="V62" i="1"/>
  <c r="W62" i="1" s="1"/>
  <c r="X62" i="1"/>
  <c r="V46" i="1"/>
  <c r="W46" i="1" s="1"/>
  <c r="X46" i="1"/>
  <c r="V68" i="1"/>
  <c r="W68" i="1" s="1"/>
  <c r="X68" i="1"/>
  <c r="X48" i="1"/>
  <c r="V48" i="1"/>
  <c r="W48" i="1" s="1"/>
  <c r="X36" i="1"/>
  <c r="V36" i="1"/>
  <c r="W36" i="1" s="1"/>
  <c r="V105" i="1"/>
  <c r="W105" i="1" s="1"/>
  <c r="X105" i="1"/>
  <c r="X122" i="1"/>
  <c r="V122" i="1"/>
  <c r="W122" i="1" s="1"/>
  <c r="U32" i="1"/>
  <c r="V64" i="1"/>
  <c r="W64" i="1" s="1"/>
  <c r="X64" i="1"/>
  <c r="V87" i="1"/>
  <c r="W87" i="1" s="1"/>
  <c r="X87" i="1"/>
  <c r="U59" i="1"/>
  <c r="U147" i="1"/>
  <c r="U94" i="1"/>
  <c r="U119" i="1"/>
  <c r="U135" i="1"/>
  <c r="U158" i="1"/>
  <c r="U99" i="1"/>
  <c r="U113" i="1"/>
  <c r="U102" i="1"/>
  <c r="U146" i="1"/>
  <c r="U70" i="1"/>
  <c r="U125" i="1"/>
  <c r="U137" i="1"/>
  <c r="V60" i="1"/>
  <c r="W60" i="1" s="1"/>
  <c r="X60" i="1"/>
  <c r="X53" i="1"/>
  <c r="X41" i="1"/>
  <c r="V41" i="1"/>
  <c r="W41" i="1" s="1"/>
  <c r="X108" i="1"/>
  <c r="V108" i="1"/>
  <c r="W108" i="1" s="1"/>
  <c r="U136" i="1"/>
  <c r="U72" i="1"/>
  <c r="U63" i="1"/>
  <c r="U91" i="1"/>
  <c r="U110" i="1"/>
  <c r="U80" i="1"/>
  <c r="U120" i="1"/>
  <c r="U132" i="1"/>
  <c r="U117" i="1"/>
  <c r="U83" i="1"/>
  <c r="U97" i="1"/>
  <c r="U74" i="1"/>
  <c r="U100" i="1"/>
  <c r="U139" i="1"/>
  <c r="U66" i="1"/>
  <c r="U151" i="1"/>
  <c r="U85" i="1"/>
  <c r="U131" i="1"/>
  <c r="U141" i="1"/>
  <c r="U71" i="1"/>
  <c r="V56" i="1"/>
  <c r="W56" i="1" s="1"/>
  <c r="X56" i="1"/>
  <c r="V61" i="1"/>
  <c r="W61" i="1" s="1"/>
  <c r="X61" i="1"/>
  <c r="V90" i="1"/>
  <c r="W90" i="1" s="1"/>
  <c r="X130" i="1"/>
  <c r="V130" i="1"/>
  <c r="W130" i="1" s="1"/>
  <c r="X37" i="1"/>
  <c r="V76" i="1"/>
  <c r="W76" i="1" s="1"/>
  <c r="X92" i="1"/>
  <c r="X69" i="1"/>
  <c r="V69" i="1"/>
  <c r="W69" i="1" s="1"/>
  <c r="V84" i="1"/>
  <c r="W84" i="1" s="1"/>
  <c r="X126" i="1"/>
  <c r="V126" i="1"/>
  <c r="W126" i="1" s="1"/>
  <c r="V47" i="1"/>
  <c r="W47" i="1" s="1"/>
  <c r="X128" i="1"/>
  <c r="V128" i="1"/>
  <c r="W128" i="1" s="1"/>
  <c r="K163" i="1"/>
  <c r="L174" i="1" s="1"/>
  <c r="V67" i="1"/>
  <c r="W67" i="1" s="1"/>
  <c r="V79" i="1"/>
  <c r="W79" i="1" s="1"/>
  <c r="X79" i="1"/>
  <c r="U58" i="1"/>
  <c r="U124" i="1"/>
  <c r="U149" i="1"/>
  <c r="U86" i="1"/>
  <c r="U43" i="1"/>
  <c r="U142" i="1"/>
  <c r="U95" i="1"/>
  <c r="U154" i="1"/>
  <c r="U35" i="1"/>
  <c r="U156" i="1"/>
  <c r="U143" i="1"/>
  <c r="X148" i="1" l="1"/>
  <c r="X145" i="1"/>
  <c r="X65" i="1"/>
  <c r="X134" i="1"/>
  <c r="V153" i="1"/>
  <c r="W153" i="1" s="1"/>
  <c r="V127" i="1"/>
  <c r="W127" i="1" s="1"/>
  <c r="X49" i="1"/>
  <c r="V116" i="1"/>
  <c r="W116" i="1" s="1"/>
  <c r="V89" i="1"/>
  <c r="W89" i="1" s="1"/>
  <c r="V107" i="1"/>
  <c r="W107" i="1" s="1"/>
  <c r="X150" i="1"/>
  <c r="V54" i="1"/>
  <c r="W54" i="1" s="1"/>
  <c r="X78" i="1"/>
  <c r="X40" i="1"/>
  <c r="X114" i="1"/>
  <c r="V118" i="1"/>
  <c r="W118" i="1" s="1"/>
  <c r="X50" i="1"/>
  <c r="V96" i="1"/>
  <c r="W96" i="1" s="1"/>
  <c r="V121" i="1"/>
  <c r="W121" i="1" s="1"/>
  <c r="X104" i="1"/>
  <c r="X51" i="1"/>
  <c r="X144" i="1"/>
  <c r="X157" i="1"/>
  <c r="V155" i="1"/>
  <c r="W155" i="1" s="1"/>
  <c r="X103" i="1"/>
  <c r="V106" i="1"/>
  <c r="W106" i="1" s="1"/>
  <c r="X77" i="1"/>
  <c r="V52" i="1"/>
  <c r="W52" i="1" s="1"/>
  <c r="V45" i="1"/>
  <c r="W45" i="1" s="1"/>
  <c r="K190" i="1"/>
  <c r="K191" i="1" s="1"/>
  <c r="K195" i="1" s="1"/>
  <c r="L175" i="1"/>
  <c r="M171" i="1" s="1"/>
  <c r="P271" i="1" s="1"/>
  <c r="R271" i="1" s="1"/>
  <c r="V115" i="1"/>
  <c r="W115" i="1" s="1"/>
  <c r="X111" i="1"/>
  <c r="X34" i="1"/>
  <c r="L176" i="1"/>
  <c r="L177" i="1" s="1"/>
  <c r="L179" i="1" s="1"/>
  <c r="L180" i="1" s="1"/>
  <c r="V154" i="1"/>
  <c r="W154" i="1" s="1"/>
  <c r="X154" i="1"/>
  <c r="X143" i="1"/>
  <c r="V143" i="1"/>
  <c r="W143" i="1" s="1"/>
  <c r="X95" i="1"/>
  <c r="V95" i="1"/>
  <c r="W95" i="1" s="1"/>
  <c r="V149" i="1"/>
  <c r="W149" i="1" s="1"/>
  <c r="X149" i="1"/>
  <c r="V131" i="1"/>
  <c r="W131" i="1" s="1"/>
  <c r="X131" i="1"/>
  <c r="X139" i="1"/>
  <c r="V139" i="1"/>
  <c r="W139" i="1" s="1"/>
  <c r="V83" i="1"/>
  <c r="W83" i="1" s="1"/>
  <c r="X83" i="1"/>
  <c r="V80" i="1"/>
  <c r="W80" i="1" s="1"/>
  <c r="X80" i="1"/>
  <c r="X72" i="1"/>
  <c r="V72" i="1"/>
  <c r="W72" i="1" s="1"/>
  <c r="X70" i="1"/>
  <c r="V70" i="1"/>
  <c r="W70" i="1" s="1"/>
  <c r="X158" i="1"/>
  <c r="V158" i="1"/>
  <c r="W158" i="1" s="1"/>
  <c r="V147" i="1"/>
  <c r="W147" i="1" s="1"/>
  <c r="X147" i="1"/>
  <c r="X44" i="1"/>
  <c r="V44" i="1"/>
  <c r="W44" i="1" s="1"/>
  <c r="V129" i="1"/>
  <c r="W129" i="1" s="1"/>
  <c r="X129" i="1"/>
  <c r="V81" i="1"/>
  <c r="W81" i="1" s="1"/>
  <c r="X81" i="1"/>
  <c r="V140" i="1"/>
  <c r="W140" i="1" s="1"/>
  <c r="X140" i="1"/>
  <c r="V142" i="1"/>
  <c r="W142" i="1" s="1"/>
  <c r="X142" i="1"/>
  <c r="X85" i="1"/>
  <c r="V85" i="1"/>
  <c r="W85" i="1" s="1"/>
  <c r="V100" i="1"/>
  <c r="W100" i="1" s="1"/>
  <c r="X100" i="1"/>
  <c r="V117" i="1"/>
  <c r="W117" i="1" s="1"/>
  <c r="X117" i="1"/>
  <c r="V110" i="1"/>
  <c r="W110" i="1" s="1"/>
  <c r="X110" i="1"/>
  <c r="V136" i="1"/>
  <c r="W136" i="1" s="1"/>
  <c r="X136" i="1"/>
  <c r="X146" i="1"/>
  <c r="V146" i="1"/>
  <c r="W146" i="1" s="1"/>
  <c r="X135" i="1"/>
  <c r="V135" i="1"/>
  <c r="W135" i="1" s="1"/>
  <c r="X59" i="1"/>
  <c r="V59" i="1"/>
  <c r="W59" i="1" s="1"/>
  <c r="X82" i="1"/>
  <c r="V82" i="1"/>
  <c r="W82" i="1" s="1"/>
  <c r="X33" i="1"/>
  <c r="V33" i="1"/>
  <c r="W33" i="1" s="1"/>
  <c r="X42" i="1"/>
  <c r="V42" i="1"/>
  <c r="W42" i="1" s="1"/>
  <c r="V138" i="1"/>
  <c r="W138" i="1" s="1"/>
  <c r="X138" i="1"/>
  <c r="V156" i="1"/>
  <c r="W156" i="1" s="1"/>
  <c r="X156" i="1"/>
  <c r="V124" i="1"/>
  <c r="W124" i="1" s="1"/>
  <c r="X124" i="1"/>
  <c r="V35" i="1"/>
  <c r="W35" i="1" s="1"/>
  <c r="X35" i="1"/>
  <c r="X43" i="1"/>
  <c r="V43" i="1"/>
  <c r="W43" i="1" s="1"/>
  <c r="X58" i="1"/>
  <c r="V58" i="1"/>
  <c r="W58" i="1" s="1"/>
  <c r="X71" i="1"/>
  <c r="V71" i="1"/>
  <c r="W71" i="1" s="1"/>
  <c r="V151" i="1"/>
  <c r="W151" i="1" s="1"/>
  <c r="X151" i="1"/>
  <c r="X74" i="1"/>
  <c r="V74" i="1"/>
  <c r="X132" i="1"/>
  <c r="V132" i="1"/>
  <c r="W132" i="1" s="1"/>
  <c r="X91" i="1"/>
  <c r="V91" i="1"/>
  <c r="W91" i="1" s="1"/>
  <c r="X137" i="1"/>
  <c r="V137" i="1"/>
  <c r="W137" i="1" s="1"/>
  <c r="V102" i="1"/>
  <c r="W102" i="1" s="1"/>
  <c r="X102" i="1"/>
  <c r="V119" i="1"/>
  <c r="W119" i="1" s="1"/>
  <c r="X119" i="1"/>
  <c r="U163" i="1"/>
  <c r="V32" i="1"/>
  <c r="X32" i="1"/>
  <c r="X109" i="1"/>
  <c r="V109" i="1"/>
  <c r="W109" i="1" s="1"/>
  <c r="X73" i="1"/>
  <c r="V73" i="1"/>
  <c r="W73" i="1" s="1"/>
  <c r="V112" i="1"/>
  <c r="W112" i="1" s="1"/>
  <c r="X112" i="1"/>
  <c r="V133" i="1"/>
  <c r="W133" i="1" s="1"/>
  <c r="X133" i="1"/>
  <c r="X86" i="1"/>
  <c r="V86" i="1"/>
  <c r="W86" i="1" s="1"/>
  <c r="V141" i="1"/>
  <c r="W141" i="1" s="1"/>
  <c r="X141" i="1"/>
  <c r="V66" i="1"/>
  <c r="W66" i="1" s="1"/>
  <c r="X66" i="1"/>
  <c r="V97" i="1"/>
  <c r="W97" i="1" s="1"/>
  <c r="X97" i="1"/>
  <c r="V120" i="1"/>
  <c r="W120" i="1" s="1"/>
  <c r="X120" i="1"/>
  <c r="V63" i="1"/>
  <c r="W63" i="1" s="1"/>
  <c r="X63" i="1"/>
  <c r="V125" i="1"/>
  <c r="W125" i="1" s="1"/>
  <c r="X125" i="1"/>
  <c r="X113" i="1"/>
  <c r="V113" i="1"/>
  <c r="W113" i="1" s="1"/>
  <c r="X99" i="1"/>
  <c r="V99" i="1"/>
  <c r="W99" i="1" s="1"/>
  <c r="X94" i="1"/>
  <c r="V94" i="1"/>
  <c r="W94" i="1" s="1"/>
  <c r="V88" i="1"/>
  <c r="W88" i="1" s="1"/>
  <c r="X88" i="1"/>
  <c r="V55" i="1"/>
  <c r="W55" i="1" s="1"/>
  <c r="X55" i="1"/>
  <c r="X57" i="1"/>
  <c r="V57" i="1"/>
  <c r="W57" i="1" s="1"/>
  <c r="X101" i="1"/>
  <c r="V101" i="1"/>
  <c r="W101" i="1" s="1"/>
  <c r="P172" i="1" l="1"/>
  <c r="R172" i="1" s="1"/>
  <c r="P188" i="1"/>
  <c r="R188" i="1" s="1"/>
  <c r="P204" i="1"/>
  <c r="R204" i="1" s="1"/>
  <c r="P220" i="1"/>
  <c r="R220" i="1" s="1"/>
  <c r="P236" i="1"/>
  <c r="R236" i="1" s="1"/>
  <c r="P252" i="1"/>
  <c r="R252" i="1" s="1"/>
  <c r="P268" i="1"/>
  <c r="R268" i="1" s="1"/>
  <c r="P185" i="1"/>
  <c r="R185" i="1" s="1"/>
  <c r="P201" i="1"/>
  <c r="R201" i="1" s="1"/>
  <c r="P217" i="1"/>
  <c r="R217" i="1" s="1"/>
  <c r="P233" i="1"/>
  <c r="R233" i="1" s="1"/>
  <c r="P249" i="1"/>
  <c r="R249" i="1" s="1"/>
  <c r="P265" i="1"/>
  <c r="R265" i="1" s="1"/>
  <c r="P191" i="1"/>
  <c r="R191" i="1" s="1"/>
  <c r="P223" i="1"/>
  <c r="R223" i="1" s="1"/>
  <c r="P255" i="1"/>
  <c r="R255" i="1" s="1"/>
  <c r="P178" i="1"/>
  <c r="R178" i="1" s="1"/>
  <c r="P194" i="1"/>
  <c r="R194" i="1" s="1"/>
  <c r="P210" i="1"/>
  <c r="R210" i="1" s="1"/>
  <c r="P226" i="1"/>
  <c r="R226" i="1" s="1"/>
  <c r="P242" i="1"/>
  <c r="R242" i="1" s="1"/>
  <c r="P258" i="1"/>
  <c r="R258" i="1" s="1"/>
  <c r="P175" i="1"/>
  <c r="R175" i="1" s="1"/>
  <c r="P211" i="1"/>
  <c r="R211" i="1" s="1"/>
  <c r="P243" i="1"/>
  <c r="R243" i="1" s="1"/>
  <c r="P176" i="1"/>
  <c r="R176" i="1" s="1"/>
  <c r="P192" i="1"/>
  <c r="R192" i="1" s="1"/>
  <c r="P208" i="1"/>
  <c r="R208" i="1" s="1"/>
  <c r="P224" i="1"/>
  <c r="R224" i="1" s="1"/>
  <c r="P240" i="1"/>
  <c r="R240" i="1" s="1"/>
  <c r="P256" i="1"/>
  <c r="R256" i="1" s="1"/>
  <c r="P173" i="1"/>
  <c r="R173" i="1" s="1"/>
  <c r="P189" i="1"/>
  <c r="R189" i="1" s="1"/>
  <c r="P205" i="1"/>
  <c r="R205" i="1" s="1"/>
  <c r="P221" i="1"/>
  <c r="R221" i="1" s="1"/>
  <c r="P237" i="1"/>
  <c r="R237" i="1" s="1"/>
  <c r="P253" i="1"/>
  <c r="R253" i="1" s="1"/>
  <c r="P269" i="1"/>
  <c r="R269" i="1" s="1"/>
  <c r="P199" i="1"/>
  <c r="R199" i="1" s="1"/>
  <c r="P231" i="1"/>
  <c r="R231" i="1" s="1"/>
  <c r="P263" i="1"/>
  <c r="R263" i="1" s="1"/>
  <c r="P182" i="1"/>
  <c r="R182" i="1" s="1"/>
  <c r="P198" i="1"/>
  <c r="R198" i="1" s="1"/>
  <c r="P214" i="1"/>
  <c r="R214" i="1" s="1"/>
  <c r="P230" i="1"/>
  <c r="R230" i="1" s="1"/>
  <c r="P246" i="1"/>
  <c r="R246" i="1" s="1"/>
  <c r="P262" i="1"/>
  <c r="R262" i="1" s="1"/>
  <c r="P187" i="1"/>
  <c r="R187" i="1" s="1"/>
  <c r="P219" i="1"/>
  <c r="R219" i="1" s="1"/>
  <c r="P251" i="1"/>
  <c r="R251" i="1" s="1"/>
  <c r="P184" i="1"/>
  <c r="R184" i="1" s="1"/>
  <c r="P200" i="1"/>
  <c r="R200" i="1" s="1"/>
  <c r="P216" i="1"/>
  <c r="R216" i="1" s="1"/>
  <c r="P232" i="1"/>
  <c r="R232" i="1" s="1"/>
  <c r="P248" i="1"/>
  <c r="R248" i="1" s="1"/>
  <c r="P264" i="1"/>
  <c r="R264" i="1" s="1"/>
  <c r="P181" i="1"/>
  <c r="R181" i="1" s="1"/>
  <c r="P197" i="1"/>
  <c r="R197" i="1" s="1"/>
  <c r="P213" i="1"/>
  <c r="R213" i="1" s="1"/>
  <c r="P229" i="1"/>
  <c r="R229" i="1" s="1"/>
  <c r="P245" i="1"/>
  <c r="R245" i="1" s="1"/>
  <c r="P261" i="1"/>
  <c r="R261" i="1" s="1"/>
  <c r="P183" i="1"/>
  <c r="R183" i="1" s="1"/>
  <c r="P215" i="1"/>
  <c r="R215" i="1" s="1"/>
  <c r="P247" i="1"/>
  <c r="R247" i="1" s="1"/>
  <c r="P174" i="1"/>
  <c r="R174" i="1" s="1"/>
  <c r="P190" i="1"/>
  <c r="R190" i="1" s="1"/>
  <c r="P206" i="1"/>
  <c r="R206" i="1" s="1"/>
  <c r="P238" i="1"/>
  <c r="R238" i="1" s="1"/>
  <c r="P254" i="1"/>
  <c r="R254" i="1" s="1"/>
  <c r="P270" i="1"/>
  <c r="R270" i="1" s="1"/>
  <c r="P203" i="1"/>
  <c r="R203" i="1" s="1"/>
  <c r="P267" i="1"/>
  <c r="R267" i="1" s="1"/>
  <c r="P180" i="1"/>
  <c r="R180" i="1" s="1"/>
  <c r="P196" i="1"/>
  <c r="R196" i="1" s="1"/>
  <c r="P212" i="1"/>
  <c r="R212" i="1" s="1"/>
  <c r="P228" i="1"/>
  <c r="R228" i="1" s="1"/>
  <c r="P244" i="1"/>
  <c r="R244" i="1" s="1"/>
  <c r="P260" i="1"/>
  <c r="R260" i="1" s="1"/>
  <c r="P177" i="1"/>
  <c r="R177" i="1" s="1"/>
  <c r="P193" i="1"/>
  <c r="R193" i="1" s="1"/>
  <c r="P209" i="1"/>
  <c r="R209" i="1" s="1"/>
  <c r="P225" i="1"/>
  <c r="R225" i="1" s="1"/>
  <c r="P241" i="1"/>
  <c r="R241" i="1" s="1"/>
  <c r="P257" i="1"/>
  <c r="R257" i="1" s="1"/>
  <c r="P179" i="1"/>
  <c r="R179" i="1" s="1"/>
  <c r="P207" i="1"/>
  <c r="R207" i="1" s="1"/>
  <c r="P239" i="1"/>
  <c r="R239" i="1" s="1"/>
  <c r="P171" i="1"/>
  <c r="R171" i="1" s="1"/>
  <c r="P186" i="1"/>
  <c r="R186" i="1" s="1"/>
  <c r="P202" i="1"/>
  <c r="R202" i="1" s="1"/>
  <c r="P218" i="1"/>
  <c r="R218" i="1" s="1"/>
  <c r="P234" i="1"/>
  <c r="R234" i="1" s="1"/>
  <c r="P250" i="1"/>
  <c r="R250" i="1" s="1"/>
  <c r="P266" i="1"/>
  <c r="R266" i="1" s="1"/>
  <c r="P195" i="1"/>
  <c r="R195" i="1" s="1"/>
  <c r="P227" i="1"/>
  <c r="R227" i="1" s="1"/>
  <c r="P259" i="1"/>
  <c r="R259" i="1" s="1"/>
  <c r="P222" i="1"/>
  <c r="R222" i="1" s="1"/>
  <c r="P235" i="1"/>
  <c r="R235" i="1" s="1"/>
  <c r="L191" i="1"/>
  <c r="N171" i="1"/>
  <c r="L181" i="1"/>
  <c r="H169" i="1" s="1"/>
  <c r="M172" i="1"/>
  <c r="W32" i="1"/>
  <c r="V163" i="1"/>
  <c r="K199" i="1"/>
  <c r="K201" i="1" s="1"/>
  <c r="X163" i="1"/>
  <c r="H168" i="1" l="1"/>
  <c r="G174" i="1"/>
  <c r="J168" i="1" l="1"/>
  <c r="I1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  <author>tc={94868DD0-3FB4-4407-B77A-3F6E67ED29D2}</author>
  </authors>
  <commentList>
    <comment ref="B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elektrik dükkan : 13000
Elektrik depo : 1500
Doğalgaz dükkan : 3500
Su dükkan ve depo: 300
İnt.Tel. : 300
Ev fatura : 1000
Secom alarm: 300
trio motor takip : 300
</t>
        </r>
      </text>
    </comment>
    <comment ref="B11" authorId="1" shapeId="0" xr:uid="{00000000-0006-0000-0300-000003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1. dükkan 10.000
2. depo 375
3. personel ev 2.500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<sst xmlns="http://schemas.openxmlformats.org/spreadsheetml/2006/main" count="4881" uniqueCount="395">
  <si>
    <t>Ürün Adı</t>
  </si>
  <si>
    <t>Miktar</t>
  </si>
  <si>
    <t>Birim</t>
  </si>
  <si>
    <t>Kategori</t>
  </si>
  <si>
    <t>Birim Fiyatı</t>
  </si>
  <si>
    <t>Anadolu Burger Menü</t>
  </si>
  <si>
    <t>BBQ Burger Menü</t>
  </si>
  <si>
    <t>Burgerator Burger Menü</t>
  </si>
  <si>
    <t>Cajun Soslu Patates Kızartması</t>
  </si>
  <si>
    <t>Hot Chili Burger Menü</t>
  </si>
  <si>
    <t>Köz Patlıcanlı Burger Menü</t>
  </si>
  <si>
    <t>Mushroom Burger Menü</t>
  </si>
  <si>
    <t>Soğan Halkası</t>
  </si>
  <si>
    <t>Sucuklu Burger Menü</t>
  </si>
  <si>
    <t>Toplam</t>
  </si>
  <si>
    <t>sos</t>
  </si>
  <si>
    <t>Adet</t>
  </si>
  <si>
    <t>Tutar</t>
  </si>
  <si>
    <t>Thunder Burger Menü</t>
  </si>
  <si>
    <t>Triple Stack Burger Menü</t>
  </si>
  <si>
    <t>Brisket Burger Menü</t>
  </si>
  <si>
    <t>Soslar</t>
  </si>
  <si>
    <t>içecekler</t>
  </si>
  <si>
    <t>Extralar</t>
  </si>
  <si>
    <t>Patates</t>
  </si>
  <si>
    <t>Ürünler</t>
  </si>
  <si>
    <t>adet</t>
  </si>
  <si>
    <t>tutar</t>
  </si>
  <si>
    <t>İçecekler</t>
  </si>
  <si>
    <t>soslar</t>
  </si>
  <si>
    <t>Burger</t>
  </si>
  <si>
    <t>Ketçap</t>
  </si>
  <si>
    <t>Ketçap Hellmans</t>
  </si>
  <si>
    <t>Kutu</t>
  </si>
  <si>
    <t>Burger Kutusu</t>
  </si>
  <si>
    <t>Mayonez</t>
  </si>
  <si>
    <t>Mayonez Hellmans</t>
  </si>
  <si>
    <t>Pipet ve Islak Mendil</t>
  </si>
  <si>
    <t>Komisyon</t>
  </si>
  <si>
    <t>Motorcu Maliyeti</t>
  </si>
  <si>
    <t>Yakıt</t>
  </si>
  <si>
    <t>Paketleme Maliyeti</t>
  </si>
  <si>
    <t>Ürün</t>
  </si>
  <si>
    <t>Tanımı</t>
  </si>
  <si>
    <t>Birimi</t>
  </si>
  <si>
    <t>Miktarı</t>
  </si>
  <si>
    <t>Tutarı</t>
  </si>
  <si>
    <t>Faturalar</t>
  </si>
  <si>
    <t>Personel Maaş Mutfak</t>
  </si>
  <si>
    <t>Yağ</t>
  </si>
  <si>
    <t>Tereyağ</t>
  </si>
  <si>
    <t>Kiralar</t>
  </si>
  <si>
    <t>1 dükkan 1 depo 1 ev kirası</t>
  </si>
  <si>
    <t>Muhasebe</t>
  </si>
  <si>
    <t>Aylık Muhasebe Ödemesi</t>
  </si>
  <si>
    <t>Motor Bakım</t>
  </si>
  <si>
    <t>aylık tereyağ harcaması</t>
  </si>
  <si>
    <t>B sos</t>
  </si>
  <si>
    <t>5 gr b sos</t>
  </si>
  <si>
    <t>gram</t>
  </si>
  <si>
    <t>cheddar</t>
  </si>
  <si>
    <t>1 dilim cheddar peyniri</t>
  </si>
  <si>
    <t>Ekmek</t>
  </si>
  <si>
    <t>Füme</t>
  </si>
  <si>
    <t>1 dilim füme</t>
  </si>
  <si>
    <t>Köfte</t>
  </si>
  <si>
    <t>Burger köftesi 100 gr</t>
  </si>
  <si>
    <t>Gram</t>
  </si>
  <si>
    <t>Soğan</t>
  </si>
  <si>
    <t>10 gr soğan</t>
  </si>
  <si>
    <t>İçecek</t>
  </si>
  <si>
    <t>Günün motorcu maaşı</t>
  </si>
  <si>
    <t>Günün yakıt masrafı</t>
  </si>
  <si>
    <t>Ürün Maliyeti</t>
  </si>
  <si>
    <t>satış adedi</t>
  </si>
  <si>
    <t>Aylık Elektrik Doğalgaz Su İnternet Telefon ödemeleri motor takip ve alarm</t>
  </si>
  <si>
    <t>Pastırma</t>
  </si>
  <si>
    <t>Kavurma</t>
  </si>
  <si>
    <t>Anadolu 140 gr</t>
  </si>
  <si>
    <t>Anadolu  100 gr</t>
  </si>
  <si>
    <t>Anadolu  200 gr</t>
  </si>
  <si>
    <t>Anadolu  280 gr</t>
  </si>
  <si>
    <t>Ürün Kodu</t>
  </si>
  <si>
    <t>Günlük Satış</t>
  </si>
  <si>
    <t>Ürün Başı Maliyet</t>
  </si>
  <si>
    <t>Ürün Dışı Maliyet</t>
  </si>
  <si>
    <t>Mushroom 100 gr</t>
  </si>
  <si>
    <t>Mushroom 280 gr</t>
  </si>
  <si>
    <t>Mushroom 140 gr</t>
  </si>
  <si>
    <t>Mushroom 200 gr</t>
  </si>
  <si>
    <t>2 dilim cheddar peyniri</t>
  </si>
  <si>
    <t>Domates</t>
  </si>
  <si>
    <t>10 gr domates</t>
  </si>
  <si>
    <t>Burger köftesi 280 gr</t>
  </si>
  <si>
    <t>Burger köftesi 200 gr</t>
  </si>
  <si>
    <t>Burger köftesi 140 gr</t>
  </si>
  <si>
    <t>2 dilim füme</t>
  </si>
  <si>
    <t>94 gr ekmek</t>
  </si>
  <si>
    <t>84 gr ekmek</t>
  </si>
  <si>
    <t>getir</t>
  </si>
  <si>
    <t>Trendyol</t>
  </si>
  <si>
    <t>Thunder  100 gr</t>
  </si>
  <si>
    <t>Thunder 140 gr</t>
  </si>
  <si>
    <t>Thunder  200 gr</t>
  </si>
  <si>
    <t>Thunder  280 gr</t>
  </si>
  <si>
    <t>Relish</t>
  </si>
  <si>
    <t>5 gr b relish</t>
  </si>
  <si>
    <t>30 gr tandır</t>
  </si>
  <si>
    <t>burger</t>
  </si>
  <si>
    <t>-</t>
  </si>
  <si>
    <t>BBQ 100 gr</t>
  </si>
  <si>
    <t>BBQ 140 gr</t>
  </si>
  <si>
    <t>BBQ 200 gr</t>
  </si>
  <si>
    <t>BBQ 280 gr</t>
  </si>
  <si>
    <t>Burgerator 100 gr</t>
  </si>
  <si>
    <t>Burgerator 140 gr</t>
  </si>
  <si>
    <t>Burgerator 200 gr</t>
  </si>
  <si>
    <t>Burgerator  280 gr</t>
  </si>
  <si>
    <t>Burger Başına Düşen Genel Gider</t>
  </si>
  <si>
    <t>Burger Başına Düşen Servis Maliyeti</t>
  </si>
  <si>
    <t>Burger Başına Düşen Paketleme Maliyeti</t>
  </si>
  <si>
    <t>Köz Patlıcanlı Burger 100 gr</t>
  </si>
  <si>
    <t>Hot Chili Burger 100 gr</t>
  </si>
  <si>
    <t>Hot Chili Burger 140 gr</t>
  </si>
  <si>
    <t>Hot Chili Burger 200 gr</t>
  </si>
  <si>
    <t>Hot Chili Burger 280 gr</t>
  </si>
  <si>
    <t>Köz Patlıcanlı Burger 140 gr</t>
  </si>
  <si>
    <t>Köz Patlıcanlı Burger 200 gr</t>
  </si>
  <si>
    <t>Köz Patlıcanlı Burger 280 gr</t>
  </si>
  <si>
    <t>Sucuklu Burger 100 gr</t>
  </si>
  <si>
    <t>Sucuklu Burger 280 gr</t>
  </si>
  <si>
    <t>Sucuklu Burger 200 gr</t>
  </si>
  <si>
    <t>Sucuklu Burger 140 gr</t>
  </si>
  <si>
    <t xml:space="preserve">Sucuk </t>
  </si>
  <si>
    <t>1 dilim sucuk</t>
  </si>
  <si>
    <t>Truffles Burger Menü</t>
  </si>
  <si>
    <t>Kıtır Soğan</t>
  </si>
  <si>
    <t>kıtır soğan</t>
  </si>
  <si>
    <t>Truffle sos</t>
  </si>
  <si>
    <t>trendyol</t>
  </si>
  <si>
    <t>yemeksepeti</t>
  </si>
  <si>
    <t>Ürün hariç toplam gider</t>
  </si>
  <si>
    <t>Yüzde</t>
  </si>
  <si>
    <t>Ambalaj</t>
  </si>
  <si>
    <t>Aylık ambalajcı ödemesi</t>
  </si>
  <si>
    <t>Genel gider</t>
  </si>
  <si>
    <t>Aylık görülmeyen masraflar</t>
  </si>
  <si>
    <t>aylık</t>
  </si>
  <si>
    <t>restoran satış</t>
  </si>
  <si>
    <t>ciro dağılımı</t>
  </si>
  <si>
    <t>ciro dağılım yüzdesi</t>
  </si>
  <si>
    <t>Komisyonlar</t>
  </si>
  <si>
    <t>Köz sos</t>
  </si>
  <si>
    <t>Köz patlıcan</t>
  </si>
  <si>
    <t>Jalapeno sos</t>
  </si>
  <si>
    <t>karamelize soğan</t>
  </si>
  <si>
    <t>soğan</t>
  </si>
  <si>
    <t>Mushroom</t>
  </si>
  <si>
    <t>Kaşar</t>
  </si>
  <si>
    <t>Araç benzin</t>
  </si>
  <si>
    <t>Güncel Ürün fiyatları</t>
  </si>
  <si>
    <t>BBQ sos</t>
  </si>
  <si>
    <t>Chili Sos</t>
  </si>
  <si>
    <t>Relish Sos</t>
  </si>
  <si>
    <t>Tandır Et</t>
  </si>
  <si>
    <t>Fiyat</t>
  </si>
  <si>
    <t>Gramaj</t>
  </si>
  <si>
    <t>250 gr patates</t>
  </si>
  <si>
    <t>Truffles 100 gr</t>
  </si>
  <si>
    <t>Truffles 140 gr</t>
  </si>
  <si>
    <t>Truffles 200 gr</t>
  </si>
  <si>
    <t>Truffles  280 gr</t>
  </si>
  <si>
    <t>1 dilim kaşar</t>
  </si>
  <si>
    <t>2 dilim kaşar</t>
  </si>
  <si>
    <t>10 gr köz</t>
  </si>
  <si>
    <t>Jalapeno Biber Sos</t>
  </si>
  <si>
    <t>1 dilim</t>
  </si>
  <si>
    <t>10 gr</t>
  </si>
  <si>
    <t>Musroom</t>
  </si>
  <si>
    <t>20 gr</t>
  </si>
  <si>
    <t>2 dilim</t>
  </si>
  <si>
    <t>60 gr tandır</t>
  </si>
  <si>
    <t>100 gr</t>
  </si>
  <si>
    <t>140 gr</t>
  </si>
  <si>
    <t>200 gr</t>
  </si>
  <si>
    <t>280 gr</t>
  </si>
  <si>
    <t>300 gr</t>
  </si>
  <si>
    <t>340 gr</t>
  </si>
  <si>
    <t>380 gr</t>
  </si>
  <si>
    <t>420 gr</t>
  </si>
  <si>
    <t>Acı Sos</t>
  </si>
  <si>
    <t>5 gr acı sos</t>
  </si>
  <si>
    <t>Truffle Sos</t>
  </si>
  <si>
    <t>can şencan</t>
  </si>
  <si>
    <t>aylık ortalama harcama</t>
  </si>
  <si>
    <t xml:space="preserve">1 aylık ortlama Yağ maliyeti </t>
  </si>
  <si>
    <t>Satılan et</t>
  </si>
  <si>
    <t>harcanan et</t>
  </si>
  <si>
    <t>Oran</t>
  </si>
  <si>
    <t>Tiftik Burger Menü</t>
  </si>
  <si>
    <t>Satılan Burger</t>
  </si>
  <si>
    <t>Yemek Kartı Komisyonu</t>
  </si>
  <si>
    <t>Hot Chili Sos</t>
  </si>
  <si>
    <t>burgerator maliyet</t>
  </si>
  <si>
    <t>Ortalama Kar</t>
  </si>
  <si>
    <t>Adetten Kar</t>
  </si>
  <si>
    <t>Ballı Hardal Sos</t>
  </si>
  <si>
    <t>Garlic Sos</t>
  </si>
  <si>
    <t>Reklam Ödemesi</t>
  </si>
  <si>
    <t>ÜRÜN MALİYETLERİ</t>
  </si>
  <si>
    <t>AB</t>
  </si>
  <si>
    <t>U</t>
  </si>
  <si>
    <t>N</t>
  </si>
  <si>
    <t>G</t>
  </si>
  <si>
    <t xml:space="preserve">SONUÇ </t>
  </si>
  <si>
    <t>Birim Kazanç</t>
  </si>
  <si>
    <t>Getir Yemek</t>
  </si>
  <si>
    <t xml:space="preserve">ÜRÜNLER </t>
  </si>
  <si>
    <t>100 gr.</t>
  </si>
  <si>
    <t>140 gr.</t>
  </si>
  <si>
    <t>Kar Oranı</t>
  </si>
  <si>
    <t>%10 kar için kaç tl zam yapan gerekityor?</t>
  </si>
  <si>
    <t>Burgerator  300 gr</t>
  </si>
  <si>
    <t>Köz Patlıcanlı Burger 300 gr</t>
  </si>
  <si>
    <t>Hot Chili Burger 300 gr</t>
  </si>
  <si>
    <t>Sucuklu Burger 300 gr</t>
  </si>
  <si>
    <t>Mushroom 300 gr</t>
  </si>
  <si>
    <t>Anadolu  300 gr</t>
  </si>
  <si>
    <t>Thunder  300 gr</t>
  </si>
  <si>
    <t>Truffles  300 gr</t>
  </si>
  <si>
    <t>Mozarella Sticks</t>
  </si>
  <si>
    <t>Ranch Sos</t>
  </si>
  <si>
    <t>ICE TEA</t>
  </si>
  <si>
    <t>cola</t>
  </si>
  <si>
    <t>Birim
 Fiyatı</t>
  </si>
  <si>
    <t>Bugünkü Komisyon</t>
  </si>
  <si>
    <t>Bugünkü Ürün Maliyeti</t>
  </si>
  <si>
    <t>Bugünkü Servis Maliyeti</t>
  </si>
  <si>
    <t>Bugünkü Paketleme Maliyeti</t>
  </si>
  <si>
    <t>tarih</t>
  </si>
  <si>
    <t>Burger köftesi 300 gr</t>
  </si>
  <si>
    <t>BBQ 300 gr</t>
  </si>
  <si>
    <t>Ürün Birim Maliyeti</t>
  </si>
  <si>
    <t>Ürün Birim Satış Fiyatı</t>
  </si>
  <si>
    <t>Satış Adedi</t>
  </si>
  <si>
    <t>Üründen Elde Edilen Kar</t>
  </si>
  <si>
    <t>Sabit Giderler</t>
  </si>
  <si>
    <t>Burger Ortalama Maliyet</t>
  </si>
  <si>
    <t>Burger Ortalama Satış</t>
  </si>
  <si>
    <t>Başabaş Buger Adedi</t>
  </si>
  <si>
    <t>Komisyon Ortalama Maliyet</t>
  </si>
  <si>
    <t>Genel Gider Ortalama Maliyet</t>
  </si>
  <si>
    <t>Servis Ortalama maliyet</t>
  </si>
  <si>
    <t>Burger Genel Maliyet</t>
  </si>
  <si>
    <t>Burger Ortalama Kar</t>
  </si>
  <si>
    <t>Genel Gider Hariç Maliyet</t>
  </si>
  <si>
    <t>İndirim</t>
  </si>
  <si>
    <t>Net Satış</t>
  </si>
  <si>
    <t>Net Kar</t>
  </si>
  <si>
    <t>Başabaş</t>
  </si>
  <si>
    <t>Burger Sayısı</t>
  </si>
  <si>
    <t>Elde Edilen Kar</t>
  </si>
  <si>
    <t>haribo</t>
  </si>
  <si>
    <t>NAZAR</t>
  </si>
  <si>
    <t>MURAT IZGARA</t>
  </si>
  <si>
    <t>CANO</t>
  </si>
  <si>
    <t>DEVLET</t>
  </si>
  <si>
    <t>Motorcu Yemek Parası</t>
  </si>
  <si>
    <t>9 kişi</t>
  </si>
  <si>
    <t>1 burger servis maliyet</t>
  </si>
  <si>
    <t>1 burger genel gider maliyet</t>
  </si>
  <si>
    <t>1 burger paketleme maliyet</t>
  </si>
  <si>
    <t>1 burger komisyon maliyet</t>
  </si>
  <si>
    <t>1 burger toplam maliyet</t>
  </si>
  <si>
    <t>Bugün Satılan Burger Maliyet</t>
  </si>
  <si>
    <t>Bugün Yapılan Burger Satış</t>
  </si>
  <si>
    <t>Bugün yapılan indirim</t>
  </si>
  <si>
    <t>Bugün Yapılan Net Satış</t>
  </si>
  <si>
    <t>NET KAR</t>
  </si>
  <si>
    <t>Ortalama Paket Maliyeti</t>
  </si>
  <si>
    <t>Ortalama Kar/Zarar</t>
  </si>
  <si>
    <t>Tüm Maliyetler Toplamı</t>
  </si>
  <si>
    <t>Sonuç Kar</t>
  </si>
  <si>
    <t>DEVLET2</t>
  </si>
  <si>
    <t>bahtiyat</t>
  </si>
  <si>
    <t>barbekü sos</t>
  </si>
  <si>
    <t>SODA</t>
  </si>
  <si>
    <t>Trüff Mantar Sos</t>
  </si>
  <si>
    <t>Su</t>
  </si>
  <si>
    <t>Ayran</t>
  </si>
  <si>
    <t>Soda</t>
  </si>
  <si>
    <t>kg</t>
  </si>
  <si>
    <t>1 adet</t>
  </si>
  <si>
    <t>ÜRÜN</t>
  </si>
  <si>
    <t>GRAMAJ</t>
  </si>
  <si>
    <t>İÇERİK</t>
  </si>
  <si>
    <t>Birim Fiyat</t>
  </si>
  <si>
    <t>Satış</t>
  </si>
  <si>
    <t>İNDİRİMSİZ 
KAR</t>
  </si>
  <si>
    <t>7 motor</t>
  </si>
  <si>
    <t>YS Getir Trendyol Aylık reklam ödemeleri, 
reklam unsurları (magnet broşür, instagram)</t>
  </si>
  <si>
    <t>extralar</t>
  </si>
  <si>
    <t xml:space="preserve">Kredi Kartı </t>
  </si>
  <si>
    <t>Kart Komisyonları</t>
  </si>
  <si>
    <t>Kar</t>
  </si>
  <si>
    <t>1 BURGER
Ürün 
Maliyeti</t>
  </si>
  <si>
    <t>1 BURGER
Genel Gider 
Maliyeti</t>
  </si>
  <si>
    <t>1 BURGER
 Servis 
Maliyeti</t>
  </si>
  <si>
    <t>1 BURGER
Paketleme 
Maliyeti</t>
  </si>
  <si>
    <t>1 BURGER 
Toplam 
Maliyet</t>
  </si>
  <si>
    <t>1 BURGER
Komisyon</t>
  </si>
  <si>
    <t>personel yemek</t>
  </si>
  <si>
    <t>migros yemek</t>
  </si>
  <si>
    <t>İndirimsiz  Ciro</t>
  </si>
  <si>
    <t>Restoran Satış</t>
  </si>
  <si>
    <t>1 burger
 genel gider maliyet</t>
  </si>
  <si>
    <t>1 burger 
paketleme 
Maliyet</t>
  </si>
  <si>
    <t>1 burger
komisyon 
maliyet</t>
  </si>
  <si>
    <t>Bugün Satılan 
Burger Maliyet</t>
  </si>
  <si>
    <t>1 burger 
toplam maliyet</t>
  </si>
  <si>
    <t>Bugün Yapılan 
Burger Satış</t>
  </si>
  <si>
    <t>Bugün 
yapılan  indirim</t>
  </si>
  <si>
    <t xml:space="preserve"> Satılan Burger Ortalama
  Maliyeti</t>
  </si>
  <si>
    <t>SATILAN 
ÜRÜN ADEDİ</t>
  </si>
  <si>
    <t>TARİH 
BUGÜN</t>
  </si>
  <si>
    <t>Bu  Ay 
Burger Satış</t>
  </si>
  <si>
    <t>Market</t>
  </si>
  <si>
    <t>giderler</t>
  </si>
  <si>
    <t>toplam satılan ürün</t>
  </si>
  <si>
    <t>TOPLAM Komisyon</t>
  </si>
  <si>
    <t>TOPLAM Ürün Maliyeti</t>
  </si>
  <si>
    <t>TOPLAM  Genel Gider Maliyeti</t>
  </si>
  <si>
    <t>TOPLAM Servis Maliyeti</t>
  </si>
  <si>
    <t>TOPLAM Paketleme Maliyeti</t>
  </si>
  <si>
    <t>AYLIK BAZ</t>
  </si>
  <si>
    <t>GÜNLÜK BAZ</t>
  </si>
  <si>
    <t>BU AY 
yapılan  indirim</t>
  </si>
  <si>
    <t>Bu ay Satılan Toplam
Burger Maliyet</t>
  </si>
  <si>
    <t>BURGER DIŞI
ÜRÜN KAZANÇ</t>
  </si>
  <si>
    <t>TÜM ÜRÜNLER 
NET KAR</t>
  </si>
  <si>
    <t>Yemek Sepeti</t>
  </si>
  <si>
    <t>Migros Yemek</t>
  </si>
  <si>
    <t>Tavuk</t>
  </si>
  <si>
    <t>turşu</t>
  </si>
  <si>
    <t>Marul</t>
  </si>
  <si>
    <t>Onion Chicky Burger</t>
  </si>
  <si>
    <t>Kaşık patates</t>
  </si>
  <si>
    <t>Chicky Özel Sos</t>
  </si>
  <si>
    <t>Burning Chicky Burger</t>
  </si>
  <si>
    <t>Jalapeno Biber</t>
  </si>
  <si>
    <t>Sriracha Mayo Sos</t>
  </si>
  <si>
    <t>Chili Chicky Burger</t>
  </si>
  <si>
    <t>Sweet Mayo</t>
  </si>
  <si>
    <t>Truffle Chicky Burger</t>
  </si>
  <si>
    <t>Basic Chicky Burger</t>
  </si>
  <si>
    <t>Turffle Chicky Burger Menü</t>
  </si>
  <si>
    <t>Basic Chicky Burger Menü</t>
  </si>
  <si>
    <t>Chili Chicky Burger Menü</t>
  </si>
  <si>
    <t>Onion Chicky Burger Menü</t>
  </si>
  <si>
    <t>Burning Chicky Burger Menü</t>
  </si>
  <si>
    <t xml:space="preserve"> GRAMAJ BAZLI ÜRÜN MALİYETLERİ</t>
  </si>
  <si>
    <t>Toplam Satış</t>
  </si>
  <si>
    <t>burgerator</t>
  </si>
  <si>
    <t>chicky crispy</t>
  </si>
  <si>
    <t>barbekü Sos</t>
  </si>
  <si>
    <t>Paket Sipariş</t>
  </si>
  <si>
    <t>Barbekü Sos</t>
  </si>
  <si>
    <t>personel izin</t>
  </si>
  <si>
    <t>Burger Başına Düşen Günlük Genel Gider Maliyeti</t>
  </si>
  <si>
    <t>1 BURGER
 Günlük Genel Gider Maliyeti</t>
  </si>
  <si>
    <t>Günlük Genel Gider Maliyeti</t>
  </si>
  <si>
    <t>Günlük Genel Gider Ortalam Maliyet</t>
  </si>
  <si>
    <t>1 burger günlük  genel gider maliyet</t>
  </si>
  <si>
    <t>toplam burger adedi</t>
  </si>
  <si>
    <t xml:space="preserve">    </t>
  </si>
  <si>
    <t xml:space="preserve"> BURGER 
Toplam 
Maliyet</t>
  </si>
  <si>
    <t>Aylıktan Bugünkü Genel Gider Maliyeti</t>
  </si>
  <si>
    <t>Bbq Burger Menü</t>
  </si>
  <si>
    <t>içeceler</t>
  </si>
  <si>
    <t xml:space="preserve"> Satılan Ortalama
 Burger  Maliyeti</t>
  </si>
  <si>
    <t>₺ 0</t>
  </si>
  <si>
    <t>bugün harcanan tutar</t>
  </si>
  <si>
    <t>ciro</t>
  </si>
  <si>
    <t>kazanç</t>
  </si>
  <si>
    <t>içececekler</t>
  </si>
  <si>
    <t>su</t>
  </si>
  <si>
    <t>ayran</t>
  </si>
  <si>
    <t>TARİH</t>
  </si>
  <si>
    <t>İNDİRİM</t>
  </si>
  <si>
    <t>BURGERATOR</t>
  </si>
  <si>
    <t>CHICKY CRISPY BURGER</t>
  </si>
  <si>
    <t>Bu Ay Yapılan Net Satış</t>
  </si>
  <si>
    <t>Toplam Maliyet</t>
  </si>
  <si>
    <t>Kar/Zarar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</si>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</sst>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8" formatCode="&quot;₺&quot;#,##0.00;[Red]\-&quot;₺&quot;#,##0.00"/>
    <numFmt numFmtId="164" formatCode="&quot;₺&quot;#,##0.00"/>
    <numFmt numFmtId="165" formatCode="&quot;₺&quot;#,##0.0000"/>
    <numFmt numFmtId="166" formatCode="#,##0\ &quot;₺&quot;"/>
    <numFmt numFmtId="167" formatCode="dd/mm/yy;@"/>
  </numFmts>
  <fonts count="4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6" tint="-0.499984740745262"/>
      <name val="Arial"/>
      <family val="2"/>
    </font>
    <font>
      <sz val="9"/>
      <color rgb="FF005B6B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b/>
      <sz val="11"/>
      <color rgb="FFFF0000"/>
      <name val="Arial"/>
      <family val="2"/>
      <charset val="162"/>
    </font>
    <font>
      <b/>
      <sz val="12"/>
      <color rgb="FFFF0000"/>
      <name val="Calibri"/>
      <family val="2"/>
      <charset val="162"/>
      <scheme val="minor"/>
    </font>
    <font>
      <sz val="11"/>
      <color rgb="FFFF0000"/>
      <name val="Arial"/>
      <family val="2"/>
    </font>
    <font>
      <sz val="11"/>
      <color rgb="FF7A7676"/>
      <name val="Open Sans"/>
      <family val="2"/>
    </font>
    <font>
      <b/>
      <sz val="12"/>
      <color rgb="FFFF0000"/>
      <name val="Calibri"/>
      <family val="2"/>
      <scheme val="minor"/>
    </font>
    <font>
      <sz val="12"/>
      <color theme="2" tint="-0.749961851863155"/>
      <name val="Cambria"/>
      <family val="1"/>
      <scheme val="major"/>
    </font>
    <font>
      <sz val="11"/>
      <color theme="2" tint="-0.749961851863155"/>
      <name val="Cambria"/>
      <family val="1"/>
      <scheme val="major"/>
    </font>
    <font>
      <sz val="11"/>
      <color theme="2" tint="-0.749961851863155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5"/>
      <color rgb="FF040C28"/>
      <name val="Arial"/>
      <family val="2"/>
      <charset val="162"/>
    </font>
    <font>
      <sz val="15"/>
      <color theme="1"/>
      <name val="Arial"/>
      <family val="2"/>
      <charset val="162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62"/>
      <scheme val="minor"/>
    </font>
    <font>
      <sz val="14"/>
      <color rgb="FFFF0000"/>
      <name val="Calibri"/>
      <family val="2"/>
      <scheme val="minor"/>
    </font>
    <font>
      <sz val="11"/>
      <color theme="1"/>
      <name val="Century Gothic"/>
      <family val="2"/>
      <charset val="162"/>
    </font>
    <font>
      <b/>
      <sz val="12"/>
      <color rgb="FF00B050"/>
      <name val="Calibri"/>
      <family val="2"/>
      <charset val="16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00B050"/>
      <name val="Calibri"/>
      <family val="2"/>
      <scheme val="minor"/>
    </font>
    <font>
      <sz val="18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3" tint="0.3999755851924192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3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8" fillId="0" borderId="0" applyNumberFormat="0" applyFill="0" applyBorder="0" applyAlignment="0" applyProtection="0"/>
    <xf numFmtId="0" fontId="19" fillId="0" borderId="0" applyFill="0" applyBorder="0" applyProtection="0">
      <alignment horizontal="left"/>
    </xf>
    <xf numFmtId="166" fontId="20" fillId="0" borderId="0" applyFill="0" applyBorder="0" applyProtection="0">
      <alignment horizontal="right"/>
    </xf>
    <xf numFmtId="0" fontId="30" fillId="0" borderId="0"/>
    <xf numFmtId="0" fontId="33" fillId="0" borderId="0"/>
  </cellStyleXfs>
  <cellXfs count="289">
    <xf numFmtId="0" fontId="0" fillId="0" borderId="0" xfId="0"/>
    <xf numFmtId="0" fontId="0" fillId="0" borderId="1" xfId="0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164" fontId="0" fillId="0" borderId="8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right" vertical="center"/>
    </xf>
    <xf numFmtId="164" fontId="8" fillId="3" borderId="1" xfId="0" applyNumberFormat="1" applyFont="1" applyFill="1" applyBorder="1" applyAlignment="1">
      <alignment horizontal="right" vertical="center"/>
    </xf>
    <xf numFmtId="0" fontId="8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right" vertical="center"/>
    </xf>
    <xf numFmtId="164" fontId="8" fillId="4" borderId="1" xfId="0" applyNumberFormat="1" applyFont="1" applyFill="1" applyBorder="1" applyAlignment="1">
      <alignment horizontal="right" vertical="center"/>
    </xf>
    <xf numFmtId="0" fontId="7" fillId="0" borderId="1" xfId="0" applyFont="1" applyBorder="1"/>
    <xf numFmtId="0" fontId="7" fillId="0" borderId="0" xfId="0" applyFont="1"/>
    <xf numFmtId="164" fontId="9" fillId="0" borderId="0" xfId="0" applyNumberFormat="1" applyFont="1"/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164" fontId="10" fillId="0" borderId="1" xfId="0" applyNumberFormat="1" applyFont="1" applyBorder="1" applyAlignment="1">
      <alignment horizontal="right" vertical="center"/>
    </xf>
    <xf numFmtId="4" fontId="11" fillId="0" borderId="1" xfId="0" applyNumberFormat="1" applyFont="1" applyBorder="1"/>
    <xf numFmtId="2" fontId="0" fillId="0" borderId="0" xfId="0" applyNumberFormat="1"/>
    <xf numFmtId="164" fontId="0" fillId="0" borderId="1" xfId="0" applyNumberFormat="1" applyBorder="1"/>
    <xf numFmtId="0" fontId="0" fillId="0" borderId="13" xfId="0" applyBorder="1"/>
    <xf numFmtId="164" fontId="0" fillId="0" borderId="13" xfId="0" applyNumberFormat="1" applyBorder="1"/>
    <xf numFmtId="0" fontId="2" fillId="0" borderId="14" xfId="0" applyFont="1" applyBorder="1" applyAlignment="1">
      <alignment horizontal="left" vertical="center"/>
    </xf>
    <xf numFmtId="0" fontId="12" fillId="0" borderId="0" xfId="0" applyFont="1"/>
    <xf numFmtId="164" fontId="12" fillId="0" borderId="0" xfId="0" applyNumberFormat="1" applyFont="1"/>
    <xf numFmtId="0" fontId="2" fillId="0" borderId="1" xfId="0" applyFont="1" applyBorder="1" applyAlignment="1">
      <alignment horizontal="right" vertical="center"/>
    </xf>
    <xf numFmtId="164" fontId="7" fillId="0" borderId="0" xfId="0" applyNumberFormat="1" applyFont="1" applyAlignment="1">
      <alignment horizontal="center"/>
    </xf>
    <xf numFmtId="0" fontId="0" fillId="5" borderId="0" xfId="0" applyFill="1"/>
    <xf numFmtId="1" fontId="0" fillId="0" borderId="0" xfId="0" applyNumberFormat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164" fontId="14" fillId="6" borderId="0" xfId="0" applyNumberFormat="1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6" xfId="0" applyNumberForma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2" fillId="0" borderId="1" xfId="0" applyFont="1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164" fontId="7" fillId="0" borderId="0" xfId="0" applyNumberFormat="1" applyFont="1"/>
    <xf numFmtId="0" fontId="16" fillId="0" borderId="0" xfId="0" applyFont="1"/>
    <xf numFmtId="0" fontId="0" fillId="0" borderId="1" xfId="0" applyBorder="1" applyAlignment="1">
      <alignment horizontal="left"/>
    </xf>
    <xf numFmtId="165" fontId="12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/>
    <xf numFmtId="164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164" fontId="1" fillId="0" borderId="8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/>
    </xf>
    <xf numFmtId="0" fontId="21" fillId="0" borderId="0" xfId="0" applyFont="1"/>
    <xf numFmtId="0" fontId="22" fillId="0" borderId="0" xfId="0" applyFont="1"/>
    <xf numFmtId="14" fontId="22" fillId="0" borderId="0" xfId="0" applyNumberFormat="1" applyFont="1"/>
    <xf numFmtId="0" fontId="22" fillId="0" borderId="17" xfId="0" applyFont="1" applyBorder="1" applyAlignment="1">
      <alignment horizontal="center" vertical="center"/>
    </xf>
    <xf numFmtId="0" fontId="22" fillId="0" borderId="3" xfId="0" applyFont="1" applyBorder="1" applyAlignment="1">
      <alignment horizontal="left"/>
    </xf>
    <xf numFmtId="0" fontId="22" fillId="0" borderId="4" xfId="0" applyFont="1" applyBorder="1" applyAlignment="1">
      <alignment horizontal="center"/>
    </xf>
    <xf numFmtId="0" fontId="22" fillId="0" borderId="18" xfId="0" applyFont="1" applyBorder="1" applyAlignment="1">
      <alignment horizontal="center" vertical="center"/>
    </xf>
    <xf numFmtId="0" fontId="22" fillId="0" borderId="1" xfId="0" applyFont="1" applyBorder="1" applyAlignment="1">
      <alignment horizontal="left"/>
    </xf>
    <xf numFmtId="0" fontId="22" fillId="0" borderId="6" xfId="0" applyFont="1" applyBorder="1" applyAlignment="1">
      <alignment horizontal="center"/>
    </xf>
    <xf numFmtId="0" fontId="22" fillId="0" borderId="19" xfId="0" applyFont="1" applyBorder="1" applyAlignment="1">
      <alignment horizontal="center" vertical="center"/>
    </xf>
    <xf numFmtId="0" fontId="22" fillId="0" borderId="8" xfId="0" applyFont="1" applyBorder="1" applyAlignment="1">
      <alignment horizontal="left"/>
    </xf>
    <xf numFmtId="0" fontId="22" fillId="0" borderId="9" xfId="0" applyFont="1" applyBorder="1" applyAlignment="1">
      <alignment horizontal="center"/>
    </xf>
    <xf numFmtId="0" fontId="22" fillId="0" borderId="10" xfId="0" applyFont="1" applyBorder="1"/>
    <xf numFmtId="0" fontId="22" fillId="0" borderId="12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2" fillId="0" borderId="16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2" fillId="0" borderId="6" xfId="0" applyFont="1" applyBorder="1"/>
    <xf numFmtId="0" fontId="22" fillId="0" borderId="7" xfId="0" applyFont="1" applyBorder="1" applyAlignment="1">
      <alignment horizontal="center"/>
    </xf>
    <xf numFmtId="0" fontId="22" fillId="0" borderId="9" xfId="0" applyFont="1" applyBorder="1"/>
    <xf numFmtId="0" fontId="22" fillId="0" borderId="0" xfId="0" applyFont="1" applyAlignment="1">
      <alignment horizontal="left"/>
    </xf>
    <xf numFmtId="164" fontId="7" fillId="8" borderId="1" xfId="0" applyNumberFormat="1" applyFont="1" applyFill="1" applyBorder="1" applyAlignment="1">
      <alignment horizontal="center" vertical="center"/>
    </xf>
    <xf numFmtId="164" fontId="20" fillId="0" borderId="1" xfId="3" applyNumberFormat="1" applyBorder="1" applyAlignment="1">
      <alignment horizontal="center" vertical="center"/>
    </xf>
    <xf numFmtId="164" fontId="20" fillId="0" borderId="0" xfId="3" applyNumberFormat="1" applyBorder="1" applyAlignment="1">
      <alignment horizontal="center" vertical="center"/>
    </xf>
    <xf numFmtId="4" fontId="0" fillId="0" borderId="0" xfId="0" applyNumberFormat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5" xfId="0" applyFill="1" applyBorder="1"/>
    <xf numFmtId="0" fontId="0" fillId="5" borderId="7" xfId="0" applyFill="1" applyBorder="1" applyAlignment="1">
      <alignment horizontal="left"/>
    </xf>
    <xf numFmtId="4" fontId="0" fillId="5" borderId="1" xfId="0" applyNumberFormat="1" applyFill="1" applyBorder="1" applyAlignment="1">
      <alignment horizontal="center" vertical="center"/>
    </xf>
    <xf numFmtId="4" fontId="0" fillId="5" borderId="8" xfId="0" applyNumberFormat="1" applyFill="1" applyBorder="1" applyAlignment="1">
      <alignment horizontal="center" vertical="center"/>
    </xf>
    <xf numFmtId="4" fontId="0" fillId="5" borderId="6" xfId="0" applyNumberFormat="1" applyFill="1" applyBorder="1" applyAlignment="1">
      <alignment horizontal="center" vertical="center"/>
    </xf>
    <xf numFmtId="4" fontId="0" fillId="5" borderId="9" xfId="0" applyNumberFormat="1" applyFill="1" applyBorder="1" applyAlignment="1">
      <alignment horizontal="center" vertical="center"/>
    </xf>
    <xf numFmtId="0" fontId="24" fillId="5" borderId="1" xfId="0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5" xfId="0" applyFont="1" applyFill="1" applyBorder="1" applyAlignment="1">
      <alignment horizontal="center"/>
    </xf>
    <xf numFmtId="0" fontId="25" fillId="0" borderId="0" xfId="0" applyFont="1"/>
    <xf numFmtId="0" fontId="12" fillId="6" borderId="1" xfId="0" applyFont="1" applyFill="1" applyBorder="1"/>
    <xf numFmtId="0" fontId="17" fillId="7" borderId="1" xfId="0" applyFont="1" applyFill="1" applyBorder="1" applyAlignment="1">
      <alignment horizontal="left"/>
    </xf>
    <xf numFmtId="0" fontId="17" fillId="7" borderId="1" xfId="0" applyFont="1" applyFill="1" applyBorder="1"/>
    <xf numFmtId="0" fontId="0" fillId="6" borderId="1" xfId="0" applyFill="1" applyBorder="1"/>
    <xf numFmtId="0" fontId="1" fillId="9" borderId="1" xfId="0" applyFont="1" applyFill="1" applyBorder="1" applyAlignment="1">
      <alignment horizontal="left" indent="1"/>
    </xf>
    <xf numFmtId="4" fontId="0" fillId="6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/>
    <xf numFmtId="0" fontId="1" fillId="9" borderId="1" xfId="0" applyFont="1" applyFill="1" applyBorder="1"/>
    <xf numFmtId="9" fontId="0" fillId="6" borderId="0" xfId="0" applyNumberFormat="1" applyFill="1" applyAlignment="1">
      <alignment horizontal="center" vertical="center"/>
    </xf>
    <xf numFmtId="166" fontId="18" fillId="0" borderId="0" xfId="1" applyNumberFormat="1" applyAlignment="1">
      <alignment horizontal="right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9" fontId="0" fillId="6" borderId="1" xfId="0" applyNumberFormat="1" applyFill="1" applyBorder="1" applyAlignment="1">
      <alignment horizontal="center" vertical="center"/>
    </xf>
    <xf numFmtId="10" fontId="26" fillId="6" borderId="1" xfId="0" applyNumberFormat="1" applyFont="1" applyFill="1" applyBorder="1" applyAlignment="1">
      <alignment horizontal="center" vertical="center"/>
    </xf>
    <xf numFmtId="164" fontId="1" fillId="10" borderId="1" xfId="0" applyNumberFormat="1" applyFont="1" applyFill="1" applyBorder="1" applyAlignment="1">
      <alignment horizontal="center" vertical="center" wrapText="1"/>
    </xf>
    <xf numFmtId="164" fontId="0" fillId="10" borderId="1" xfId="0" applyNumberFormat="1" applyFill="1" applyBorder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164" fontId="23" fillId="11" borderId="1" xfId="0" applyNumberFormat="1" applyFont="1" applyFill="1" applyBorder="1" applyAlignment="1">
      <alignment horizontal="center" vertical="center" wrapText="1"/>
    </xf>
    <xf numFmtId="164" fontId="7" fillId="11" borderId="1" xfId="0" applyNumberFormat="1" applyFont="1" applyFill="1" applyBorder="1" applyAlignment="1">
      <alignment horizontal="center" vertical="center"/>
    </xf>
    <xf numFmtId="164" fontId="0" fillId="11" borderId="0" xfId="0" applyNumberFormat="1" applyFill="1" applyAlignment="1">
      <alignment horizontal="center" vertical="center"/>
    </xf>
    <xf numFmtId="167" fontId="0" fillId="0" borderId="0" xfId="0" applyNumberFormat="1"/>
    <xf numFmtId="167" fontId="0" fillId="0" borderId="1" xfId="0" applyNumberFormat="1" applyBorder="1"/>
    <xf numFmtId="0" fontId="21" fillId="0" borderId="0" xfId="0" applyFont="1" applyAlignment="1">
      <alignment horizontal="center"/>
    </xf>
    <xf numFmtId="4" fontId="0" fillId="0" borderId="0" xfId="0" applyNumberFormat="1" applyAlignment="1">
      <alignment horizontal="center" vertical="center"/>
    </xf>
    <xf numFmtId="164" fontId="1" fillId="11" borderId="1" xfId="0" applyNumberFormat="1" applyFont="1" applyFill="1" applyBorder="1" applyAlignment="1">
      <alignment horizontal="center" vertical="center" wrapText="1"/>
    </xf>
    <xf numFmtId="164" fontId="0" fillId="11" borderId="1" xfId="0" applyNumberFormat="1" applyFill="1" applyBorder="1" applyAlignment="1">
      <alignment horizontal="center" vertical="center"/>
    </xf>
    <xf numFmtId="10" fontId="26" fillId="6" borderId="0" xfId="0" applyNumberFormat="1" applyFont="1" applyFill="1" applyAlignment="1">
      <alignment horizontal="center" vertical="center"/>
    </xf>
    <xf numFmtId="4" fontId="0" fillId="10" borderId="0" xfId="0" applyNumberFormat="1" applyFill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164" fontId="0" fillId="0" borderId="22" xfId="0" applyNumberFormat="1" applyBorder="1" applyAlignment="1">
      <alignment horizontal="center" vertical="center"/>
    </xf>
    <xf numFmtId="164" fontId="7" fillId="8" borderId="22" xfId="0" applyNumberFormat="1" applyFont="1" applyFill="1" applyBorder="1" applyAlignment="1">
      <alignment horizontal="center" vertical="center"/>
    </xf>
    <xf numFmtId="0" fontId="22" fillId="6" borderId="0" xfId="0" applyFont="1" applyFill="1"/>
    <xf numFmtId="164" fontId="22" fillId="6" borderId="0" xfId="0" applyNumberFormat="1" applyFont="1" applyFill="1" applyProtection="1">
      <protection locked="0"/>
    </xf>
    <xf numFmtId="164" fontId="22" fillId="6" borderId="0" xfId="0" applyNumberFormat="1" applyFont="1" applyFill="1"/>
    <xf numFmtId="3" fontId="0" fillId="0" borderId="1" xfId="0" applyNumberFormat="1" applyBorder="1" applyAlignment="1">
      <alignment horizontal="center" vertical="center"/>
    </xf>
    <xf numFmtId="4" fontId="0" fillId="11" borderId="1" xfId="0" applyNumberFormat="1" applyFill="1" applyBorder="1" applyAlignment="1">
      <alignment horizontal="center"/>
    </xf>
    <xf numFmtId="8" fontId="1" fillId="0" borderId="0" xfId="0" applyNumberFormat="1" applyFont="1"/>
    <xf numFmtId="164" fontId="27" fillId="0" borderId="0" xfId="0" applyNumberFormat="1" applyFont="1" applyAlignment="1">
      <alignment horizontal="center" vertical="center"/>
    </xf>
    <xf numFmtId="164" fontId="27" fillId="0" borderId="1" xfId="0" applyNumberFormat="1" applyFont="1" applyBorder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16" fontId="0" fillId="0" borderId="0" xfId="0" applyNumberFormat="1"/>
    <xf numFmtId="0" fontId="22" fillId="0" borderId="0" xfId="0" applyFont="1" applyAlignment="1">
      <alignment horizontal="center"/>
    </xf>
    <xf numFmtId="0" fontId="30" fillId="0" borderId="0" xfId="4"/>
    <xf numFmtId="0" fontId="31" fillId="0" borderId="1" xfId="4" applyFont="1" applyBorder="1" applyAlignment="1">
      <alignment horizontal="center"/>
    </xf>
    <xf numFmtId="0" fontId="29" fillId="0" borderId="1" xfId="4" applyFont="1" applyBorder="1" applyAlignment="1">
      <alignment horizontal="center"/>
    </xf>
    <xf numFmtId="164" fontId="29" fillId="0" borderId="1" xfId="4" applyNumberFormat="1" applyFont="1" applyBorder="1" applyAlignment="1">
      <alignment horizontal="center"/>
    </xf>
    <xf numFmtId="164" fontId="29" fillId="0" borderId="1" xfId="4" applyNumberFormat="1" applyFont="1" applyBorder="1" applyAlignment="1">
      <alignment horizontal="center" vertical="center"/>
    </xf>
    <xf numFmtId="0" fontId="30" fillId="0" borderId="1" xfId="4" applyBorder="1" applyAlignment="1">
      <alignment horizontal="left"/>
    </xf>
    <xf numFmtId="164" fontId="30" fillId="0" borderId="1" xfId="4" applyNumberFormat="1" applyBorder="1" applyAlignment="1">
      <alignment horizontal="left"/>
    </xf>
    <xf numFmtId="0" fontId="8" fillId="0" borderId="0" xfId="4" applyFont="1" applyAlignment="1">
      <alignment horizontal="left"/>
    </xf>
    <xf numFmtId="0" fontId="30" fillId="0" borderId="0" xfId="4" applyAlignment="1">
      <alignment horizontal="left"/>
    </xf>
    <xf numFmtId="164" fontId="30" fillId="0" borderId="0" xfId="4" applyNumberFormat="1" applyAlignment="1">
      <alignment horizontal="left"/>
    </xf>
    <xf numFmtId="164" fontId="30" fillId="0" borderId="0" xfId="4" applyNumberFormat="1" applyAlignment="1">
      <alignment horizontal="center" vertical="center"/>
    </xf>
    <xf numFmtId="164" fontId="8" fillId="0" borderId="1" xfId="4" applyNumberFormat="1" applyFont="1" applyBorder="1" applyAlignment="1">
      <alignment vertical="center"/>
    </xf>
    <xf numFmtId="0" fontId="32" fillId="0" borderId="0" xfId="0" applyFont="1" applyAlignment="1">
      <alignment horizontal="center" vertical="center"/>
    </xf>
    <xf numFmtId="8" fontId="32" fillId="0" borderId="0" xfId="0" applyNumberFormat="1" applyFont="1" applyAlignment="1">
      <alignment horizontal="center" vertical="center"/>
    </xf>
    <xf numFmtId="164" fontId="8" fillId="0" borderId="24" xfId="4" applyNumberFormat="1" applyFont="1" applyBorder="1" applyAlignment="1">
      <alignment vertical="center"/>
    </xf>
    <xf numFmtId="164" fontId="8" fillId="0" borderId="14" xfId="4" applyNumberFormat="1" applyFont="1" applyBorder="1" applyAlignment="1">
      <alignment vertical="center"/>
    </xf>
    <xf numFmtId="164" fontId="8" fillId="0" borderId="23" xfId="4" applyNumberFormat="1" applyFont="1" applyBorder="1" applyAlignment="1">
      <alignment vertical="center"/>
    </xf>
    <xf numFmtId="164" fontId="0" fillId="0" borderId="1" xfId="0" applyNumberForma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164" fontId="1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4" fontId="0" fillId="12" borderId="1" xfId="0" applyNumberFormat="1" applyFill="1" applyBorder="1" applyAlignment="1">
      <alignment horizontal="center" vertical="center"/>
    </xf>
    <xf numFmtId="164" fontId="7" fillId="11" borderId="0" xfId="0" applyNumberFormat="1" applyFont="1" applyFill="1" applyAlignment="1">
      <alignment horizontal="center" vertical="center"/>
    </xf>
    <xf numFmtId="0" fontId="21" fillId="0" borderId="27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/>
    </xf>
    <xf numFmtId="0" fontId="34" fillId="13" borderId="26" xfId="0" applyFont="1" applyFill="1" applyBorder="1" applyAlignment="1">
      <alignment horizontal="center" vertical="center"/>
    </xf>
    <xf numFmtId="0" fontId="14" fillId="0" borderId="26" xfId="0" applyFont="1" applyBorder="1" applyAlignment="1">
      <alignment horizontal="center" vertical="center" wrapText="1"/>
    </xf>
    <xf numFmtId="164" fontId="35" fillId="0" borderId="26" xfId="0" applyNumberFormat="1" applyFont="1" applyBorder="1" applyAlignment="1">
      <alignment horizontal="center" vertical="center"/>
    </xf>
    <xf numFmtId="164" fontId="36" fillId="0" borderId="26" xfId="0" applyNumberFormat="1" applyFont="1" applyBorder="1" applyAlignment="1">
      <alignment horizontal="center" vertical="center"/>
    </xf>
    <xf numFmtId="164" fontId="37" fillId="13" borderId="26" xfId="0" applyNumberFormat="1" applyFont="1" applyFill="1" applyBorder="1" applyAlignment="1">
      <alignment horizontal="center" vertical="center"/>
    </xf>
    <xf numFmtId="3" fontId="35" fillId="0" borderId="26" xfId="0" applyNumberFormat="1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164" fontId="35" fillId="10" borderId="0" xfId="0" applyNumberFormat="1" applyFont="1" applyFill="1" applyAlignment="1">
      <alignment horizontal="center" vertical="center"/>
    </xf>
    <xf numFmtId="164" fontId="35" fillId="11" borderId="0" xfId="0" applyNumberFormat="1" applyFont="1" applyFill="1" applyAlignment="1">
      <alignment horizontal="center" vertical="center"/>
    </xf>
    <xf numFmtId="164" fontId="35" fillId="0" borderId="0" xfId="0" applyNumberFormat="1" applyFont="1" applyAlignment="1">
      <alignment horizontal="center" vertical="center"/>
    </xf>
    <xf numFmtId="9" fontId="35" fillId="6" borderId="0" xfId="0" applyNumberFormat="1" applyFont="1" applyFill="1" applyAlignment="1">
      <alignment horizontal="center" vertical="center"/>
    </xf>
    <xf numFmtId="0" fontId="35" fillId="0" borderId="0" xfId="0" applyFont="1"/>
    <xf numFmtId="0" fontId="0" fillId="0" borderId="26" xfId="0" applyBorder="1" applyAlignment="1">
      <alignment horizontal="center" vertical="center" wrapText="1"/>
    </xf>
    <xf numFmtId="14" fontId="35" fillId="0" borderId="26" xfId="0" applyNumberFormat="1" applyFont="1" applyBorder="1" applyAlignment="1">
      <alignment horizontal="center" vertical="center"/>
    </xf>
    <xf numFmtId="0" fontId="21" fillId="5" borderId="26" xfId="0" applyFont="1" applyFill="1" applyBorder="1" applyAlignment="1">
      <alignment horizontal="center" vertical="center" wrapText="1"/>
    </xf>
    <xf numFmtId="0" fontId="21" fillId="5" borderId="26" xfId="0" applyFont="1" applyFill="1" applyBorder="1" applyAlignment="1">
      <alignment horizontal="center" vertical="center"/>
    </xf>
    <xf numFmtId="164" fontId="35" fillId="5" borderId="26" xfId="0" applyNumberFormat="1" applyFont="1" applyFill="1" applyBorder="1" applyAlignment="1">
      <alignment horizontal="center" vertical="center"/>
    </xf>
    <xf numFmtId="0" fontId="21" fillId="11" borderId="26" xfId="0" applyFont="1" applyFill="1" applyBorder="1" applyAlignment="1">
      <alignment horizontal="center" vertical="center" wrapText="1"/>
    </xf>
    <xf numFmtId="0" fontId="14" fillId="11" borderId="26" xfId="0" applyFont="1" applyFill="1" applyBorder="1" applyAlignment="1">
      <alignment horizontal="center" vertical="center" wrapText="1"/>
    </xf>
    <xf numFmtId="0" fontId="21" fillId="11" borderId="26" xfId="0" applyFont="1" applyFill="1" applyBorder="1" applyAlignment="1">
      <alignment horizontal="center" vertical="center"/>
    </xf>
    <xf numFmtId="0" fontId="34" fillId="11" borderId="26" xfId="0" applyFont="1" applyFill="1" applyBorder="1" applyAlignment="1">
      <alignment horizontal="center" vertical="center"/>
    </xf>
    <xf numFmtId="164" fontId="35" fillId="11" borderId="26" xfId="0" applyNumberFormat="1" applyFont="1" applyFill="1" applyBorder="1" applyAlignment="1">
      <alignment horizontal="center" vertical="center"/>
    </xf>
    <xf numFmtId="164" fontId="36" fillId="11" borderId="26" xfId="0" applyNumberFormat="1" applyFont="1" applyFill="1" applyBorder="1" applyAlignment="1">
      <alignment horizontal="center" vertical="center"/>
    </xf>
    <xf numFmtId="164" fontId="37" fillId="11" borderId="26" xfId="0" applyNumberFormat="1" applyFon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left" vertical="center"/>
    </xf>
    <xf numFmtId="164" fontId="40" fillId="10" borderId="0" xfId="0" applyNumberFormat="1" applyFont="1" applyFill="1" applyAlignment="1">
      <alignment horizontal="center" vertical="center" wrapText="1"/>
    </xf>
    <xf numFmtId="164" fontId="37" fillId="10" borderId="0" xfId="0" applyNumberFormat="1" applyFont="1" applyFill="1" applyAlignment="1">
      <alignment horizontal="center" vertical="center"/>
    </xf>
    <xf numFmtId="0" fontId="21" fillId="11" borderId="27" xfId="0" applyFont="1" applyFill="1" applyBorder="1" applyAlignment="1">
      <alignment horizontal="center" vertical="center" wrapText="1"/>
    </xf>
    <xf numFmtId="3" fontId="35" fillId="11" borderId="26" xfId="0" applyNumberFormat="1" applyFont="1" applyFill="1" applyBorder="1" applyAlignment="1">
      <alignment horizontal="center" vertical="center"/>
    </xf>
    <xf numFmtId="164" fontId="30" fillId="5" borderId="1" xfId="4" applyNumberFormat="1" applyFill="1" applyBorder="1" applyAlignment="1">
      <alignment horizontal="center" vertical="center"/>
    </xf>
    <xf numFmtId="0" fontId="8" fillId="0" borderId="1" xfId="4" applyFont="1" applyBorder="1" applyAlignment="1">
      <alignment horizontal="left" vertical="center"/>
    </xf>
    <xf numFmtId="0" fontId="30" fillId="0" borderId="0" xfId="4" applyAlignment="1">
      <alignment horizontal="center" vertical="center"/>
    </xf>
    <xf numFmtId="164" fontId="30" fillId="0" borderId="0" xfId="4" applyNumberFormat="1" applyAlignment="1">
      <alignment horizontal="center"/>
    </xf>
    <xf numFmtId="0" fontId="30" fillId="0" borderId="1" xfId="4" applyBorder="1" applyAlignment="1">
      <alignment horizontal="center" vertical="center"/>
    </xf>
    <xf numFmtId="164" fontId="30" fillId="0" borderId="1" xfId="4" applyNumberForma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4" fontId="0" fillId="5" borderId="0" xfId="0" applyNumberFormat="1" applyFill="1" applyAlignment="1">
      <alignment horizontal="center" vertical="center"/>
    </xf>
    <xf numFmtId="164" fontId="7" fillId="8" borderId="0" xfId="0" applyNumberFormat="1" applyFont="1" applyFill="1" applyAlignment="1">
      <alignment horizontal="center" vertical="center"/>
    </xf>
    <xf numFmtId="0" fontId="0" fillId="0" borderId="22" xfId="0" applyBorder="1" applyAlignment="1">
      <alignment horizontal="center"/>
    </xf>
    <xf numFmtId="0" fontId="8" fillId="0" borderId="1" xfId="4" applyFont="1" applyBorder="1" applyAlignment="1">
      <alignment vertical="center"/>
    </xf>
    <xf numFmtId="0" fontId="0" fillId="0" borderId="14" xfId="0" applyBorder="1"/>
    <xf numFmtId="4" fontId="0" fillId="0" borderId="9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3" fontId="0" fillId="0" borderId="1" xfId="0" applyNumberFormat="1" applyBorder="1"/>
    <xf numFmtId="0" fontId="41" fillId="0" borderId="5" xfId="0" applyFont="1" applyBorder="1"/>
    <xf numFmtId="0" fontId="41" fillId="0" borderId="7" xfId="0" applyFont="1" applyBorder="1"/>
    <xf numFmtId="8" fontId="0" fillId="0" borderId="0" xfId="0" applyNumberFormat="1"/>
    <xf numFmtId="2" fontId="0" fillId="0" borderId="1" xfId="0" applyNumberFormat="1" applyBorder="1" applyAlignment="1">
      <alignment horizontal="center" vertical="center" wrapText="1"/>
    </xf>
    <xf numFmtId="2" fontId="0" fillId="0" borderId="22" xfId="0" applyNumberFormat="1" applyBorder="1" applyAlignment="1">
      <alignment horizontal="center" vertical="center" wrapText="1"/>
    </xf>
    <xf numFmtId="2" fontId="1" fillId="10" borderId="1" xfId="0" applyNumberFormat="1" applyFont="1" applyFill="1" applyBorder="1" applyAlignment="1">
      <alignment horizontal="center" vertical="center" wrapText="1"/>
    </xf>
    <xf numFmtId="2" fontId="1" fillId="11" borderId="1" xfId="0" applyNumberFormat="1" applyFont="1" applyFill="1" applyBorder="1" applyAlignment="1">
      <alignment horizontal="center" vertical="center" wrapText="1"/>
    </xf>
    <xf numFmtId="2" fontId="23" fillId="11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0" fillId="11" borderId="1" xfId="0" applyNumberFormat="1" applyFill="1" applyBorder="1" applyAlignment="1">
      <alignment horizontal="center" vertical="center"/>
    </xf>
    <xf numFmtId="2" fontId="7" fillId="11" borderId="1" xfId="0" applyNumberFormat="1" applyFont="1" applyFill="1" applyBorder="1" applyAlignment="1">
      <alignment horizontal="center" vertical="center"/>
    </xf>
    <xf numFmtId="2" fontId="20" fillId="0" borderId="1" xfId="3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22" xfId="0" applyBorder="1"/>
    <xf numFmtId="16" fontId="0" fillId="0" borderId="1" xfId="0" applyNumberFormat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5" xfId="0" applyNumberFormat="1" applyBorder="1" applyAlignment="1">
      <alignment horizontal="center"/>
    </xf>
    <xf numFmtId="164" fontId="0" fillId="10" borderId="7" xfId="0" applyNumberFormat="1" applyFill="1" applyBorder="1" applyAlignment="1">
      <alignment horizontal="center" vertical="center"/>
    </xf>
    <xf numFmtId="164" fontId="0" fillId="11" borderId="8" xfId="0" applyNumberFormat="1" applyFill="1" applyBorder="1" applyAlignment="1">
      <alignment horizontal="center" vertical="center"/>
    </xf>
    <xf numFmtId="164" fontId="0" fillId="10" borderId="8" xfId="0" applyNumberFormat="1" applyFill="1" applyBorder="1" applyAlignment="1">
      <alignment horizontal="center" vertical="center"/>
    </xf>
    <xf numFmtId="164" fontId="0" fillId="10" borderId="9" xfId="0" applyNumberFormat="1" applyFill="1" applyBorder="1" applyAlignment="1">
      <alignment horizontal="center" vertical="center"/>
    </xf>
    <xf numFmtId="167" fontId="12" fillId="5" borderId="2" xfId="0" applyNumberFormat="1" applyFont="1" applyFill="1" applyBorder="1"/>
    <xf numFmtId="0" fontId="12" fillId="5" borderId="3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left" vertical="center"/>
    </xf>
    <xf numFmtId="0" fontId="12" fillId="5" borderId="4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4" fillId="5" borderId="2" xfId="0" applyFont="1" applyFill="1" applyBorder="1" applyAlignment="1">
      <alignment horizontal="center"/>
    </xf>
    <xf numFmtId="0" fontId="24" fillId="5" borderId="3" xfId="0" applyFont="1" applyFill="1" applyBorder="1" applyAlignment="1">
      <alignment horizontal="center"/>
    </xf>
    <xf numFmtId="0" fontId="24" fillId="5" borderId="4" xfId="0" applyFont="1" applyFill="1" applyBorder="1" applyAlignment="1">
      <alignment horizontal="center"/>
    </xf>
    <xf numFmtId="0" fontId="8" fillId="0" borderId="1" xfId="4" applyFont="1" applyBorder="1" applyAlignment="1">
      <alignment horizontal="left" vertical="center"/>
    </xf>
    <xf numFmtId="164" fontId="30" fillId="0" borderId="25" xfId="4" applyNumberFormat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4" fontId="8" fillId="3" borderId="14" xfId="0" applyNumberFormat="1" applyFont="1" applyFill="1" applyBorder="1" applyAlignment="1">
      <alignment horizontal="center" vertical="center"/>
    </xf>
    <xf numFmtId="164" fontId="8" fillId="3" borderId="2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167" fontId="38" fillId="0" borderId="28" xfId="0" applyNumberFormat="1" applyFont="1" applyBorder="1" applyAlignment="1">
      <alignment horizontal="center"/>
    </xf>
    <xf numFmtId="164" fontId="39" fillId="0" borderId="29" xfId="0" applyNumberFormat="1" applyFont="1" applyBorder="1" applyAlignment="1">
      <alignment horizontal="center" vertical="center"/>
    </xf>
  </cellXfs>
  <cellStyles count="6">
    <cellStyle name="Cost" xfId="2" xr:uid="{00000000-0005-0000-0000-000001000000}"/>
    <cellStyle name="Cost Amount" xfId="3" xr:uid="{00000000-0005-0000-0000-000002000000}"/>
    <cellStyle name="Header" xfId="1" xr:uid="{00000000-0005-0000-0000-000003000000}"/>
    <cellStyle name="Normal" xfId="0" builtinId="0"/>
    <cellStyle name="Normal 2" xfId="4" xr:uid="{5EBF3346-2F0D-4AD9-A89E-1CDC54D405DE}"/>
    <cellStyle name="Normal 3" xfId="5" xr:uid="{7836654F-A56D-430F-A55A-8CC2F786BCD3}"/>
  </cellStyles>
  <dxfs count="19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ont>
        <color theme="3"/>
      </font>
      <border>
        <top style="double">
          <color theme="2" tint="-0.24994659260841701"/>
        </top>
      </border>
    </dxf>
    <dxf>
      <font>
        <color theme="3"/>
      </font>
      <border>
        <bottom style="double">
          <color theme="2" tint="-0.24994659260841701"/>
        </bottom>
      </border>
    </dxf>
    <dxf>
      <border>
        <horizontal style="thin">
          <color theme="2" tint="-0.24994659260841701"/>
        </horizontal>
      </border>
    </dxf>
  </dxfs>
  <tableStyles count="1" defaultTableStyle="TableStyleMedium9" defaultPivotStyle="PivotStyleMedium4">
    <tableStyle name="Breakeven Analysis" pivot="0" count="3" xr9:uid="{00000000-0011-0000-FFFF-FFFF00000000}">
      <tableStyleElement type="wholeTable" dxfId="18"/>
      <tableStyleElement type="headerRow" dxfId="17"/>
      <tableStyleElement type="totalRow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00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pt idx="12">
                <c:v>14</c:v>
              </c:pt>
              <c:pt idx="13">
                <c:v>15</c:v>
              </c:pt>
              <c:pt idx="14">
                <c:v>16</c:v>
              </c:pt>
              <c:pt idx="15">
                <c:v>17</c:v>
              </c:pt>
              <c:pt idx="16">
                <c:v>18</c:v>
              </c:pt>
              <c:pt idx="17">
                <c:v>19</c:v>
              </c:pt>
              <c:pt idx="18">
                <c:v>20</c:v>
              </c:pt>
              <c:pt idx="19">
                <c:v>21</c:v>
              </c:pt>
              <c:pt idx="20">
                <c:v>22</c:v>
              </c:pt>
              <c:pt idx="21">
                <c:v>23</c:v>
              </c:pt>
              <c:pt idx="22">
                <c:v>24</c:v>
              </c:pt>
              <c:pt idx="23">
                <c:v>25</c:v>
              </c:pt>
              <c:pt idx="24">
                <c:v>26</c:v>
              </c:pt>
              <c:pt idx="25">
                <c:v>27</c:v>
              </c:pt>
              <c:pt idx="26">
                <c:v>28</c:v>
              </c:pt>
              <c:pt idx="27">
                <c:v>29</c:v>
              </c:pt>
              <c:pt idx="28">
                <c:v>30</c:v>
              </c:pt>
              <c:pt idx="29">
                <c:v>31</c:v>
              </c:pt>
              <c:pt idx="30">
                <c:v>32</c:v>
              </c:pt>
              <c:pt idx="31">
                <c:v>33</c:v>
              </c:pt>
              <c:pt idx="32">
                <c:v>34</c:v>
              </c:pt>
              <c:pt idx="33">
                <c:v>35</c:v>
              </c:pt>
              <c:pt idx="34">
                <c:v>36</c:v>
              </c:pt>
              <c:pt idx="35">
                <c:v>37</c:v>
              </c:pt>
              <c:pt idx="36">
                <c:v>38</c:v>
              </c:pt>
              <c:pt idx="37">
                <c:v>39</c:v>
              </c:pt>
              <c:pt idx="38">
                <c:v>40</c:v>
              </c:pt>
              <c:pt idx="39">
                <c:v>41</c:v>
              </c:pt>
              <c:pt idx="40">
                <c:v>42</c:v>
              </c:pt>
              <c:pt idx="41">
                <c:v>43</c:v>
              </c:pt>
              <c:pt idx="42">
                <c:v>44</c:v>
              </c:pt>
              <c:pt idx="43">
                <c:v>45</c:v>
              </c:pt>
              <c:pt idx="44">
                <c:v>46</c:v>
              </c:pt>
              <c:pt idx="45">
                <c:v>47</c:v>
              </c:pt>
              <c:pt idx="46">
                <c:v>48</c:v>
              </c:pt>
              <c:pt idx="47">
                <c:v>49</c:v>
              </c:pt>
              <c:pt idx="48">
                <c:v>50</c:v>
              </c:pt>
              <c:pt idx="49">
                <c:v>51</c:v>
              </c:pt>
              <c:pt idx="50">
                <c:v>52</c:v>
              </c:pt>
              <c:pt idx="51">
                <c:v>53</c:v>
              </c:pt>
              <c:pt idx="52">
                <c:v>54</c:v>
              </c:pt>
              <c:pt idx="53">
                <c:v>55</c:v>
              </c:pt>
              <c:pt idx="54">
                <c:v>56</c:v>
              </c:pt>
              <c:pt idx="55">
                <c:v>57</c:v>
              </c:pt>
              <c:pt idx="56">
                <c:v>58</c:v>
              </c:pt>
              <c:pt idx="57">
                <c:v>59</c:v>
              </c:pt>
              <c:pt idx="58">
                <c:v>60</c:v>
              </c:pt>
              <c:pt idx="59">
                <c:v>61</c:v>
              </c:pt>
              <c:pt idx="60">
                <c:v>62</c:v>
              </c:pt>
              <c:pt idx="61">
                <c:v>63</c:v>
              </c:pt>
              <c:pt idx="62">
                <c:v>64</c:v>
              </c:pt>
              <c:pt idx="63">
                <c:v>65</c:v>
              </c:pt>
              <c:pt idx="64">
                <c:v>66</c:v>
              </c:pt>
              <c:pt idx="65">
                <c:v>67</c:v>
              </c:pt>
              <c:pt idx="66">
                <c:v>68</c:v>
              </c:pt>
              <c:pt idx="67">
                <c:v>69</c:v>
              </c:pt>
              <c:pt idx="68">
                <c:v>70</c:v>
              </c:pt>
              <c:pt idx="69">
                <c:v>71</c:v>
              </c:pt>
              <c:pt idx="70">
                <c:v>72</c:v>
              </c:pt>
              <c:pt idx="71">
                <c:v>73</c:v>
              </c:pt>
              <c:pt idx="72">
                <c:v>74</c:v>
              </c:pt>
              <c:pt idx="73">
                <c:v>75</c:v>
              </c:pt>
              <c:pt idx="74">
                <c:v>76</c:v>
              </c:pt>
              <c:pt idx="75">
                <c:v>77</c:v>
              </c:pt>
              <c:pt idx="76">
                <c:v>78</c:v>
              </c:pt>
              <c:pt idx="77">
                <c:v>79</c:v>
              </c:pt>
              <c:pt idx="78">
                <c:v>80</c:v>
              </c:pt>
              <c:pt idx="79">
                <c:v>81</c:v>
              </c:pt>
              <c:pt idx="80">
                <c:v>82</c:v>
              </c:pt>
              <c:pt idx="81">
                <c:v>83</c:v>
              </c:pt>
              <c:pt idx="82">
                <c:v>84</c:v>
              </c:pt>
              <c:pt idx="83">
                <c:v>85</c:v>
              </c:pt>
              <c:pt idx="84">
                <c:v>86</c:v>
              </c:pt>
              <c:pt idx="85">
                <c:v>87</c:v>
              </c:pt>
              <c:pt idx="86">
                <c:v>88</c:v>
              </c:pt>
              <c:pt idx="87">
                <c:v>89</c:v>
              </c:pt>
              <c:pt idx="88">
                <c:v>90</c:v>
              </c:pt>
              <c:pt idx="89">
                <c:v>91</c:v>
              </c:pt>
              <c:pt idx="90">
                <c:v>92</c:v>
              </c:pt>
              <c:pt idx="91">
                <c:v>93</c:v>
              </c:pt>
              <c:pt idx="92">
                <c:v>94</c:v>
              </c:pt>
              <c:pt idx="93">
                <c:v>95</c:v>
              </c:pt>
              <c:pt idx="94">
                <c:v>96</c:v>
              </c:pt>
              <c:pt idx="95">
                <c:v>97</c:v>
              </c:pt>
              <c:pt idx="96">
                <c:v>98</c:v>
              </c:pt>
              <c:pt idx="97">
                <c:v>99</c:v>
              </c:pt>
              <c:pt idx="98">
                <c:v>100</c:v>
              </c:pt>
              <c:pt idx="99">
                <c:v>101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data!$O$171:$O$271</c15:sqref>
                  </c15:fullRef>
                </c:ext>
              </c:extLst>
              <c:f>data!$O$172:$O$271</c:f>
              <c:numCache>
                <c:formatCode>0</c:formatCode>
                <c:ptCount val="1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E9-492D-9ECC-ED31516895C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100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pt idx="12">
                <c:v>14</c:v>
              </c:pt>
              <c:pt idx="13">
                <c:v>15</c:v>
              </c:pt>
              <c:pt idx="14">
                <c:v>16</c:v>
              </c:pt>
              <c:pt idx="15">
                <c:v>17</c:v>
              </c:pt>
              <c:pt idx="16">
                <c:v>18</c:v>
              </c:pt>
              <c:pt idx="17">
                <c:v>19</c:v>
              </c:pt>
              <c:pt idx="18">
                <c:v>20</c:v>
              </c:pt>
              <c:pt idx="19">
                <c:v>21</c:v>
              </c:pt>
              <c:pt idx="20">
                <c:v>22</c:v>
              </c:pt>
              <c:pt idx="21">
                <c:v>23</c:v>
              </c:pt>
              <c:pt idx="22">
                <c:v>24</c:v>
              </c:pt>
              <c:pt idx="23">
                <c:v>25</c:v>
              </c:pt>
              <c:pt idx="24">
                <c:v>26</c:v>
              </c:pt>
              <c:pt idx="25">
                <c:v>27</c:v>
              </c:pt>
              <c:pt idx="26">
                <c:v>28</c:v>
              </c:pt>
              <c:pt idx="27">
                <c:v>29</c:v>
              </c:pt>
              <c:pt idx="28">
                <c:v>30</c:v>
              </c:pt>
              <c:pt idx="29">
                <c:v>31</c:v>
              </c:pt>
              <c:pt idx="30">
                <c:v>32</c:v>
              </c:pt>
              <c:pt idx="31">
                <c:v>33</c:v>
              </c:pt>
              <c:pt idx="32">
                <c:v>34</c:v>
              </c:pt>
              <c:pt idx="33">
                <c:v>35</c:v>
              </c:pt>
              <c:pt idx="34">
                <c:v>36</c:v>
              </c:pt>
              <c:pt idx="35">
                <c:v>37</c:v>
              </c:pt>
              <c:pt idx="36">
                <c:v>38</c:v>
              </c:pt>
              <c:pt idx="37">
                <c:v>39</c:v>
              </c:pt>
              <c:pt idx="38">
                <c:v>40</c:v>
              </c:pt>
              <c:pt idx="39">
                <c:v>41</c:v>
              </c:pt>
              <c:pt idx="40">
                <c:v>42</c:v>
              </c:pt>
              <c:pt idx="41">
                <c:v>43</c:v>
              </c:pt>
              <c:pt idx="42">
                <c:v>44</c:v>
              </c:pt>
              <c:pt idx="43">
                <c:v>45</c:v>
              </c:pt>
              <c:pt idx="44">
                <c:v>46</c:v>
              </c:pt>
              <c:pt idx="45">
                <c:v>47</c:v>
              </c:pt>
              <c:pt idx="46">
                <c:v>48</c:v>
              </c:pt>
              <c:pt idx="47">
                <c:v>49</c:v>
              </c:pt>
              <c:pt idx="48">
                <c:v>50</c:v>
              </c:pt>
              <c:pt idx="49">
                <c:v>51</c:v>
              </c:pt>
              <c:pt idx="50">
                <c:v>52</c:v>
              </c:pt>
              <c:pt idx="51">
                <c:v>53</c:v>
              </c:pt>
              <c:pt idx="52">
                <c:v>54</c:v>
              </c:pt>
              <c:pt idx="53">
                <c:v>55</c:v>
              </c:pt>
              <c:pt idx="54">
                <c:v>56</c:v>
              </c:pt>
              <c:pt idx="55">
                <c:v>57</c:v>
              </c:pt>
              <c:pt idx="56">
                <c:v>58</c:v>
              </c:pt>
              <c:pt idx="57">
                <c:v>59</c:v>
              </c:pt>
              <c:pt idx="58">
                <c:v>60</c:v>
              </c:pt>
              <c:pt idx="59">
                <c:v>61</c:v>
              </c:pt>
              <c:pt idx="60">
                <c:v>62</c:v>
              </c:pt>
              <c:pt idx="61">
                <c:v>63</c:v>
              </c:pt>
              <c:pt idx="62">
                <c:v>64</c:v>
              </c:pt>
              <c:pt idx="63">
                <c:v>65</c:v>
              </c:pt>
              <c:pt idx="64">
                <c:v>66</c:v>
              </c:pt>
              <c:pt idx="65">
                <c:v>67</c:v>
              </c:pt>
              <c:pt idx="66">
                <c:v>68</c:v>
              </c:pt>
              <c:pt idx="67">
                <c:v>69</c:v>
              </c:pt>
              <c:pt idx="68">
                <c:v>70</c:v>
              </c:pt>
              <c:pt idx="69">
                <c:v>71</c:v>
              </c:pt>
              <c:pt idx="70">
                <c:v>72</c:v>
              </c:pt>
              <c:pt idx="71">
                <c:v>73</c:v>
              </c:pt>
              <c:pt idx="72">
                <c:v>74</c:v>
              </c:pt>
              <c:pt idx="73">
                <c:v>75</c:v>
              </c:pt>
              <c:pt idx="74">
                <c:v>76</c:v>
              </c:pt>
              <c:pt idx="75">
                <c:v>77</c:v>
              </c:pt>
              <c:pt idx="76">
                <c:v>78</c:v>
              </c:pt>
              <c:pt idx="77">
                <c:v>79</c:v>
              </c:pt>
              <c:pt idx="78">
                <c:v>80</c:v>
              </c:pt>
              <c:pt idx="79">
                <c:v>81</c:v>
              </c:pt>
              <c:pt idx="80">
                <c:v>82</c:v>
              </c:pt>
              <c:pt idx="81">
                <c:v>83</c:v>
              </c:pt>
              <c:pt idx="82">
                <c:v>84</c:v>
              </c:pt>
              <c:pt idx="83">
                <c:v>85</c:v>
              </c:pt>
              <c:pt idx="84">
                <c:v>86</c:v>
              </c:pt>
              <c:pt idx="85">
                <c:v>87</c:v>
              </c:pt>
              <c:pt idx="86">
                <c:v>88</c:v>
              </c:pt>
              <c:pt idx="87">
                <c:v>89</c:v>
              </c:pt>
              <c:pt idx="88">
                <c:v>90</c:v>
              </c:pt>
              <c:pt idx="89">
                <c:v>91</c:v>
              </c:pt>
              <c:pt idx="90">
                <c:v>92</c:v>
              </c:pt>
              <c:pt idx="91">
                <c:v>93</c:v>
              </c:pt>
              <c:pt idx="92">
                <c:v>94</c:v>
              </c:pt>
              <c:pt idx="93">
                <c:v>95</c:v>
              </c:pt>
              <c:pt idx="94">
                <c:v>96</c:v>
              </c:pt>
              <c:pt idx="95">
                <c:v>97</c:v>
              </c:pt>
              <c:pt idx="96">
                <c:v>98</c:v>
              </c:pt>
              <c:pt idx="97">
                <c:v>99</c:v>
              </c:pt>
              <c:pt idx="98">
                <c:v>100</c:v>
              </c:pt>
              <c:pt idx="99">
                <c:v>101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data!$P$171:$P$271</c15:sqref>
                  </c15:fullRef>
                </c:ext>
              </c:extLst>
              <c:f>data!$P$172:$P$271</c:f>
              <c:numCache>
                <c:formatCode>"₺"#,##0.00</c:formatCode>
                <c:ptCount val="100"/>
                <c:pt idx="0">
                  <c:v>32396.256594163846</c:v>
                </c:pt>
                <c:pt idx="1">
                  <c:v>33825.84652166102</c:v>
                </c:pt>
                <c:pt idx="2">
                  <c:v>35255.436449158202</c:v>
                </c:pt>
                <c:pt idx="3">
                  <c:v>36685.026376655384</c:v>
                </c:pt>
                <c:pt idx="4">
                  <c:v>38114.616304152558</c:v>
                </c:pt>
                <c:pt idx="5">
                  <c:v>39544.206231649732</c:v>
                </c:pt>
                <c:pt idx="6">
                  <c:v>40973.796159146914</c:v>
                </c:pt>
                <c:pt idx="7">
                  <c:v>42403.386086644095</c:v>
                </c:pt>
                <c:pt idx="8">
                  <c:v>43832.97601414127</c:v>
                </c:pt>
                <c:pt idx="9">
                  <c:v>45262.565941638444</c:v>
                </c:pt>
                <c:pt idx="10">
                  <c:v>46692.155869135626</c:v>
                </c:pt>
                <c:pt idx="11">
                  <c:v>48121.745796632807</c:v>
                </c:pt>
                <c:pt idx="12">
                  <c:v>49551.335724129982</c:v>
                </c:pt>
                <c:pt idx="13">
                  <c:v>50980.925651627156</c:v>
                </c:pt>
                <c:pt idx="14">
                  <c:v>52410.515579124338</c:v>
                </c:pt>
                <c:pt idx="15">
                  <c:v>53840.105506621519</c:v>
                </c:pt>
                <c:pt idx="16">
                  <c:v>55269.695434118694</c:v>
                </c:pt>
                <c:pt idx="17">
                  <c:v>56699.285361615868</c:v>
                </c:pt>
                <c:pt idx="18">
                  <c:v>58128.87528911305</c:v>
                </c:pt>
                <c:pt idx="19">
                  <c:v>59558.465216610231</c:v>
                </c:pt>
                <c:pt idx="20">
                  <c:v>60988.055144107406</c:v>
                </c:pt>
                <c:pt idx="21">
                  <c:v>62417.64507160458</c:v>
                </c:pt>
                <c:pt idx="22">
                  <c:v>63847.234999101755</c:v>
                </c:pt>
                <c:pt idx="23">
                  <c:v>65276.824926598943</c:v>
                </c:pt>
                <c:pt idx="24">
                  <c:v>66706.414854096118</c:v>
                </c:pt>
                <c:pt idx="25">
                  <c:v>68136.004781593292</c:v>
                </c:pt>
                <c:pt idx="26">
                  <c:v>69565.594709090466</c:v>
                </c:pt>
                <c:pt idx="27">
                  <c:v>70995.184636587655</c:v>
                </c:pt>
                <c:pt idx="28">
                  <c:v>72424.77456408483</c:v>
                </c:pt>
                <c:pt idx="29">
                  <c:v>73854.364491582004</c:v>
                </c:pt>
                <c:pt idx="30">
                  <c:v>75283.954419079178</c:v>
                </c:pt>
                <c:pt idx="31">
                  <c:v>76713.544346576367</c:v>
                </c:pt>
                <c:pt idx="32">
                  <c:v>78143.134274073542</c:v>
                </c:pt>
                <c:pt idx="33">
                  <c:v>79572.724201570716</c:v>
                </c:pt>
                <c:pt idx="34">
                  <c:v>81002.31412906789</c:v>
                </c:pt>
                <c:pt idx="35">
                  <c:v>82431.904056565079</c:v>
                </c:pt>
                <c:pt idx="36">
                  <c:v>83861.493984062254</c:v>
                </c:pt>
                <c:pt idx="37">
                  <c:v>85291.083911559428</c:v>
                </c:pt>
                <c:pt idx="38">
                  <c:v>86720.673839056602</c:v>
                </c:pt>
                <c:pt idx="39">
                  <c:v>88150.263766553791</c:v>
                </c:pt>
                <c:pt idx="40">
                  <c:v>89579.853694050966</c:v>
                </c:pt>
                <c:pt idx="41">
                  <c:v>91009.44362154814</c:v>
                </c:pt>
                <c:pt idx="42">
                  <c:v>92439.033549045314</c:v>
                </c:pt>
                <c:pt idx="43">
                  <c:v>93868.623476542503</c:v>
                </c:pt>
                <c:pt idx="44">
                  <c:v>95298.213404039678</c:v>
                </c:pt>
                <c:pt idx="45">
                  <c:v>96727.803331536852</c:v>
                </c:pt>
                <c:pt idx="46">
                  <c:v>98157.393259034041</c:v>
                </c:pt>
                <c:pt idx="47">
                  <c:v>99586.983186531215</c:v>
                </c:pt>
                <c:pt idx="48">
                  <c:v>101016.57311402839</c:v>
                </c:pt>
                <c:pt idx="49">
                  <c:v>102446.16304152556</c:v>
                </c:pt>
                <c:pt idx="50">
                  <c:v>103875.75296902275</c:v>
                </c:pt>
                <c:pt idx="51">
                  <c:v>105305.34289651993</c:v>
                </c:pt>
                <c:pt idx="52">
                  <c:v>106734.9328240171</c:v>
                </c:pt>
                <c:pt idx="53">
                  <c:v>108164.52275151428</c:v>
                </c:pt>
                <c:pt idx="54">
                  <c:v>109594.11267901146</c:v>
                </c:pt>
                <c:pt idx="55">
                  <c:v>111023.70260650864</c:v>
                </c:pt>
                <c:pt idx="56">
                  <c:v>112453.29253400581</c:v>
                </c:pt>
                <c:pt idx="57">
                  <c:v>113882.88246150299</c:v>
                </c:pt>
                <c:pt idx="58">
                  <c:v>115312.47238900018</c:v>
                </c:pt>
                <c:pt idx="59">
                  <c:v>116742.06231649735</c:v>
                </c:pt>
                <c:pt idx="60">
                  <c:v>118171.65224399453</c:v>
                </c:pt>
                <c:pt idx="61">
                  <c:v>119601.2421714917</c:v>
                </c:pt>
                <c:pt idx="62">
                  <c:v>121030.83209898889</c:v>
                </c:pt>
                <c:pt idx="63">
                  <c:v>122460.42202648606</c:v>
                </c:pt>
                <c:pt idx="64">
                  <c:v>123890.01195398324</c:v>
                </c:pt>
                <c:pt idx="65">
                  <c:v>125319.60188148041</c:v>
                </c:pt>
                <c:pt idx="66">
                  <c:v>126749.19180897759</c:v>
                </c:pt>
                <c:pt idx="67">
                  <c:v>128178.78173647478</c:v>
                </c:pt>
                <c:pt idx="68">
                  <c:v>129608.37166397195</c:v>
                </c:pt>
                <c:pt idx="69">
                  <c:v>131037.96159146912</c:v>
                </c:pt>
                <c:pt idx="70">
                  <c:v>132467.5515189663</c:v>
                </c:pt>
                <c:pt idx="71">
                  <c:v>133897.14144646347</c:v>
                </c:pt>
                <c:pt idx="72">
                  <c:v>135326.73137396065</c:v>
                </c:pt>
                <c:pt idx="73">
                  <c:v>136756.32130145782</c:v>
                </c:pt>
                <c:pt idx="74">
                  <c:v>138185.911228955</c:v>
                </c:pt>
                <c:pt idx="75">
                  <c:v>139615.5011564522</c:v>
                </c:pt>
                <c:pt idx="76">
                  <c:v>141045.09108394937</c:v>
                </c:pt>
                <c:pt idx="77">
                  <c:v>142474.68101144655</c:v>
                </c:pt>
                <c:pt idx="78">
                  <c:v>143904.27093894372</c:v>
                </c:pt>
                <c:pt idx="79">
                  <c:v>145333.8608664409</c:v>
                </c:pt>
                <c:pt idx="80">
                  <c:v>146763.45079393807</c:v>
                </c:pt>
                <c:pt idx="81">
                  <c:v>148193.04072143525</c:v>
                </c:pt>
                <c:pt idx="82">
                  <c:v>149622.63064893242</c:v>
                </c:pt>
                <c:pt idx="83">
                  <c:v>151052.22057642962</c:v>
                </c:pt>
                <c:pt idx="84">
                  <c:v>152481.8105039268</c:v>
                </c:pt>
                <c:pt idx="85">
                  <c:v>153911.40043142397</c:v>
                </c:pt>
                <c:pt idx="86">
                  <c:v>155340.99035892115</c:v>
                </c:pt>
                <c:pt idx="87">
                  <c:v>156770.58028641832</c:v>
                </c:pt>
                <c:pt idx="88">
                  <c:v>158200.17021391549</c:v>
                </c:pt>
                <c:pt idx="89">
                  <c:v>159629.76014141267</c:v>
                </c:pt>
                <c:pt idx="90">
                  <c:v>161059.35006890984</c:v>
                </c:pt>
                <c:pt idx="91">
                  <c:v>162488.93999640702</c:v>
                </c:pt>
                <c:pt idx="92">
                  <c:v>163918.52992390419</c:v>
                </c:pt>
                <c:pt idx="93">
                  <c:v>165348.1198514014</c:v>
                </c:pt>
                <c:pt idx="94">
                  <c:v>166777.70977889857</c:v>
                </c:pt>
                <c:pt idx="95">
                  <c:v>168207.29970639574</c:v>
                </c:pt>
                <c:pt idx="96">
                  <c:v>169636.88963389292</c:v>
                </c:pt>
                <c:pt idx="97">
                  <c:v>171066.47956139009</c:v>
                </c:pt>
                <c:pt idx="98">
                  <c:v>172496.06948888727</c:v>
                </c:pt>
                <c:pt idx="99">
                  <c:v>173925.65941638444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E9-492D-9ECC-ED31516895C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100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pt idx="12">
                <c:v>14</c:v>
              </c:pt>
              <c:pt idx="13">
                <c:v>15</c:v>
              </c:pt>
              <c:pt idx="14">
                <c:v>16</c:v>
              </c:pt>
              <c:pt idx="15">
                <c:v>17</c:v>
              </c:pt>
              <c:pt idx="16">
                <c:v>18</c:v>
              </c:pt>
              <c:pt idx="17">
                <c:v>19</c:v>
              </c:pt>
              <c:pt idx="18">
                <c:v>20</c:v>
              </c:pt>
              <c:pt idx="19">
                <c:v>21</c:v>
              </c:pt>
              <c:pt idx="20">
                <c:v>22</c:v>
              </c:pt>
              <c:pt idx="21">
                <c:v>23</c:v>
              </c:pt>
              <c:pt idx="22">
                <c:v>24</c:v>
              </c:pt>
              <c:pt idx="23">
                <c:v>25</c:v>
              </c:pt>
              <c:pt idx="24">
                <c:v>26</c:v>
              </c:pt>
              <c:pt idx="25">
                <c:v>27</c:v>
              </c:pt>
              <c:pt idx="26">
                <c:v>28</c:v>
              </c:pt>
              <c:pt idx="27">
                <c:v>29</c:v>
              </c:pt>
              <c:pt idx="28">
                <c:v>30</c:v>
              </c:pt>
              <c:pt idx="29">
                <c:v>31</c:v>
              </c:pt>
              <c:pt idx="30">
                <c:v>32</c:v>
              </c:pt>
              <c:pt idx="31">
                <c:v>33</c:v>
              </c:pt>
              <c:pt idx="32">
                <c:v>34</c:v>
              </c:pt>
              <c:pt idx="33">
                <c:v>35</c:v>
              </c:pt>
              <c:pt idx="34">
                <c:v>36</c:v>
              </c:pt>
              <c:pt idx="35">
                <c:v>37</c:v>
              </c:pt>
              <c:pt idx="36">
                <c:v>38</c:v>
              </c:pt>
              <c:pt idx="37">
                <c:v>39</c:v>
              </c:pt>
              <c:pt idx="38">
                <c:v>40</c:v>
              </c:pt>
              <c:pt idx="39">
                <c:v>41</c:v>
              </c:pt>
              <c:pt idx="40">
                <c:v>42</c:v>
              </c:pt>
              <c:pt idx="41">
                <c:v>43</c:v>
              </c:pt>
              <c:pt idx="42">
                <c:v>44</c:v>
              </c:pt>
              <c:pt idx="43">
                <c:v>45</c:v>
              </c:pt>
              <c:pt idx="44">
                <c:v>46</c:v>
              </c:pt>
              <c:pt idx="45">
                <c:v>47</c:v>
              </c:pt>
              <c:pt idx="46">
                <c:v>48</c:v>
              </c:pt>
              <c:pt idx="47">
                <c:v>49</c:v>
              </c:pt>
              <c:pt idx="48">
                <c:v>50</c:v>
              </c:pt>
              <c:pt idx="49">
                <c:v>51</c:v>
              </c:pt>
              <c:pt idx="50">
                <c:v>52</c:v>
              </c:pt>
              <c:pt idx="51">
                <c:v>53</c:v>
              </c:pt>
              <c:pt idx="52">
                <c:v>54</c:v>
              </c:pt>
              <c:pt idx="53">
                <c:v>55</c:v>
              </c:pt>
              <c:pt idx="54">
                <c:v>56</c:v>
              </c:pt>
              <c:pt idx="55">
                <c:v>57</c:v>
              </c:pt>
              <c:pt idx="56">
                <c:v>58</c:v>
              </c:pt>
              <c:pt idx="57">
                <c:v>59</c:v>
              </c:pt>
              <c:pt idx="58">
                <c:v>60</c:v>
              </c:pt>
              <c:pt idx="59">
                <c:v>61</c:v>
              </c:pt>
              <c:pt idx="60">
                <c:v>62</c:v>
              </c:pt>
              <c:pt idx="61">
                <c:v>63</c:v>
              </c:pt>
              <c:pt idx="62">
                <c:v>64</c:v>
              </c:pt>
              <c:pt idx="63">
                <c:v>65</c:v>
              </c:pt>
              <c:pt idx="64">
                <c:v>66</c:v>
              </c:pt>
              <c:pt idx="65">
                <c:v>67</c:v>
              </c:pt>
              <c:pt idx="66">
                <c:v>68</c:v>
              </c:pt>
              <c:pt idx="67">
                <c:v>69</c:v>
              </c:pt>
              <c:pt idx="68">
                <c:v>70</c:v>
              </c:pt>
              <c:pt idx="69">
                <c:v>71</c:v>
              </c:pt>
              <c:pt idx="70">
                <c:v>72</c:v>
              </c:pt>
              <c:pt idx="71">
                <c:v>73</c:v>
              </c:pt>
              <c:pt idx="72">
                <c:v>74</c:v>
              </c:pt>
              <c:pt idx="73">
                <c:v>75</c:v>
              </c:pt>
              <c:pt idx="74">
                <c:v>76</c:v>
              </c:pt>
              <c:pt idx="75">
                <c:v>77</c:v>
              </c:pt>
              <c:pt idx="76">
                <c:v>78</c:v>
              </c:pt>
              <c:pt idx="77">
                <c:v>79</c:v>
              </c:pt>
              <c:pt idx="78">
                <c:v>80</c:v>
              </c:pt>
              <c:pt idx="79">
                <c:v>81</c:v>
              </c:pt>
              <c:pt idx="80">
                <c:v>82</c:v>
              </c:pt>
              <c:pt idx="81">
                <c:v>83</c:v>
              </c:pt>
              <c:pt idx="82">
                <c:v>84</c:v>
              </c:pt>
              <c:pt idx="83">
                <c:v>85</c:v>
              </c:pt>
              <c:pt idx="84">
                <c:v>86</c:v>
              </c:pt>
              <c:pt idx="85">
                <c:v>87</c:v>
              </c:pt>
              <c:pt idx="86">
                <c:v>88</c:v>
              </c:pt>
              <c:pt idx="87">
                <c:v>89</c:v>
              </c:pt>
              <c:pt idx="88">
                <c:v>90</c:v>
              </c:pt>
              <c:pt idx="89">
                <c:v>91</c:v>
              </c:pt>
              <c:pt idx="90">
                <c:v>92</c:v>
              </c:pt>
              <c:pt idx="91">
                <c:v>93</c:v>
              </c:pt>
              <c:pt idx="92">
                <c:v>94</c:v>
              </c:pt>
              <c:pt idx="93">
                <c:v>95</c:v>
              </c:pt>
              <c:pt idx="94">
                <c:v>96</c:v>
              </c:pt>
              <c:pt idx="95">
                <c:v>97</c:v>
              </c:pt>
              <c:pt idx="96">
                <c:v>98</c:v>
              </c:pt>
              <c:pt idx="97">
                <c:v>99</c:v>
              </c:pt>
              <c:pt idx="98">
                <c:v>100</c:v>
              </c:pt>
              <c:pt idx="99">
                <c:v>101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data!$R$171:$R$271</c15:sqref>
                  </c15:fullRef>
                </c:ext>
              </c:extLst>
              <c:f>data!$R$172:$R$271</c:f>
              <c:numCache>
                <c:formatCode>"₺"#,##0.00</c:formatCode>
                <c:ptCount val="100"/>
                <c:pt idx="0">
                  <c:v>-30019.49003264965</c:v>
                </c:pt>
                <c:pt idx="1">
                  <c:v>-29072.313398632628</c:v>
                </c:pt>
                <c:pt idx="2">
                  <c:v>-28125.136764615614</c:v>
                </c:pt>
                <c:pt idx="3">
                  <c:v>-27177.9601305986</c:v>
                </c:pt>
                <c:pt idx="4">
                  <c:v>-26230.783496581578</c:v>
                </c:pt>
                <c:pt idx="5">
                  <c:v>-25283.606862564557</c:v>
                </c:pt>
                <c:pt idx="6">
                  <c:v>-24336.430228547546</c:v>
                </c:pt>
                <c:pt idx="7">
                  <c:v>-23389.253594530532</c:v>
                </c:pt>
                <c:pt idx="8">
                  <c:v>-22442.07696051351</c:v>
                </c:pt>
                <c:pt idx="9">
                  <c:v>-21494.900326496489</c:v>
                </c:pt>
                <c:pt idx="10">
                  <c:v>-20547.723692479474</c:v>
                </c:pt>
                <c:pt idx="11">
                  <c:v>-19600.54705846246</c:v>
                </c:pt>
                <c:pt idx="12">
                  <c:v>-18653.370424445438</c:v>
                </c:pt>
                <c:pt idx="13">
                  <c:v>-17706.19379042842</c:v>
                </c:pt>
                <c:pt idx="14">
                  <c:v>-16759.017156411406</c:v>
                </c:pt>
                <c:pt idx="15">
                  <c:v>-15811.840522394392</c:v>
                </c:pt>
                <c:pt idx="16">
                  <c:v>-14864.66388837737</c:v>
                </c:pt>
                <c:pt idx="17">
                  <c:v>-13917.487254360349</c:v>
                </c:pt>
                <c:pt idx="18">
                  <c:v>-12970.310620343334</c:v>
                </c:pt>
                <c:pt idx="19">
                  <c:v>-12023.13398632632</c:v>
                </c:pt>
                <c:pt idx="20">
                  <c:v>-11075.957352309299</c:v>
                </c:pt>
                <c:pt idx="21">
                  <c:v>-10128.780718292277</c:v>
                </c:pt>
                <c:pt idx="22">
                  <c:v>-9181.6040842752554</c:v>
                </c:pt>
                <c:pt idx="23">
                  <c:v>-8234.4274502582484</c:v>
                </c:pt>
                <c:pt idx="24">
                  <c:v>-7287.2508162412269</c:v>
                </c:pt>
                <c:pt idx="25">
                  <c:v>-6340.0741822242053</c:v>
                </c:pt>
                <c:pt idx="26">
                  <c:v>-5392.8975482071837</c:v>
                </c:pt>
                <c:pt idx="27">
                  <c:v>-4445.720914190184</c:v>
                </c:pt>
                <c:pt idx="28">
                  <c:v>-3498.5442801731551</c:v>
                </c:pt>
                <c:pt idx="29">
                  <c:v>-2551.3676461561408</c:v>
                </c:pt>
                <c:pt idx="30">
                  <c:v>-1604.191012139112</c:v>
                </c:pt>
                <c:pt idx="31">
                  <c:v>-657.01437812211225</c:v>
                </c:pt>
                <c:pt idx="32">
                  <c:v>290.1622558949166</c:v>
                </c:pt>
                <c:pt idx="33">
                  <c:v>1237.3388899119309</c:v>
                </c:pt>
                <c:pt idx="34">
                  <c:v>2184.5155239289597</c:v>
                </c:pt>
                <c:pt idx="35">
                  <c:v>3131.6921579459595</c:v>
                </c:pt>
                <c:pt idx="36">
                  <c:v>4078.8687919629883</c:v>
                </c:pt>
                <c:pt idx="37">
                  <c:v>5026.0454259800026</c:v>
                </c:pt>
                <c:pt idx="38">
                  <c:v>5973.2220599970315</c:v>
                </c:pt>
                <c:pt idx="39">
                  <c:v>6920.3986940140312</c:v>
                </c:pt>
                <c:pt idx="40">
                  <c:v>7867.5753280310601</c:v>
                </c:pt>
                <c:pt idx="41">
                  <c:v>8814.7519620480743</c:v>
                </c:pt>
                <c:pt idx="42">
                  <c:v>9761.9285960651032</c:v>
                </c:pt>
                <c:pt idx="43">
                  <c:v>10709.105230082103</c:v>
                </c:pt>
                <c:pt idx="44">
                  <c:v>11656.281864099132</c:v>
                </c:pt>
                <c:pt idx="45">
                  <c:v>12603.458498116146</c:v>
                </c:pt>
                <c:pt idx="46">
                  <c:v>13550.63513213316</c:v>
                </c:pt>
                <c:pt idx="47">
                  <c:v>14497.811766150175</c:v>
                </c:pt>
                <c:pt idx="48">
                  <c:v>15444.988400167204</c:v>
                </c:pt>
                <c:pt idx="49">
                  <c:v>16392.165034184218</c:v>
                </c:pt>
                <c:pt idx="50">
                  <c:v>17339.341668201232</c:v>
                </c:pt>
                <c:pt idx="51">
                  <c:v>18286.518302218246</c:v>
                </c:pt>
                <c:pt idx="52">
                  <c:v>19233.694936235261</c:v>
                </c:pt>
                <c:pt idx="53">
                  <c:v>20180.87157025229</c:v>
                </c:pt>
                <c:pt idx="54">
                  <c:v>21128.048204269289</c:v>
                </c:pt>
                <c:pt idx="55">
                  <c:v>22075.224838286304</c:v>
                </c:pt>
                <c:pt idx="56">
                  <c:v>23022.401472303332</c:v>
                </c:pt>
                <c:pt idx="57">
                  <c:v>23969.578106320361</c:v>
                </c:pt>
                <c:pt idx="58">
                  <c:v>24916.754740337376</c:v>
                </c:pt>
                <c:pt idx="59">
                  <c:v>25863.931374354375</c:v>
                </c:pt>
                <c:pt idx="60">
                  <c:v>26811.108008371404</c:v>
                </c:pt>
                <c:pt idx="61">
                  <c:v>27758.284642388433</c:v>
                </c:pt>
                <c:pt idx="62">
                  <c:v>28705.461276405447</c:v>
                </c:pt>
                <c:pt idx="63">
                  <c:v>29652.637910422447</c:v>
                </c:pt>
                <c:pt idx="64">
                  <c:v>30599.814544439476</c:v>
                </c:pt>
                <c:pt idx="65">
                  <c:v>31546.991178456505</c:v>
                </c:pt>
                <c:pt idx="66">
                  <c:v>32494.167812473534</c:v>
                </c:pt>
                <c:pt idx="67">
                  <c:v>33441.344446490519</c:v>
                </c:pt>
                <c:pt idx="68">
                  <c:v>34388.521080507548</c:v>
                </c:pt>
                <c:pt idx="69">
                  <c:v>35335.697714524576</c:v>
                </c:pt>
                <c:pt idx="70">
                  <c:v>36282.874348541605</c:v>
                </c:pt>
                <c:pt idx="71">
                  <c:v>37230.050982558605</c:v>
                </c:pt>
                <c:pt idx="72">
                  <c:v>38177.227616575634</c:v>
                </c:pt>
                <c:pt idx="73">
                  <c:v>39124.404250592663</c:v>
                </c:pt>
                <c:pt idx="74">
                  <c:v>40071.580884609692</c:v>
                </c:pt>
                <c:pt idx="75">
                  <c:v>41018.757518626662</c:v>
                </c:pt>
                <c:pt idx="76">
                  <c:v>41965.934152643691</c:v>
                </c:pt>
                <c:pt idx="77">
                  <c:v>42913.11078666072</c:v>
                </c:pt>
                <c:pt idx="78">
                  <c:v>43860.28742067772</c:v>
                </c:pt>
                <c:pt idx="79">
                  <c:v>44807.464054694748</c:v>
                </c:pt>
                <c:pt idx="80">
                  <c:v>45754.640688711777</c:v>
                </c:pt>
                <c:pt idx="81">
                  <c:v>46701.817322728806</c:v>
                </c:pt>
                <c:pt idx="82">
                  <c:v>47648.993956745806</c:v>
                </c:pt>
                <c:pt idx="83">
                  <c:v>48596.170590762806</c:v>
                </c:pt>
                <c:pt idx="84">
                  <c:v>49543.347224779835</c:v>
                </c:pt>
                <c:pt idx="85">
                  <c:v>50490.523858796863</c:v>
                </c:pt>
                <c:pt idx="86">
                  <c:v>51437.700492813863</c:v>
                </c:pt>
                <c:pt idx="87">
                  <c:v>52384.877126830892</c:v>
                </c:pt>
                <c:pt idx="88">
                  <c:v>53332.053760847921</c:v>
                </c:pt>
                <c:pt idx="89">
                  <c:v>54279.23039486495</c:v>
                </c:pt>
                <c:pt idx="90">
                  <c:v>55226.407028881949</c:v>
                </c:pt>
                <c:pt idx="91">
                  <c:v>56173.583662898978</c:v>
                </c:pt>
                <c:pt idx="92">
                  <c:v>57120.760296916007</c:v>
                </c:pt>
                <c:pt idx="93">
                  <c:v>58067.936930933007</c:v>
                </c:pt>
                <c:pt idx="94">
                  <c:v>59015.113564950007</c:v>
                </c:pt>
                <c:pt idx="95">
                  <c:v>59962.290198967035</c:v>
                </c:pt>
                <c:pt idx="96">
                  <c:v>60909.466832984064</c:v>
                </c:pt>
                <c:pt idx="97">
                  <c:v>61856.643467001093</c:v>
                </c:pt>
                <c:pt idx="98">
                  <c:v>62803.820101018093</c:v>
                </c:pt>
                <c:pt idx="99">
                  <c:v>63750.996735035122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E9-492D-9ECC-ED3151689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1158591"/>
        <c:axId val="1171185951"/>
      </c:lineChart>
      <c:catAx>
        <c:axId val="117115859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71185951"/>
        <c:crosses val="autoZero"/>
        <c:auto val="1"/>
        <c:lblAlgn val="ctr"/>
        <c:lblOffset val="100"/>
        <c:noMultiLvlLbl val="0"/>
      </c:catAx>
      <c:valAx>
        <c:axId val="117118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7115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544285</xdr:colOff>
      <xdr:row>0</xdr:row>
      <xdr:rowOff>122464</xdr:rowOff>
    </xdr:from>
    <xdr:to>
      <xdr:col>1</xdr:col>
      <xdr:colOff>148318</xdr:colOff>
      <xdr:row>4</xdr:row>
      <xdr:rowOff>97972</xdr:rowOff>
    </xdr:to>
    <xdr:pic>
      <xdr:nvPicPr>
        <xdr:cNvPr id="2" name="Grafik 2" descr="Disk düz dolguyla">
          <a:extLst>
            <a:ext uri="{FF2B5EF4-FFF2-40B4-BE49-F238E27FC236}">
              <a16:creationId xmlns:a16="http://schemas.microsoft.com/office/drawing/2014/main" id="{95809489-E4D0-B29C-9451-69F0190BE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44285" y="122464"/>
          <a:ext cx="775608" cy="775608"/>
        </a:xfrm>
        <a:prstGeom prst="rect">
          <a:avLst/>
        </a:prstGeom>
      </xdr:spPr>
    </xdr:pic>
    <xdr:clientData/>
  </xdr:twoCellAnchor>
  <xdr:twoCellAnchor>
    <xdr:from>
      <xdr:col>8</xdr:col>
      <xdr:colOff>170088</xdr:colOff>
      <xdr:row>230</xdr:row>
      <xdr:rowOff>152400</xdr:rowOff>
    </xdr:from>
    <xdr:to>
      <xdr:col>12</xdr:col>
      <xdr:colOff>789214</xdr:colOff>
      <xdr:row>252</xdr:row>
      <xdr:rowOff>40821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7A58789A-7CF0-5CC4-5BBF-898D00BD1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b8573645649659d0/2025/ANAL&#304;Z/2025%20&#350;UBAT%20MART%20N&#304;SAN%20MAYIS%20HAZ&#304;RAN%20ASA.xlsx" TargetMode="External"/><Relationship Id="rId1" Type="http://schemas.openxmlformats.org/officeDocument/2006/relationships/externalLinkPath" Target="/b8573645649659d0/2025/ANAL&#304;Z/2025%20&#350;UBAT%20MART%20N&#304;SAN%20MAYIS%20HAZ&#304;RAN%20AS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b8573645649659d0/2025/2025%20&#350;UBAT%20KASA.xlsx" TargetMode="External"/><Relationship Id="rId1" Type="http://schemas.openxmlformats.org/officeDocument/2006/relationships/externalLinkPath" Target="/b8573645649659d0/2025/2025%20&#350;UBAT%20KAS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1.09"/>
      <sheetName val="02.09"/>
      <sheetName val="03.09"/>
      <sheetName val="04.09"/>
      <sheetName val="05.09"/>
      <sheetName val="06.09"/>
      <sheetName val="07.09"/>
      <sheetName val="08.09"/>
      <sheetName val="09.09"/>
      <sheetName val="10.09"/>
      <sheetName val="11.09"/>
      <sheetName val="12.09"/>
      <sheetName val="13.09"/>
      <sheetName val="14.09"/>
      <sheetName val="15.09"/>
      <sheetName val="16.09"/>
      <sheetName val="17.09"/>
      <sheetName val="18.09"/>
      <sheetName val="19.09"/>
      <sheetName val="20.09"/>
      <sheetName val="21.09 "/>
      <sheetName val="22.09"/>
      <sheetName val="23.09"/>
      <sheetName val="24.09"/>
      <sheetName val="25.09"/>
      <sheetName val="26.09 "/>
      <sheetName val="27.09"/>
      <sheetName val="28.09"/>
      <sheetName val="29,09"/>
      <sheetName val="30.09"/>
      <sheetName val="01.10"/>
      <sheetName val="02.10"/>
      <sheetName val="03.10"/>
      <sheetName val="04.10"/>
      <sheetName val="05.10"/>
      <sheetName val="06.10"/>
      <sheetName val="07.10"/>
      <sheetName val="08.10"/>
      <sheetName val="09.10"/>
      <sheetName val="10.10"/>
      <sheetName val="11.10"/>
      <sheetName val="12.10"/>
      <sheetName val="13.10"/>
      <sheetName val="14.10"/>
      <sheetName val="15.10"/>
      <sheetName val="16.10"/>
      <sheetName val="17.10"/>
      <sheetName val="18.10"/>
      <sheetName val="19.10"/>
      <sheetName val="20.10"/>
      <sheetName val="21.10"/>
      <sheetName val="22.10"/>
      <sheetName val="23.10"/>
      <sheetName val="24.10"/>
      <sheetName val="25.10"/>
      <sheetName val="26.10"/>
      <sheetName val="27.10"/>
      <sheetName val="28.10"/>
      <sheetName val="29.10"/>
      <sheetName val="30.10"/>
      <sheetName val="31.10"/>
      <sheetName val="01.11"/>
      <sheetName val="02.11"/>
      <sheetName val="03.11"/>
      <sheetName val="04.11"/>
      <sheetName val="05.11"/>
      <sheetName val="06.11"/>
      <sheetName val="07.11"/>
      <sheetName val="08.11"/>
      <sheetName val="09.11"/>
      <sheetName val="10.11"/>
      <sheetName val="11.11"/>
      <sheetName val="12.11"/>
      <sheetName val="13.11"/>
      <sheetName val="14.11"/>
      <sheetName val="15.11"/>
      <sheetName val="16.11"/>
      <sheetName val="17.11"/>
      <sheetName val="18.11"/>
      <sheetName val="29.12"/>
      <sheetName val="30.12"/>
      <sheetName val="31.12"/>
      <sheetName val="02.1"/>
      <sheetName val="03.01"/>
      <sheetName val="04.01"/>
      <sheetName val="05.01"/>
      <sheetName val="06.01"/>
      <sheetName val="07.01"/>
      <sheetName val="08.01"/>
      <sheetName val="09.01"/>
      <sheetName val="10.01"/>
      <sheetName val="11.01"/>
      <sheetName val="12.01"/>
      <sheetName val="13.01"/>
      <sheetName val="14.01"/>
      <sheetName val="15.01"/>
      <sheetName val="16.01"/>
      <sheetName val="17.01"/>
      <sheetName val="18.01"/>
      <sheetName val="19.01"/>
      <sheetName val="20.01"/>
      <sheetName val="21.01"/>
      <sheetName val="22.01"/>
      <sheetName val="23.01"/>
      <sheetName val="24.01"/>
      <sheetName val="25.01"/>
      <sheetName val="26.01"/>
      <sheetName val="27.01"/>
      <sheetName val="28.01"/>
      <sheetName val="29.01"/>
      <sheetName val="30.01"/>
      <sheetName val="31.01"/>
      <sheetName val="01.02"/>
      <sheetName val="02.02"/>
      <sheetName val="03.02"/>
      <sheetName val="04.02"/>
      <sheetName val="05.02"/>
      <sheetName val="06.02"/>
      <sheetName val="07.02"/>
      <sheetName val="08.02"/>
      <sheetName val="09.02"/>
      <sheetName val="10.02"/>
      <sheetName val="11.02"/>
      <sheetName val="12.02"/>
      <sheetName val="13.02"/>
      <sheetName val="14.02"/>
      <sheetName val="15.02"/>
      <sheetName val="16.02"/>
      <sheetName val="17.02"/>
      <sheetName val="18.02"/>
      <sheetName val="19.02"/>
      <sheetName val="20.02"/>
      <sheetName val="21.02"/>
      <sheetName val="22.02"/>
      <sheetName val="23.02"/>
      <sheetName val="24.02"/>
      <sheetName val="25.02"/>
      <sheetName val="26.02"/>
      <sheetName val="27.02"/>
      <sheetName val="28.02"/>
      <sheetName val="01.03"/>
      <sheetName val="02.03"/>
      <sheetName val="03.03"/>
      <sheetName val="04.03"/>
      <sheetName val="05.03"/>
      <sheetName val="06.03"/>
      <sheetName val="07.03"/>
      <sheetName val="08.03"/>
      <sheetName val="09.03"/>
      <sheetName val="10.03"/>
      <sheetName val="11.03"/>
      <sheetName val="12.03"/>
      <sheetName val="13.03"/>
      <sheetName val="14.03"/>
      <sheetName val="15.03"/>
      <sheetName val="16.03"/>
      <sheetName val="17.03"/>
      <sheetName val="18.03"/>
      <sheetName val="19.03"/>
      <sheetName val="20.03"/>
      <sheetName val="21.03"/>
      <sheetName val="22.03"/>
      <sheetName val="23.03"/>
      <sheetName val="24.03"/>
      <sheetName val="25.03"/>
      <sheetName val="26.03"/>
      <sheetName val="27.03"/>
      <sheetName val="28.03"/>
      <sheetName val="29.03"/>
      <sheetName val="31.03"/>
      <sheetName val="01.04"/>
      <sheetName val="02.04"/>
      <sheetName val="03.04"/>
      <sheetName val="04.04"/>
      <sheetName val="05.04"/>
      <sheetName val="06.04"/>
      <sheetName val="07.04"/>
      <sheetName val="08.04"/>
      <sheetName val="09.04"/>
      <sheetName val="10.04"/>
      <sheetName val="11.04"/>
      <sheetName val="12.04"/>
      <sheetName val="13.04"/>
      <sheetName val="14.04"/>
      <sheetName val="15.04"/>
      <sheetName val="16.04"/>
      <sheetName val="17.04"/>
      <sheetName val="18.04"/>
      <sheetName val="19.04"/>
      <sheetName val="20.04"/>
      <sheetName val="21.04"/>
      <sheetName val="22.04"/>
      <sheetName val="23.04"/>
      <sheetName val="Sayfa4"/>
      <sheetName val="24.04"/>
      <sheetName val="25.04"/>
      <sheetName val="26.04"/>
      <sheetName val="27.04"/>
      <sheetName val="28.04"/>
      <sheetName val="29.04"/>
      <sheetName val="30.04"/>
      <sheetName val="01.05"/>
      <sheetName val="02.05"/>
      <sheetName val="03.05"/>
      <sheetName val="04.05"/>
      <sheetName val="05.05"/>
      <sheetName val="06.05"/>
      <sheetName val="07.05"/>
      <sheetName val="08.05"/>
      <sheetName val="09.05"/>
      <sheetName val="10.05"/>
      <sheetName val="11.05"/>
      <sheetName val="12.05"/>
      <sheetName val="13.05"/>
      <sheetName val="14.05"/>
      <sheetName val="15.05"/>
      <sheetName val="16.05"/>
      <sheetName val="17.05"/>
      <sheetName val="18.05"/>
      <sheetName val="19.05"/>
      <sheetName val="20.05"/>
      <sheetName val="21.05"/>
      <sheetName val="22.05"/>
      <sheetName val="23.05"/>
      <sheetName val="24.05"/>
      <sheetName val="25.05"/>
      <sheetName val="26.05"/>
      <sheetName val="27.05"/>
      <sheetName val="28.05"/>
      <sheetName val="29.05"/>
      <sheetName val="30.05"/>
      <sheetName val="31.05"/>
      <sheetName val="01.06"/>
      <sheetName val="02.06"/>
      <sheetName val="03.06"/>
      <sheetName val="04.06"/>
      <sheetName val="05.06"/>
      <sheetName val="08.06"/>
      <sheetName val="09.06"/>
      <sheetName val="10.06"/>
      <sheetName val="11.06"/>
      <sheetName val="12.06"/>
      <sheetName val="13.06"/>
      <sheetName val="14.06"/>
      <sheetName val="15.06"/>
      <sheetName val="16.06"/>
      <sheetName val="17.06"/>
      <sheetName val="18.06"/>
      <sheetName val="19.06"/>
      <sheetName val="20.06"/>
      <sheetName val="21.06"/>
      <sheetName val="22.06"/>
      <sheetName val="23.06."/>
      <sheetName val="24.06"/>
      <sheetName val="ÜRÜN, ÖZELLİK VE FİYAT"/>
      <sheetName val="PİZZA"/>
      <sheetName val="platform fiyat"/>
      <sheetName val="SHIFT (2)"/>
      <sheetName val="Sayf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>
        <row r="17">
          <cell r="G17">
            <v>19910.000000000004</v>
          </cell>
          <cell r="H17">
            <v>3000</v>
          </cell>
          <cell r="I17">
            <v>850</v>
          </cell>
        </row>
        <row r="23">
          <cell r="E23">
            <v>800</v>
          </cell>
        </row>
        <row r="24">
          <cell r="E24">
            <v>390</v>
          </cell>
        </row>
        <row r="25">
          <cell r="E25">
            <v>700</v>
          </cell>
        </row>
      </sheetData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1.09"/>
      <sheetName val="02.09"/>
      <sheetName val="03.09"/>
      <sheetName val="04.09"/>
      <sheetName val="05.09"/>
      <sheetName val="06.09"/>
      <sheetName val="07.09"/>
      <sheetName val="08.09"/>
      <sheetName val="09.09"/>
      <sheetName val="10.09"/>
      <sheetName val="11.09"/>
      <sheetName val="12.09"/>
      <sheetName val="13.09"/>
      <sheetName val="14.09"/>
      <sheetName val="15.09"/>
      <sheetName val="16.09"/>
      <sheetName val="17.09"/>
      <sheetName val="18.09"/>
      <sheetName val="19.09"/>
      <sheetName val="20.09"/>
      <sheetName val="21.09 "/>
      <sheetName val="22.09"/>
      <sheetName val="23.09"/>
      <sheetName val="24.09"/>
      <sheetName val="25.09"/>
      <sheetName val="26.09 "/>
      <sheetName val="27.09"/>
      <sheetName val="28.09"/>
      <sheetName val="29,09"/>
      <sheetName val="30.09"/>
      <sheetName val="01.10"/>
      <sheetName val="02.10"/>
      <sheetName val="03.10"/>
      <sheetName val="04.10"/>
      <sheetName val="05.10"/>
      <sheetName val="06.10"/>
      <sheetName val="07.10"/>
      <sheetName val="08.10"/>
      <sheetName val="09.10"/>
      <sheetName val="10.10"/>
      <sheetName val="11.10"/>
      <sheetName val="12.10"/>
      <sheetName val="13.10"/>
      <sheetName val="14.10"/>
      <sheetName val="15.10"/>
      <sheetName val="16.10"/>
      <sheetName val="17.10"/>
      <sheetName val="18.10"/>
      <sheetName val="19.10"/>
      <sheetName val="20.10"/>
      <sheetName val="21.10"/>
      <sheetName val="22.10"/>
      <sheetName val="23.10"/>
      <sheetName val="24.10"/>
      <sheetName val="25.10"/>
      <sheetName val="26.10"/>
      <sheetName val="27.10"/>
      <sheetName val="28.10"/>
      <sheetName val="29.10"/>
      <sheetName val="30.10"/>
      <sheetName val="31.10"/>
      <sheetName val="01.11"/>
      <sheetName val="02.11"/>
      <sheetName val="03.11"/>
      <sheetName val="04.11"/>
      <sheetName val="05.11"/>
      <sheetName val="06.11"/>
      <sheetName val="07.11"/>
      <sheetName val="08.11"/>
      <sheetName val="09.11"/>
      <sheetName val="10.11"/>
      <sheetName val="11.11"/>
      <sheetName val="12.11"/>
      <sheetName val="13.11"/>
      <sheetName val="14.11"/>
      <sheetName val="15.11"/>
      <sheetName val="16.11"/>
      <sheetName val="17.11"/>
      <sheetName val="18.11"/>
      <sheetName val="29.12"/>
      <sheetName val="30.12"/>
      <sheetName val="31.12"/>
      <sheetName val="02.1"/>
      <sheetName val="03.01"/>
      <sheetName val="04.01"/>
      <sheetName val="05.01"/>
      <sheetName val="06.01"/>
      <sheetName val="07.01"/>
      <sheetName val="08.01"/>
      <sheetName val="09.01"/>
      <sheetName val="10.01"/>
      <sheetName val="11.01"/>
      <sheetName val="12.01"/>
      <sheetName val="13.01"/>
      <sheetName val="14.01"/>
      <sheetName val="15.01"/>
      <sheetName val="16.01"/>
      <sheetName val="17.01"/>
      <sheetName val="18.01"/>
      <sheetName val="19.01"/>
      <sheetName val="20.01"/>
      <sheetName val="21.01"/>
      <sheetName val="22.01"/>
      <sheetName val="23.01"/>
      <sheetName val="24.01"/>
      <sheetName val="25.01"/>
      <sheetName val="26.01"/>
      <sheetName val="27.01"/>
      <sheetName val="28.01"/>
      <sheetName val="29.01"/>
      <sheetName val="30.01"/>
      <sheetName val="31.01"/>
      <sheetName val="01.02"/>
      <sheetName val="02.02"/>
      <sheetName val="03.02"/>
      <sheetName val="04.02"/>
      <sheetName val="05.02"/>
      <sheetName val="06.02"/>
      <sheetName val="07.02"/>
      <sheetName val="08.02"/>
      <sheetName val="09.02"/>
      <sheetName val="10.02"/>
      <sheetName val="11.02"/>
      <sheetName val="12.02"/>
      <sheetName val="13.02"/>
      <sheetName val="14.02"/>
      <sheetName val="15.02"/>
      <sheetName val="16.02"/>
      <sheetName val="17.02"/>
      <sheetName val="18.02"/>
      <sheetName val="19.02"/>
      <sheetName val="20.02"/>
      <sheetName val="21.02"/>
      <sheetName val="22.02"/>
      <sheetName val="23.02"/>
      <sheetName val="24.02"/>
      <sheetName val="25.02"/>
      <sheetName val="26.02"/>
      <sheetName val="27.02"/>
      <sheetName val="28.02"/>
      <sheetName val="01.03"/>
      <sheetName val="02.03"/>
      <sheetName val="03.03"/>
      <sheetName val="04.03"/>
      <sheetName val="05.03"/>
      <sheetName val="06.03"/>
      <sheetName val="07.03"/>
      <sheetName val="08.03"/>
      <sheetName val="09.03"/>
      <sheetName val="10.03"/>
      <sheetName val="11.03"/>
      <sheetName val="12.03"/>
      <sheetName val="13.03"/>
      <sheetName val="14.03"/>
      <sheetName val="15.03"/>
      <sheetName val="16.03"/>
      <sheetName val="17.03"/>
      <sheetName val="18.03"/>
      <sheetName val="19.03"/>
      <sheetName val="20.03"/>
      <sheetName val="21.03"/>
      <sheetName val="22.03"/>
      <sheetName val="23.03"/>
      <sheetName val="24.03"/>
      <sheetName val="25.03"/>
      <sheetName val="26.03"/>
      <sheetName val="27.03"/>
      <sheetName val="28.03"/>
      <sheetName val="29.03"/>
      <sheetName val="31.03"/>
      <sheetName val="01.04"/>
      <sheetName val="02.04"/>
      <sheetName val="ÜRÜN, ÖZELLİK VE FİYAT"/>
      <sheetName val="PİZZA"/>
      <sheetName val="platform fiyat"/>
      <sheetName val="SHIFT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>
        <row r="16">
          <cell r="G16">
            <v>19236.666666666664</v>
          </cell>
        </row>
      </sheetData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an Şencan" id="{A8D3A64A-42D4-416E-88B9-79E48B6C6C46}" userId="b8573645649659d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" dT="2022-04-02T20:57:56.59" personId="{A8D3A64A-42D4-416E-88B9-79E48B6C6C46}" id="{94868DD0-3FB4-4407-B77A-3F6E67ED29D2}">
    <text>1. dükkan 10.000
2. depo 375
3. personel ev 2.500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"/>
  <sheetViews>
    <sheetView showFormulas="1" zoomScale="85" zoomScaleNormal="85" workbookViewId="0">
      <selection activeCell="A2" sqref="A2"/>
    </sheetView>
  </sheetViews>
  <sheetFormatPr defaultRowHeight="15.75" x14ac:dyDescent="0.25"/>
  <cols>
    <col min="1" max="1" width="14" bestFit="1" customWidth="1"/>
    <col min="2" max="2" width="10.25" bestFit="1" customWidth="1"/>
    <col min="3" max="3" width="4.875" bestFit="1" customWidth="1"/>
    <col min="4" max="4" width="21.375" bestFit="1" customWidth="1"/>
    <col min="5" max="5" width="3.875" bestFit="1" customWidth="1"/>
    <col min="6" max="7" width="5.875" bestFit="1" customWidth="1"/>
    <col min="8" max="8" width="4.875" bestFit="1" customWidth="1"/>
    <col min="9" max="9" width="12.5" bestFit="1" customWidth="1"/>
    <col min="10" max="10" width="7.75" bestFit="1" customWidth="1"/>
    <col min="11" max="19" width="4.875" bestFit="1" customWidth="1"/>
    <col min="20" max="26" width="5.875" bestFit="1" customWidth="1"/>
    <col min="27" max="27" width="12.5" bestFit="1" customWidth="1"/>
    <col min="28" max="28" width="7.75" bestFit="1" customWidth="1"/>
    <col min="29" max="33" width="4.875" bestFit="1" customWidth="1"/>
    <col min="34" max="37" width="5.875" bestFit="1" customWidth="1"/>
    <col min="38" max="38" width="12.5" bestFit="1" customWidth="1"/>
    <col min="39" max="39" width="7.75" bestFit="1" customWidth="1"/>
    <col min="40" max="43" width="4.875" bestFit="1" customWidth="1"/>
    <col min="44" max="45" width="5.875" bestFit="1" customWidth="1"/>
    <col min="46" max="46" width="12.5" bestFit="1" customWidth="1"/>
    <col min="47" max="47" width="7.75" bestFit="1" customWidth="1"/>
    <col min="48" max="49" width="5.875" bestFit="1" customWidth="1"/>
    <col min="50" max="50" width="12.5" bestFit="1" customWidth="1"/>
    <col min="51" max="51" width="7.75" bestFit="1" customWidth="1"/>
    <col min="52" max="52" width="12.5" bestFit="1" customWidth="1"/>
    <col min="53" max="53" width="7.75" bestFit="1" customWidth="1"/>
    <col min="54" max="54" width="12.5" bestFit="1" customWidth="1"/>
    <col min="55" max="55" width="6.125" bestFit="1" customWidth="1"/>
    <col min="56" max="56" width="3.875" bestFit="1" customWidth="1"/>
    <col min="57" max="57" width="1.875" bestFit="1" customWidth="1"/>
    <col min="58" max="59" width="3.875" bestFit="1" customWidth="1"/>
    <col min="60" max="60" width="1.875" bestFit="1" customWidth="1"/>
    <col min="61" max="61" width="2.875" bestFit="1" customWidth="1"/>
    <col min="62" max="63" width="4.875" bestFit="1" customWidth="1"/>
    <col min="64" max="64" width="2.875" bestFit="1" customWidth="1"/>
    <col min="65" max="66" width="4.875" bestFit="1" customWidth="1"/>
    <col min="67" max="67" width="2.875" bestFit="1" customWidth="1"/>
    <col min="68" max="68" width="4.875" bestFit="1" customWidth="1"/>
    <col min="69" max="69" width="2.875" bestFit="1" customWidth="1"/>
    <col min="70" max="70" width="4.875" bestFit="1" customWidth="1"/>
    <col min="71" max="71" width="2.875" bestFit="1" customWidth="1"/>
    <col min="72" max="72" width="4.875" bestFit="1" customWidth="1"/>
    <col min="73" max="73" width="5.875" bestFit="1" customWidth="1"/>
    <col min="74" max="74" width="3.875" bestFit="1" customWidth="1"/>
    <col min="75" max="75" width="10.875" bestFit="1" customWidth="1"/>
    <col min="76" max="76" width="12.125" bestFit="1" customWidth="1"/>
  </cols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3"/>
  <dimension ref="A3:AI201"/>
  <sheetViews>
    <sheetView topLeftCell="A160" zoomScale="85" zoomScaleNormal="85" workbookViewId="0">
      <selection activeCell="I185" sqref="I185"/>
    </sheetView>
  </sheetViews>
  <sheetFormatPr defaultRowHeight="15.75" x14ac:dyDescent="0.25"/>
  <cols>
    <col min="1" max="1" width="9" customWidth="1"/>
    <col min="2" max="2" width="42" bestFit="1" customWidth="1"/>
    <col min="3" max="3" width="21" bestFit="1" customWidth="1"/>
    <col min="4" max="4" width="12.125" customWidth="1"/>
    <col min="5" max="5" width="17.625" bestFit="1" customWidth="1"/>
    <col min="6" max="6" width="17.125" bestFit="1" customWidth="1"/>
    <col min="7" max="7" width="12.375" bestFit="1" customWidth="1"/>
    <col min="9" max="9" width="24.25" bestFit="1" customWidth="1"/>
    <col min="10" max="10" width="21" bestFit="1" customWidth="1"/>
    <col min="11" max="11" width="13" bestFit="1" customWidth="1"/>
    <col min="12" max="12" width="11.75" bestFit="1" customWidth="1"/>
    <col min="13" max="13" width="15" bestFit="1" customWidth="1"/>
    <col min="14" max="14" width="11.375" bestFit="1" customWidth="1"/>
    <col min="15" max="15" width="11.75" bestFit="1" customWidth="1"/>
    <col min="16" max="16" width="25" bestFit="1" customWidth="1"/>
    <col min="17" max="17" width="19.25" bestFit="1" customWidth="1"/>
    <col min="18" max="18" width="9.875" bestFit="1" customWidth="1"/>
    <col min="20" max="20" width="15" bestFit="1" customWidth="1"/>
    <col min="21" max="21" width="12.375" bestFit="1" customWidth="1"/>
    <col min="23" max="23" width="21.5" bestFit="1" customWidth="1"/>
    <col min="24" max="24" width="19.25" bestFit="1" customWidth="1"/>
    <col min="27" max="27" width="15" bestFit="1" customWidth="1"/>
    <col min="28" max="28" width="9.375" bestFit="1" customWidth="1"/>
    <col min="30" max="30" width="24.25" bestFit="1" customWidth="1"/>
    <col min="31" max="31" width="20" bestFit="1" customWidth="1"/>
    <col min="34" max="34" width="15.375" bestFit="1" customWidth="1"/>
  </cols>
  <sheetData>
    <row r="3" spans="2:35" x14ac:dyDescent="0.25">
      <c r="B3" s="39" t="s">
        <v>114</v>
      </c>
      <c r="C3" s="39"/>
      <c r="D3" s="39"/>
      <c r="E3" s="39"/>
      <c r="F3" s="39"/>
      <c r="G3" s="40">
        <f>C160</f>
        <v>299.89999999999998</v>
      </c>
      <c r="I3" s="39" t="s">
        <v>115</v>
      </c>
      <c r="J3" s="39"/>
      <c r="K3" s="39"/>
      <c r="L3" s="39"/>
      <c r="M3" s="39"/>
      <c r="N3" s="40">
        <f>D160</f>
        <v>334.9</v>
      </c>
      <c r="P3" s="39" t="s">
        <v>116</v>
      </c>
      <c r="Q3" s="39"/>
      <c r="R3" s="39"/>
      <c r="S3" s="39"/>
      <c r="T3" s="39"/>
      <c r="U3" s="40">
        <f>E160</f>
        <v>369.9</v>
      </c>
      <c r="W3" s="39" t="s">
        <v>117</v>
      </c>
      <c r="X3" s="39"/>
      <c r="Y3" s="39"/>
      <c r="Z3" s="39"/>
      <c r="AA3" s="39"/>
      <c r="AB3" s="40">
        <f>F160</f>
        <v>404.9</v>
      </c>
      <c r="AD3" s="39" t="s">
        <v>222</v>
      </c>
      <c r="AE3" s="39"/>
      <c r="AF3" s="39"/>
      <c r="AG3" s="39"/>
      <c r="AH3" s="39"/>
      <c r="AI3" s="40">
        <f>M160</f>
        <v>0</v>
      </c>
    </row>
    <row r="4" spans="2:35" x14ac:dyDescent="0.25">
      <c r="B4" s="20" t="s">
        <v>42</v>
      </c>
      <c r="C4" s="20" t="s">
        <v>43</v>
      </c>
      <c r="D4" s="20" t="s">
        <v>44</v>
      </c>
      <c r="E4" s="20" t="s">
        <v>45</v>
      </c>
      <c r="F4" s="20" t="s">
        <v>4</v>
      </c>
      <c r="G4" s="20" t="s">
        <v>46</v>
      </c>
      <c r="I4" s="20" t="s">
        <v>42</v>
      </c>
      <c r="J4" s="20" t="s">
        <v>43</v>
      </c>
      <c r="K4" s="20" t="s">
        <v>44</v>
      </c>
      <c r="L4" s="20" t="s">
        <v>45</v>
      </c>
      <c r="M4" s="20" t="s">
        <v>4</v>
      </c>
      <c r="N4" s="20" t="s">
        <v>46</v>
      </c>
      <c r="P4" s="20" t="s">
        <v>42</v>
      </c>
      <c r="Q4" s="20" t="s">
        <v>43</v>
      </c>
      <c r="R4" s="20" t="s">
        <v>44</v>
      </c>
      <c r="S4" s="20" t="s">
        <v>45</v>
      </c>
      <c r="T4" s="20" t="s">
        <v>4</v>
      </c>
      <c r="U4" s="20" t="s">
        <v>46</v>
      </c>
      <c r="W4" s="20" t="s">
        <v>42</v>
      </c>
      <c r="X4" s="20" t="s">
        <v>43</v>
      </c>
      <c r="Y4" s="20" t="s">
        <v>44</v>
      </c>
      <c r="Z4" s="20" t="s">
        <v>45</v>
      </c>
      <c r="AA4" s="20" t="s">
        <v>4</v>
      </c>
      <c r="AB4" s="20" t="s">
        <v>46</v>
      </c>
      <c r="AD4" s="20" t="s">
        <v>42</v>
      </c>
      <c r="AE4" s="20" t="s">
        <v>43</v>
      </c>
      <c r="AF4" s="20" t="s">
        <v>44</v>
      </c>
      <c r="AG4" s="20" t="s">
        <v>45</v>
      </c>
      <c r="AH4" s="20" t="s">
        <v>4</v>
      </c>
      <c r="AI4" s="20" t="s">
        <v>46</v>
      </c>
    </row>
    <row r="5" spans="2:35" x14ac:dyDescent="0.25">
      <c r="B5" s="17" t="s">
        <v>57</v>
      </c>
      <c r="C5" s="17" t="s">
        <v>58</v>
      </c>
      <c r="D5" s="18" t="s">
        <v>59</v>
      </c>
      <c r="E5" s="18">
        <v>5.0000000000000001E-3</v>
      </c>
      <c r="F5" s="19">
        <v>50</v>
      </c>
      <c r="G5" s="19">
        <f>L136</f>
        <v>1.5</v>
      </c>
      <c r="I5" s="17" t="s">
        <v>57</v>
      </c>
      <c r="J5" s="17" t="s">
        <v>58</v>
      </c>
      <c r="K5" s="18" t="s">
        <v>59</v>
      </c>
      <c r="L5" s="18">
        <v>5.0000000000000001E-3</v>
      </c>
      <c r="M5" s="19">
        <v>50</v>
      </c>
      <c r="N5" s="19">
        <f>M136</f>
        <v>1.5</v>
      </c>
      <c r="P5" s="17" t="s">
        <v>57</v>
      </c>
      <c r="Q5" s="17" t="s">
        <v>58</v>
      </c>
      <c r="R5" s="18" t="s">
        <v>59</v>
      </c>
      <c r="S5" s="18">
        <v>5.0000000000000001E-3</v>
      </c>
      <c r="T5" s="19">
        <v>50</v>
      </c>
      <c r="U5" s="19">
        <f>L136</f>
        <v>1.5</v>
      </c>
      <c r="W5" s="17" t="s">
        <v>57</v>
      </c>
      <c r="X5" s="17" t="s">
        <v>58</v>
      </c>
      <c r="Y5" s="18" t="s">
        <v>59</v>
      </c>
      <c r="Z5" s="18">
        <v>5.0000000000000001E-3</v>
      </c>
      <c r="AA5" s="19">
        <v>50</v>
      </c>
      <c r="AB5" s="19">
        <f>L136</f>
        <v>1.5</v>
      </c>
      <c r="AD5" s="17" t="s">
        <v>57</v>
      </c>
      <c r="AE5" s="17" t="s">
        <v>58</v>
      </c>
      <c r="AF5" s="18" t="s">
        <v>59</v>
      </c>
      <c r="AG5" s="18">
        <v>5.0000000000000001E-3</v>
      </c>
      <c r="AH5" s="19">
        <v>50</v>
      </c>
      <c r="AI5" s="19">
        <f>S136</f>
        <v>1.5</v>
      </c>
    </row>
    <row r="6" spans="2:35" x14ac:dyDescent="0.25">
      <c r="B6" s="17" t="s">
        <v>60</v>
      </c>
      <c r="C6" s="17" t="s">
        <v>61</v>
      </c>
      <c r="D6" s="18" t="s">
        <v>16</v>
      </c>
      <c r="E6" s="18">
        <f>K137</f>
        <v>72</v>
      </c>
      <c r="F6" s="19">
        <v>155</v>
      </c>
      <c r="G6" s="19">
        <f>L137</f>
        <v>4.166666666666667</v>
      </c>
      <c r="I6" s="17" t="s">
        <v>60</v>
      </c>
      <c r="J6" s="17" t="s">
        <v>61</v>
      </c>
      <c r="K6" s="18" t="s">
        <v>16</v>
      </c>
      <c r="L6" s="18">
        <f>R137</f>
        <v>12.5</v>
      </c>
      <c r="M6" s="19">
        <v>117.5</v>
      </c>
      <c r="N6" s="19">
        <f>M137</f>
        <v>4.166666666666667</v>
      </c>
      <c r="P6" s="17" t="s">
        <v>60</v>
      </c>
      <c r="Q6" s="17" t="s">
        <v>90</v>
      </c>
      <c r="R6" s="18" t="s">
        <v>16</v>
      </c>
      <c r="S6" s="18">
        <v>2</v>
      </c>
      <c r="T6" s="19">
        <v>117.5</v>
      </c>
      <c r="U6" s="19">
        <f>N137</f>
        <v>8.3333333333333339</v>
      </c>
      <c r="W6" s="17" t="s">
        <v>60</v>
      </c>
      <c r="X6" s="17" t="s">
        <v>90</v>
      </c>
      <c r="Y6" s="18" t="s">
        <v>16</v>
      </c>
      <c r="Z6" s="18">
        <v>2</v>
      </c>
      <c r="AA6" s="19">
        <v>117.5</v>
      </c>
      <c r="AB6" s="19">
        <f>O137</f>
        <v>8.3333333333333339</v>
      </c>
      <c r="AD6" s="17" t="s">
        <v>60</v>
      </c>
      <c r="AE6" s="17" t="s">
        <v>90</v>
      </c>
      <c r="AF6" s="18" t="s">
        <v>16</v>
      </c>
      <c r="AG6" s="18">
        <v>2</v>
      </c>
      <c r="AH6" s="19">
        <v>117.5</v>
      </c>
      <c r="AI6" s="19">
        <f>P137</f>
        <v>12.5</v>
      </c>
    </row>
    <row r="7" spans="2:35" x14ac:dyDescent="0.25">
      <c r="B7" s="17" t="s">
        <v>62</v>
      </c>
      <c r="C7" s="17" t="s">
        <v>98</v>
      </c>
      <c r="D7" s="18" t="s">
        <v>16</v>
      </c>
      <c r="E7" s="18">
        <v>2.5</v>
      </c>
      <c r="F7" s="19">
        <v>2.5</v>
      </c>
      <c r="G7" s="19">
        <f>L138</f>
        <v>9</v>
      </c>
      <c r="I7" s="17" t="s">
        <v>62</v>
      </c>
      <c r="J7" s="17" t="s">
        <v>98</v>
      </c>
      <c r="K7" s="18" t="s">
        <v>16</v>
      </c>
      <c r="L7" s="18">
        <v>2.5</v>
      </c>
      <c r="M7" s="19">
        <v>2.5</v>
      </c>
      <c r="N7" s="19">
        <f>M138</f>
        <v>9</v>
      </c>
      <c r="P7" s="17" t="s">
        <v>62</v>
      </c>
      <c r="Q7" s="17" t="s">
        <v>97</v>
      </c>
      <c r="R7" s="18" t="s">
        <v>16</v>
      </c>
      <c r="S7" s="18">
        <v>2.5</v>
      </c>
      <c r="T7" s="19">
        <v>2.5</v>
      </c>
      <c r="U7" s="19">
        <f>N138</f>
        <v>9</v>
      </c>
      <c r="W7" s="17" t="s">
        <v>62</v>
      </c>
      <c r="X7" s="17" t="s">
        <v>97</v>
      </c>
      <c r="Y7" s="18" t="s">
        <v>16</v>
      </c>
      <c r="Z7" s="18">
        <v>2.5</v>
      </c>
      <c r="AA7" s="19">
        <v>2.5</v>
      </c>
      <c r="AB7" s="19">
        <f>L138</f>
        <v>9</v>
      </c>
      <c r="AD7" s="17" t="s">
        <v>62</v>
      </c>
      <c r="AE7" s="17" t="s">
        <v>97</v>
      </c>
      <c r="AF7" s="18" t="s">
        <v>16</v>
      </c>
      <c r="AG7" s="18">
        <v>2.5</v>
      </c>
      <c r="AH7" s="19">
        <v>2.5</v>
      </c>
      <c r="AI7" s="19">
        <f>P138</f>
        <v>9</v>
      </c>
    </row>
    <row r="8" spans="2:35" x14ac:dyDescent="0.25">
      <c r="B8" s="17" t="s">
        <v>63</v>
      </c>
      <c r="C8" s="17" t="s">
        <v>64</v>
      </c>
      <c r="D8" s="18" t="s">
        <v>59</v>
      </c>
      <c r="E8" s="18">
        <f>K148</f>
        <v>14</v>
      </c>
      <c r="F8" s="19">
        <v>145</v>
      </c>
      <c r="G8" s="19">
        <f>L148</f>
        <v>9.1</v>
      </c>
      <c r="I8" s="17" t="s">
        <v>63</v>
      </c>
      <c r="J8" s="17" t="s">
        <v>64</v>
      </c>
      <c r="K8" s="18" t="s">
        <v>59</v>
      </c>
      <c r="L8" s="18">
        <v>1.2E-2</v>
      </c>
      <c r="M8" s="19">
        <v>145</v>
      </c>
      <c r="N8" s="19">
        <f>M148</f>
        <v>9.1</v>
      </c>
      <c r="P8" s="17" t="s">
        <v>63</v>
      </c>
      <c r="Q8" s="17" t="s">
        <v>96</v>
      </c>
      <c r="R8" s="18" t="s">
        <v>59</v>
      </c>
      <c r="S8" s="18">
        <v>2.4E-2</v>
      </c>
      <c r="T8" s="19">
        <v>145</v>
      </c>
      <c r="U8" s="19">
        <f>N148</f>
        <v>18.2</v>
      </c>
      <c r="W8" s="17" t="s">
        <v>63</v>
      </c>
      <c r="X8" s="17" t="s">
        <v>96</v>
      </c>
      <c r="Y8" s="18" t="s">
        <v>59</v>
      </c>
      <c r="Z8" s="18">
        <v>2.4E-2</v>
      </c>
      <c r="AA8" s="19">
        <v>145</v>
      </c>
      <c r="AB8" s="19">
        <f>O148</f>
        <v>18.2</v>
      </c>
      <c r="AD8" s="17" t="s">
        <v>63</v>
      </c>
      <c r="AE8" s="17" t="s">
        <v>96</v>
      </c>
      <c r="AF8" s="18" t="s">
        <v>59</v>
      </c>
      <c r="AG8" s="18">
        <v>2.4E-2</v>
      </c>
      <c r="AH8" s="19">
        <v>145</v>
      </c>
      <c r="AI8" s="19">
        <f>P148</f>
        <v>27.299999999999997</v>
      </c>
    </row>
    <row r="9" spans="2:35" x14ac:dyDescent="0.25">
      <c r="B9" s="17" t="s">
        <v>65</v>
      </c>
      <c r="C9" s="17" t="s">
        <v>66</v>
      </c>
      <c r="D9" s="18" t="s">
        <v>16</v>
      </c>
      <c r="E9" s="18">
        <v>0.1</v>
      </c>
      <c r="F9" s="19">
        <f>J140</f>
        <v>520</v>
      </c>
      <c r="G9" s="19">
        <f>L140</f>
        <v>52</v>
      </c>
      <c r="I9" s="17" t="s">
        <v>65</v>
      </c>
      <c r="J9" s="17" t="s">
        <v>95</v>
      </c>
      <c r="K9" s="18" t="s">
        <v>16</v>
      </c>
      <c r="L9" s="18">
        <v>0.14000000000000001</v>
      </c>
      <c r="M9" s="19">
        <v>125</v>
      </c>
      <c r="N9" s="19">
        <f>M140</f>
        <v>72.800000000000011</v>
      </c>
      <c r="P9" s="17" t="s">
        <v>65</v>
      </c>
      <c r="Q9" s="17" t="s">
        <v>94</v>
      </c>
      <c r="R9" s="18" t="s">
        <v>16</v>
      </c>
      <c r="S9" s="18">
        <v>0.2</v>
      </c>
      <c r="T9" s="19">
        <v>125</v>
      </c>
      <c r="U9" s="19">
        <f>N140</f>
        <v>104</v>
      </c>
      <c r="W9" s="17" t="s">
        <v>65</v>
      </c>
      <c r="X9" s="17" t="s">
        <v>93</v>
      </c>
      <c r="Y9" s="18" t="s">
        <v>16</v>
      </c>
      <c r="Z9" s="18">
        <v>0.28000000000000003</v>
      </c>
      <c r="AA9" s="19">
        <v>125</v>
      </c>
      <c r="AB9" s="19">
        <f>O140</f>
        <v>145.60000000000002</v>
      </c>
      <c r="AD9" s="17" t="s">
        <v>65</v>
      </c>
      <c r="AE9" s="17" t="s">
        <v>240</v>
      </c>
      <c r="AF9" s="18" t="s">
        <v>16</v>
      </c>
      <c r="AG9" s="18">
        <v>0.28000000000000003</v>
      </c>
      <c r="AH9" s="19">
        <v>125</v>
      </c>
      <c r="AI9" s="19">
        <f>P140</f>
        <v>156</v>
      </c>
    </row>
    <row r="10" spans="2:35" x14ac:dyDescent="0.25">
      <c r="B10" s="17" t="s">
        <v>24</v>
      </c>
      <c r="C10" s="17" t="s">
        <v>167</v>
      </c>
      <c r="D10" s="18" t="s">
        <v>67</v>
      </c>
      <c r="E10" s="18">
        <f>K141</f>
        <v>300</v>
      </c>
      <c r="F10" s="19">
        <v>33</v>
      </c>
      <c r="G10" s="19">
        <f>L141</f>
        <v>17.400000000000002</v>
      </c>
      <c r="I10" s="17" t="s">
        <v>24</v>
      </c>
      <c r="J10" s="17" t="s">
        <v>167</v>
      </c>
      <c r="K10" s="18" t="s">
        <v>67</v>
      </c>
      <c r="L10" s="18">
        <v>0.25</v>
      </c>
      <c r="M10" s="19">
        <v>33</v>
      </c>
      <c r="N10" s="19">
        <f>M141</f>
        <v>17.400000000000002</v>
      </c>
      <c r="P10" s="17" t="s">
        <v>24</v>
      </c>
      <c r="Q10" s="17" t="s">
        <v>167</v>
      </c>
      <c r="R10" s="18" t="s">
        <v>67</v>
      </c>
      <c r="S10" s="18">
        <v>0.25</v>
      </c>
      <c r="T10" s="19">
        <v>33</v>
      </c>
      <c r="U10" s="19">
        <f>N141</f>
        <v>17.400000000000002</v>
      </c>
      <c r="W10" s="17" t="s">
        <v>24</v>
      </c>
      <c r="X10" s="17" t="s">
        <v>167</v>
      </c>
      <c r="Y10" s="18" t="s">
        <v>67</v>
      </c>
      <c r="Z10" s="18">
        <v>0.25</v>
      </c>
      <c r="AA10" s="19">
        <v>33</v>
      </c>
      <c r="AB10" s="19">
        <f>L141</f>
        <v>17.400000000000002</v>
      </c>
      <c r="AD10" s="17" t="s">
        <v>24</v>
      </c>
      <c r="AE10" s="17" t="s">
        <v>167</v>
      </c>
      <c r="AF10" s="18" t="s">
        <v>67</v>
      </c>
      <c r="AG10" s="18">
        <v>0.25</v>
      </c>
      <c r="AH10" s="19">
        <v>33</v>
      </c>
      <c r="AI10" s="19">
        <f>S141</f>
        <v>17.400000000000002</v>
      </c>
    </row>
    <row r="11" spans="2:35" x14ac:dyDescent="0.25">
      <c r="B11" s="17" t="s">
        <v>68</v>
      </c>
      <c r="C11" s="17" t="s">
        <v>69</v>
      </c>
      <c r="D11" s="18" t="s">
        <v>67</v>
      </c>
      <c r="E11" s="18">
        <v>0.1</v>
      </c>
      <c r="F11" s="19">
        <v>1</v>
      </c>
      <c r="G11" s="19">
        <f>L142</f>
        <v>3</v>
      </c>
      <c r="I11" s="17" t="s">
        <v>68</v>
      </c>
      <c r="J11" s="17" t="s">
        <v>69</v>
      </c>
      <c r="K11" s="18" t="s">
        <v>67</v>
      </c>
      <c r="L11" s="18">
        <v>0.1</v>
      </c>
      <c r="M11" s="19">
        <v>1</v>
      </c>
      <c r="N11" s="19">
        <f>M142</f>
        <v>3</v>
      </c>
      <c r="P11" s="17" t="s">
        <v>68</v>
      </c>
      <c r="Q11" s="17" t="s">
        <v>69</v>
      </c>
      <c r="R11" s="18" t="s">
        <v>67</v>
      </c>
      <c r="S11" s="18">
        <v>0.1</v>
      </c>
      <c r="T11" s="19">
        <v>1</v>
      </c>
      <c r="U11" s="19">
        <f>L142</f>
        <v>3</v>
      </c>
      <c r="W11" s="17" t="s">
        <v>68</v>
      </c>
      <c r="X11" s="17" t="s">
        <v>69</v>
      </c>
      <c r="Y11" s="18" t="s">
        <v>67</v>
      </c>
      <c r="Z11" s="18">
        <v>0.1</v>
      </c>
      <c r="AA11" s="19">
        <v>1</v>
      </c>
      <c r="AB11" s="19">
        <f>L142</f>
        <v>3</v>
      </c>
      <c r="AD11" s="17" t="s">
        <v>68</v>
      </c>
      <c r="AE11" s="17" t="s">
        <v>69</v>
      </c>
      <c r="AF11" s="18" t="s">
        <v>67</v>
      </c>
      <c r="AG11" s="18">
        <v>0.1</v>
      </c>
      <c r="AH11" s="19">
        <v>1</v>
      </c>
      <c r="AI11" s="19">
        <f>S142</f>
        <v>3</v>
      </c>
    </row>
    <row r="12" spans="2:35" x14ac:dyDescent="0.25">
      <c r="B12" s="17" t="s">
        <v>70</v>
      </c>
      <c r="C12" s="17" t="s">
        <v>70</v>
      </c>
      <c r="D12" s="18" t="s">
        <v>16</v>
      </c>
      <c r="E12" s="18">
        <v>1</v>
      </c>
      <c r="F12" s="19">
        <v>7.2</v>
      </c>
      <c r="G12" s="19">
        <f>L143</f>
        <v>21</v>
      </c>
      <c r="I12" s="17" t="s">
        <v>70</v>
      </c>
      <c r="J12" s="17" t="s">
        <v>70</v>
      </c>
      <c r="K12" s="18" t="s">
        <v>16</v>
      </c>
      <c r="L12" s="18">
        <v>1</v>
      </c>
      <c r="M12" s="19">
        <v>7.2</v>
      </c>
      <c r="N12" s="19">
        <f>M143</f>
        <v>21</v>
      </c>
      <c r="P12" s="17" t="s">
        <v>70</v>
      </c>
      <c r="Q12" s="17" t="s">
        <v>70</v>
      </c>
      <c r="R12" s="18" t="s">
        <v>16</v>
      </c>
      <c r="S12" s="18">
        <v>1</v>
      </c>
      <c r="T12" s="19">
        <v>7.2</v>
      </c>
      <c r="U12" s="19">
        <f>L143</f>
        <v>21</v>
      </c>
      <c r="W12" s="17" t="s">
        <v>70</v>
      </c>
      <c r="X12" s="17" t="s">
        <v>70</v>
      </c>
      <c r="Y12" s="18" t="s">
        <v>16</v>
      </c>
      <c r="Z12" s="18">
        <v>1</v>
      </c>
      <c r="AA12" s="19">
        <v>7.2</v>
      </c>
      <c r="AB12" s="19">
        <f>S143</f>
        <v>21</v>
      </c>
      <c r="AD12" s="17" t="s">
        <v>70</v>
      </c>
      <c r="AE12" s="17" t="s">
        <v>70</v>
      </c>
      <c r="AF12" s="18" t="s">
        <v>16</v>
      </c>
      <c r="AG12" s="18">
        <v>1</v>
      </c>
      <c r="AH12" s="19">
        <v>7.2</v>
      </c>
      <c r="AI12" s="19">
        <f>P143</f>
        <v>21</v>
      </c>
    </row>
    <row r="13" spans="2:35" x14ac:dyDescent="0.25">
      <c r="B13" s="41"/>
      <c r="F13" t="s">
        <v>73</v>
      </c>
      <c r="G13" s="2">
        <f>SUM(G5:G12)</f>
        <v>117.16666666666667</v>
      </c>
      <c r="I13" s="41"/>
      <c r="M13" t="s">
        <v>73</v>
      </c>
      <c r="N13" s="2">
        <f>SUM(N5:N12)</f>
        <v>137.9666666666667</v>
      </c>
      <c r="P13" s="41"/>
      <c r="T13" t="s">
        <v>73</v>
      </c>
      <c r="U13" s="2">
        <f>SUM(U5:U12)</f>
        <v>182.43333333333334</v>
      </c>
      <c r="W13" s="41"/>
      <c r="AA13" t="s">
        <v>73</v>
      </c>
      <c r="AB13" s="2">
        <f>SUM(AB5:AB12)</f>
        <v>224.03333333333336</v>
      </c>
      <c r="AD13" s="41"/>
      <c r="AH13" t="s">
        <v>73</v>
      </c>
      <c r="AI13" s="2">
        <f>SUM(AI5:AI12)</f>
        <v>247.70000000000002</v>
      </c>
    </row>
    <row r="14" spans="2:35" x14ac:dyDescent="0.25">
      <c r="B14" s="41"/>
      <c r="D14" s="2"/>
      <c r="F14" t="s">
        <v>85</v>
      </c>
      <c r="G14" s="2">
        <f>'Genel Gider'!F24</f>
        <v>200.21961266913951</v>
      </c>
      <c r="H14" s="37"/>
      <c r="I14" s="41"/>
      <c r="K14" s="2"/>
      <c r="M14" t="s">
        <v>85</v>
      </c>
      <c r="N14" s="2">
        <f>'Genel Gider'!F24</f>
        <v>200.21961266913951</v>
      </c>
      <c r="O14" s="37"/>
      <c r="P14" s="41"/>
      <c r="R14" s="2"/>
      <c r="T14" t="s">
        <v>85</v>
      </c>
      <c r="U14" s="2">
        <f>'Genel Gider'!F24</f>
        <v>200.21961266913951</v>
      </c>
      <c r="W14" s="41"/>
      <c r="Y14" s="2"/>
      <c r="AA14" t="s">
        <v>85</v>
      </c>
      <c r="AB14" s="2">
        <f>'Genel Gider'!F24</f>
        <v>200.21961266913951</v>
      </c>
      <c r="AD14" s="41"/>
      <c r="AF14" s="2"/>
      <c r="AH14" t="s">
        <v>85</v>
      </c>
      <c r="AI14" s="2">
        <f>'Genel Gider'!M24</f>
        <v>0</v>
      </c>
    </row>
    <row r="15" spans="2:35" x14ac:dyDescent="0.25">
      <c r="B15" s="41"/>
      <c r="D15" s="2"/>
      <c r="F15" t="s">
        <v>14</v>
      </c>
      <c r="G15" s="2">
        <f>SUM(G13:G14)</f>
        <v>317.38627933580619</v>
      </c>
      <c r="H15" s="37"/>
      <c r="I15" s="41"/>
      <c r="K15" s="2"/>
      <c r="M15" t="s">
        <v>14</v>
      </c>
      <c r="N15" s="2">
        <f>SUM(N13:N14)</f>
        <v>338.1862793358062</v>
      </c>
      <c r="O15" s="37"/>
      <c r="P15" s="41"/>
      <c r="R15" s="2"/>
      <c r="T15" t="s">
        <v>14</v>
      </c>
      <c r="U15" s="2">
        <f>SUM(U13:U14)</f>
        <v>382.65294600247285</v>
      </c>
      <c r="W15" s="41"/>
      <c r="Y15" s="2"/>
      <c r="AA15" t="s">
        <v>14</v>
      </c>
      <c r="AB15" s="2">
        <f>SUM(AB13:AB14)</f>
        <v>424.25294600247287</v>
      </c>
      <c r="AD15" s="41"/>
      <c r="AF15" s="2"/>
      <c r="AH15" t="s">
        <v>14</v>
      </c>
      <c r="AI15" s="2">
        <f>SUM(AI13:AI14)</f>
        <v>247.70000000000002</v>
      </c>
    </row>
    <row r="17" spans="2:35" x14ac:dyDescent="0.25">
      <c r="B17" s="39" t="s">
        <v>110</v>
      </c>
      <c r="C17" s="39"/>
      <c r="D17" s="39"/>
      <c r="E17" s="39"/>
      <c r="F17" s="39"/>
      <c r="G17" s="40">
        <f>C161</f>
        <v>299.89999999999998</v>
      </c>
      <c r="I17" s="39" t="s">
        <v>111</v>
      </c>
      <c r="J17" s="39"/>
      <c r="K17" s="39"/>
      <c r="L17" s="39"/>
      <c r="M17" s="39"/>
      <c r="N17" s="40">
        <f>D161</f>
        <v>334.9</v>
      </c>
      <c r="P17" s="39" t="s">
        <v>112</v>
      </c>
      <c r="Q17" s="39"/>
      <c r="R17" s="39"/>
      <c r="S17" s="39"/>
      <c r="T17" s="39"/>
      <c r="U17" s="40">
        <f>E161</f>
        <v>369.9</v>
      </c>
      <c r="W17" s="39" t="s">
        <v>113</v>
      </c>
      <c r="X17" s="39"/>
      <c r="Y17" s="39"/>
      <c r="Z17" s="39"/>
      <c r="AA17" s="39"/>
      <c r="AB17" s="40">
        <f>F161</f>
        <v>404.9</v>
      </c>
      <c r="AD17" s="39" t="s">
        <v>241</v>
      </c>
      <c r="AE17" s="39"/>
      <c r="AF17" s="39"/>
      <c r="AG17" s="39"/>
      <c r="AH17" s="39"/>
      <c r="AI17" s="40">
        <f>M161</f>
        <v>280</v>
      </c>
    </row>
    <row r="18" spans="2:35" x14ac:dyDescent="0.25">
      <c r="B18" s="20" t="s">
        <v>42</v>
      </c>
      <c r="C18" s="20" t="s">
        <v>43</v>
      </c>
      <c r="D18" s="20" t="s">
        <v>44</v>
      </c>
      <c r="E18" s="20" t="s">
        <v>45</v>
      </c>
      <c r="F18" s="20" t="s">
        <v>4</v>
      </c>
      <c r="G18" s="20" t="s">
        <v>46</v>
      </c>
      <c r="I18" s="20" t="s">
        <v>42</v>
      </c>
      <c r="J18" s="20" t="s">
        <v>43</v>
      </c>
      <c r="K18" s="20" t="s">
        <v>44</v>
      </c>
      <c r="L18" s="20" t="s">
        <v>45</v>
      </c>
      <c r="M18" s="20" t="s">
        <v>4</v>
      </c>
      <c r="N18" s="20" t="s">
        <v>46</v>
      </c>
      <c r="P18" s="20" t="s">
        <v>42</v>
      </c>
      <c r="Q18" s="20" t="s">
        <v>43</v>
      </c>
      <c r="R18" s="20" t="s">
        <v>44</v>
      </c>
      <c r="S18" s="20" t="s">
        <v>45</v>
      </c>
      <c r="T18" s="20" t="s">
        <v>4</v>
      </c>
      <c r="U18" s="20" t="s">
        <v>46</v>
      </c>
      <c r="W18" s="20" t="s">
        <v>42</v>
      </c>
      <c r="X18" s="20" t="s">
        <v>43</v>
      </c>
      <c r="Y18" s="20" t="s">
        <v>44</v>
      </c>
      <c r="Z18" s="20" t="s">
        <v>45</v>
      </c>
      <c r="AA18" s="20" t="s">
        <v>4</v>
      </c>
      <c r="AB18" s="20" t="s">
        <v>46</v>
      </c>
      <c r="AD18" s="20" t="s">
        <v>42</v>
      </c>
      <c r="AE18" s="20" t="s">
        <v>43</v>
      </c>
      <c r="AF18" s="20" t="s">
        <v>44</v>
      </c>
      <c r="AG18" s="20" t="s">
        <v>45</v>
      </c>
      <c r="AH18" s="20" t="s">
        <v>4</v>
      </c>
      <c r="AI18" s="20" t="s">
        <v>46</v>
      </c>
    </row>
    <row r="19" spans="2:35" x14ac:dyDescent="0.25">
      <c r="B19" s="17" t="s">
        <v>161</v>
      </c>
      <c r="C19" s="17" t="s">
        <v>58</v>
      </c>
      <c r="D19" s="18" t="s">
        <v>59</v>
      </c>
      <c r="E19" s="18">
        <v>5.0000000000000001E-3</v>
      </c>
      <c r="F19" s="19">
        <v>50</v>
      </c>
      <c r="G19" s="19">
        <f>L146</f>
        <v>2</v>
      </c>
      <c r="I19" s="17" t="s">
        <v>161</v>
      </c>
      <c r="J19" s="17" t="s">
        <v>58</v>
      </c>
      <c r="K19" s="18" t="s">
        <v>59</v>
      </c>
      <c r="L19" s="18">
        <v>5.0000000000000001E-3</v>
      </c>
      <c r="M19" s="19">
        <v>50</v>
      </c>
      <c r="N19" s="19">
        <f>L146</f>
        <v>2</v>
      </c>
      <c r="P19" s="17" t="s">
        <v>161</v>
      </c>
      <c r="Q19" s="17" t="s">
        <v>58</v>
      </c>
      <c r="R19" s="18" t="s">
        <v>59</v>
      </c>
      <c r="S19" s="18">
        <v>5.0000000000000001E-3</v>
      </c>
      <c r="T19" s="19">
        <v>50</v>
      </c>
      <c r="U19" s="19">
        <f>L146</f>
        <v>2</v>
      </c>
      <c r="W19" s="17" t="s">
        <v>161</v>
      </c>
      <c r="X19" s="17" t="s">
        <v>58</v>
      </c>
      <c r="Y19" s="18" t="s">
        <v>59</v>
      </c>
      <c r="Z19" s="18">
        <v>5.0000000000000001E-3</v>
      </c>
      <c r="AA19" s="19">
        <v>50</v>
      </c>
      <c r="AB19" s="19">
        <f>L146</f>
        <v>2</v>
      </c>
      <c r="AD19" s="17" t="s">
        <v>161</v>
      </c>
      <c r="AE19" s="17" t="s">
        <v>58</v>
      </c>
      <c r="AF19" s="18" t="s">
        <v>59</v>
      </c>
      <c r="AG19" s="18">
        <v>5.0000000000000001E-3</v>
      </c>
      <c r="AH19" s="19">
        <v>50</v>
      </c>
      <c r="AI19" s="19">
        <f t="shared" ref="AI19:AI26" si="0">S136</f>
        <v>1.5</v>
      </c>
    </row>
    <row r="20" spans="2:35" x14ac:dyDescent="0.25">
      <c r="B20" s="17" t="s">
        <v>60</v>
      </c>
      <c r="C20" s="17" t="s">
        <v>61</v>
      </c>
      <c r="D20" s="18" t="s">
        <v>16</v>
      </c>
      <c r="E20" s="18">
        <f>K155</f>
        <v>1</v>
      </c>
      <c r="F20" s="19">
        <v>117.5</v>
      </c>
      <c r="G20" s="19">
        <f>L137</f>
        <v>4.166666666666667</v>
      </c>
      <c r="I20" s="17" t="s">
        <v>60</v>
      </c>
      <c r="J20" s="17" t="s">
        <v>61</v>
      </c>
      <c r="K20" s="18" t="s">
        <v>16</v>
      </c>
      <c r="L20" s="18">
        <f>R155</f>
        <v>5</v>
      </c>
      <c r="M20" s="19">
        <v>117.5</v>
      </c>
      <c r="N20" s="19">
        <f>M137</f>
        <v>4.166666666666667</v>
      </c>
      <c r="P20" s="17" t="s">
        <v>60</v>
      </c>
      <c r="Q20" s="17" t="s">
        <v>90</v>
      </c>
      <c r="R20" s="18" t="s">
        <v>16</v>
      </c>
      <c r="S20" s="18">
        <v>2</v>
      </c>
      <c r="T20" s="19">
        <v>117.5</v>
      </c>
      <c r="U20" s="19">
        <f>N137</f>
        <v>8.3333333333333339</v>
      </c>
      <c r="W20" s="17" t="s">
        <v>60</v>
      </c>
      <c r="X20" s="17" t="s">
        <v>90</v>
      </c>
      <c r="Y20" s="18" t="s">
        <v>16</v>
      </c>
      <c r="Z20" s="18">
        <v>2</v>
      </c>
      <c r="AA20" s="19">
        <v>117.5</v>
      </c>
      <c r="AB20" s="19">
        <f>O137</f>
        <v>8.3333333333333339</v>
      </c>
      <c r="AD20" s="17" t="s">
        <v>60</v>
      </c>
      <c r="AE20" s="17" t="s">
        <v>90</v>
      </c>
      <c r="AF20" s="18" t="s">
        <v>16</v>
      </c>
      <c r="AG20" s="18">
        <v>2</v>
      </c>
      <c r="AH20" s="19">
        <v>117.5</v>
      </c>
      <c r="AI20" s="19">
        <f t="shared" si="0"/>
        <v>12.5</v>
      </c>
    </row>
    <row r="21" spans="2:35" x14ac:dyDescent="0.25">
      <c r="B21" s="17" t="s">
        <v>62</v>
      </c>
      <c r="C21" s="17" t="s">
        <v>98</v>
      </c>
      <c r="D21" s="18" t="s">
        <v>16</v>
      </c>
      <c r="E21" s="18">
        <v>2.5</v>
      </c>
      <c r="F21" s="19">
        <v>2.5</v>
      </c>
      <c r="G21" s="19">
        <f>L138</f>
        <v>9</v>
      </c>
      <c r="I21" s="17" t="s">
        <v>62</v>
      </c>
      <c r="J21" s="17" t="s">
        <v>98</v>
      </c>
      <c r="K21" s="18" t="s">
        <v>16</v>
      </c>
      <c r="L21" s="18">
        <v>2.5</v>
      </c>
      <c r="M21" s="19">
        <v>2.5</v>
      </c>
      <c r="N21" s="19">
        <f>L138</f>
        <v>9</v>
      </c>
      <c r="P21" s="17" t="s">
        <v>62</v>
      </c>
      <c r="Q21" s="17" t="s">
        <v>97</v>
      </c>
      <c r="R21" s="18" t="s">
        <v>16</v>
      </c>
      <c r="S21" s="18">
        <v>2.5</v>
      </c>
      <c r="T21" s="19">
        <v>2.5</v>
      </c>
      <c r="U21" s="19">
        <f>L138</f>
        <v>9</v>
      </c>
      <c r="W21" s="17" t="s">
        <v>62</v>
      </c>
      <c r="X21" s="17" t="s">
        <v>97</v>
      </c>
      <c r="Y21" s="18" t="s">
        <v>16</v>
      </c>
      <c r="Z21" s="18">
        <v>2.5</v>
      </c>
      <c r="AA21" s="19">
        <v>2.5</v>
      </c>
      <c r="AB21" s="19">
        <f>L138</f>
        <v>9</v>
      </c>
      <c r="AD21" s="17" t="s">
        <v>62</v>
      </c>
      <c r="AE21" s="17" t="s">
        <v>97</v>
      </c>
      <c r="AF21" s="18" t="s">
        <v>16</v>
      </c>
      <c r="AG21" s="18">
        <v>2.5</v>
      </c>
      <c r="AH21" s="19">
        <v>2.5</v>
      </c>
      <c r="AI21" s="19">
        <f t="shared" si="0"/>
        <v>9</v>
      </c>
    </row>
    <row r="22" spans="2:35" x14ac:dyDescent="0.25">
      <c r="B22" s="17" t="s">
        <v>63</v>
      </c>
      <c r="C22" s="17" t="s">
        <v>64</v>
      </c>
      <c r="D22" s="18" t="s">
        <v>59</v>
      </c>
      <c r="E22" s="18" t="e">
        <f>#REF!</f>
        <v>#REF!</v>
      </c>
      <c r="F22" s="19">
        <v>145</v>
      </c>
      <c r="G22" s="19">
        <f>L148</f>
        <v>9.1</v>
      </c>
      <c r="I22" s="17" t="s">
        <v>63</v>
      </c>
      <c r="J22" s="17" t="s">
        <v>64</v>
      </c>
      <c r="K22" s="18" t="s">
        <v>59</v>
      </c>
      <c r="L22" s="18">
        <v>1.2E-2</v>
      </c>
      <c r="M22" s="19">
        <v>145</v>
      </c>
      <c r="N22" s="19">
        <f>M148</f>
        <v>9.1</v>
      </c>
      <c r="P22" s="17" t="s">
        <v>63</v>
      </c>
      <c r="Q22" s="17" t="s">
        <v>96</v>
      </c>
      <c r="R22" s="18" t="s">
        <v>59</v>
      </c>
      <c r="S22" s="18">
        <v>2.4E-2</v>
      </c>
      <c r="T22" s="19">
        <v>145</v>
      </c>
      <c r="U22" s="19">
        <f>N148</f>
        <v>18.2</v>
      </c>
      <c r="W22" s="17" t="s">
        <v>63</v>
      </c>
      <c r="X22" s="17" t="s">
        <v>96</v>
      </c>
      <c r="Y22" s="18" t="s">
        <v>59</v>
      </c>
      <c r="Z22" s="18">
        <v>2.4E-2</v>
      </c>
      <c r="AA22" s="19">
        <v>145</v>
      </c>
      <c r="AB22" s="19">
        <f>O148</f>
        <v>18.2</v>
      </c>
      <c r="AD22" s="17" t="s">
        <v>63</v>
      </c>
      <c r="AE22" s="17" t="s">
        <v>96</v>
      </c>
      <c r="AF22" s="18" t="s">
        <v>59</v>
      </c>
      <c r="AG22" s="18">
        <v>2.4E-2</v>
      </c>
      <c r="AH22" s="19">
        <v>145</v>
      </c>
      <c r="AI22" s="19">
        <f t="shared" si="0"/>
        <v>28</v>
      </c>
    </row>
    <row r="23" spans="2:35" x14ac:dyDescent="0.25">
      <c r="B23" s="17" t="s">
        <v>65</v>
      </c>
      <c r="C23" s="17" t="s">
        <v>66</v>
      </c>
      <c r="D23" s="18" t="s">
        <v>16</v>
      </c>
      <c r="E23" s="18">
        <v>0.1</v>
      </c>
      <c r="F23" s="19" t="str">
        <f>J159</f>
        <v>G</v>
      </c>
      <c r="G23" s="19">
        <f>L140</f>
        <v>52</v>
      </c>
      <c r="I23" s="17" t="s">
        <v>65</v>
      </c>
      <c r="J23" s="17" t="s">
        <v>95</v>
      </c>
      <c r="K23" s="18" t="s">
        <v>16</v>
      </c>
      <c r="L23" s="18">
        <v>0.14000000000000001</v>
      </c>
      <c r="M23" s="19">
        <v>125</v>
      </c>
      <c r="N23" s="19">
        <f>M140</f>
        <v>72.800000000000011</v>
      </c>
      <c r="P23" s="17" t="s">
        <v>65</v>
      </c>
      <c r="Q23" s="17" t="s">
        <v>94</v>
      </c>
      <c r="R23" s="18" t="s">
        <v>16</v>
      </c>
      <c r="S23" s="18">
        <v>0.2</v>
      </c>
      <c r="T23" s="19">
        <v>125</v>
      </c>
      <c r="U23" s="19">
        <f>N140</f>
        <v>104</v>
      </c>
      <c r="W23" s="17" t="s">
        <v>65</v>
      </c>
      <c r="X23" s="17" t="s">
        <v>93</v>
      </c>
      <c r="Y23" s="18" t="s">
        <v>16</v>
      </c>
      <c r="Z23" s="18">
        <v>0.28000000000000003</v>
      </c>
      <c r="AA23" s="19">
        <v>125</v>
      </c>
      <c r="AB23" s="19">
        <f>O140</f>
        <v>145.60000000000002</v>
      </c>
      <c r="AD23" s="17" t="s">
        <v>65</v>
      </c>
      <c r="AE23" s="17" t="s">
        <v>93</v>
      </c>
      <c r="AF23" s="18" t="s">
        <v>16</v>
      </c>
      <c r="AG23" s="18">
        <v>0.28000000000000003</v>
      </c>
      <c r="AH23" s="19">
        <v>125</v>
      </c>
      <c r="AI23" s="19">
        <f t="shared" si="0"/>
        <v>218.4</v>
      </c>
    </row>
    <row r="24" spans="2:35" x14ac:dyDescent="0.25">
      <c r="B24" s="17" t="s">
        <v>24</v>
      </c>
      <c r="C24" s="17" t="s">
        <v>167</v>
      </c>
      <c r="D24" s="18" t="s">
        <v>67</v>
      </c>
      <c r="E24" s="18">
        <f>K160</f>
        <v>0</v>
      </c>
      <c r="F24" s="19">
        <f>J160</f>
        <v>0</v>
      </c>
      <c r="G24" s="19">
        <f>L141</f>
        <v>17.400000000000002</v>
      </c>
      <c r="I24" s="17" t="s">
        <v>24</v>
      </c>
      <c r="J24" s="17" t="s">
        <v>167</v>
      </c>
      <c r="K24" s="18" t="s">
        <v>67</v>
      </c>
      <c r="L24" s="18">
        <v>0.25</v>
      </c>
      <c r="M24" s="19">
        <v>33</v>
      </c>
      <c r="N24" s="19">
        <f>L141</f>
        <v>17.400000000000002</v>
      </c>
      <c r="P24" s="17" t="s">
        <v>24</v>
      </c>
      <c r="Q24" s="17" t="s">
        <v>167</v>
      </c>
      <c r="R24" s="18" t="s">
        <v>67</v>
      </c>
      <c r="S24" s="18">
        <v>0.25</v>
      </c>
      <c r="T24" s="19">
        <v>33</v>
      </c>
      <c r="U24" s="19">
        <f>L141</f>
        <v>17.400000000000002</v>
      </c>
      <c r="W24" s="17" t="s">
        <v>24</v>
      </c>
      <c r="X24" s="17" t="s">
        <v>167</v>
      </c>
      <c r="Y24" s="18" t="s">
        <v>67</v>
      </c>
      <c r="Z24" s="18">
        <v>0.25</v>
      </c>
      <c r="AA24" s="19">
        <v>33</v>
      </c>
      <c r="AB24" s="19">
        <f>L141</f>
        <v>17.400000000000002</v>
      </c>
      <c r="AD24" s="17" t="s">
        <v>24</v>
      </c>
      <c r="AE24" s="17" t="s">
        <v>167</v>
      </c>
      <c r="AF24" s="18" t="s">
        <v>67</v>
      </c>
      <c r="AG24" s="18">
        <v>0.25</v>
      </c>
      <c r="AH24" s="19">
        <v>33</v>
      </c>
      <c r="AI24" s="19">
        <f t="shared" si="0"/>
        <v>17.400000000000002</v>
      </c>
    </row>
    <row r="25" spans="2:35" x14ac:dyDescent="0.25">
      <c r="B25" s="17" t="s">
        <v>68</v>
      </c>
      <c r="C25" s="17" t="s">
        <v>69</v>
      </c>
      <c r="D25" s="18" t="s">
        <v>67</v>
      </c>
      <c r="E25" s="18">
        <v>0.1</v>
      </c>
      <c r="F25" s="19">
        <v>1</v>
      </c>
      <c r="G25" s="19">
        <f>L142</f>
        <v>3</v>
      </c>
      <c r="I25" s="17" t="s">
        <v>68</v>
      </c>
      <c r="J25" s="17" t="s">
        <v>69</v>
      </c>
      <c r="K25" s="18" t="s">
        <v>67</v>
      </c>
      <c r="L25" s="18">
        <v>0.1</v>
      </c>
      <c r="M25" s="19">
        <v>1</v>
      </c>
      <c r="N25" s="19">
        <f>M142</f>
        <v>3</v>
      </c>
      <c r="P25" s="17" t="s">
        <v>68</v>
      </c>
      <c r="Q25" s="17" t="s">
        <v>69</v>
      </c>
      <c r="R25" s="18" t="s">
        <v>67</v>
      </c>
      <c r="S25" s="18">
        <v>0.1</v>
      </c>
      <c r="T25" s="19">
        <v>1</v>
      </c>
      <c r="U25" s="19">
        <f>N142</f>
        <v>3</v>
      </c>
      <c r="W25" s="17" t="s">
        <v>68</v>
      </c>
      <c r="X25" s="17" t="s">
        <v>69</v>
      </c>
      <c r="Y25" s="18" t="s">
        <v>67</v>
      </c>
      <c r="Z25" s="18">
        <v>0.1</v>
      </c>
      <c r="AA25" s="19">
        <v>1</v>
      </c>
      <c r="AB25" s="19">
        <f>O142</f>
        <v>3</v>
      </c>
      <c r="AD25" s="17" t="s">
        <v>68</v>
      </c>
      <c r="AE25" s="17" t="s">
        <v>69</v>
      </c>
      <c r="AF25" s="18" t="s">
        <v>67</v>
      </c>
      <c r="AG25" s="18">
        <v>0.1</v>
      </c>
      <c r="AH25" s="19">
        <v>1</v>
      </c>
      <c r="AI25" s="19">
        <f t="shared" si="0"/>
        <v>3</v>
      </c>
    </row>
    <row r="26" spans="2:35" x14ac:dyDescent="0.25">
      <c r="B26" s="17" t="s">
        <v>70</v>
      </c>
      <c r="C26" s="17" t="s">
        <v>70</v>
      </c>
      <c r="D26" s="18" t="s">
        <v>16</v>
      </c>
      <c r="E26" s="18">
        <v>1</v>
      </c>
      <c r="F26" s="19">
        <v>7.2</v>
      </c>
      <c r="G26" s="19">
        <f>L143</f>
        <v>21</v>
      </c>
      <c r="I26" s="17" t="s">
        <v>70</v>
      </c>
      <c r="J26" s="17" t="s">
        <v>70</v>
      </c>
      <c r="K26" s="18" t="s">
        <v>16</v>
      </c>
      <c r="L26" s="18">
        <v>1</v>
      </c>
      <c r="M26" s="19">
        <v>7.2</v>
      </c>
      <c r="N26" s="19">
        <f>L143</f>
        <v>21</v>
      </c>
      <c r="P26" s="17" t="s">
        <v>70</v>
      </c>
      <c r="Q26" s="17" t="s">
        <v>70</v>
      </c>
      <c r="R26" s="18" t="s">
        <v>16</v>
      </c>
      <c r="S26" s="18">
        <v>1</v>
      </c>
      <c r="T26" s="19">
        <v>7.2</v>
      </c>
      <c r="U26" s="19">
        <f>L143</f>
        <v>21</v>
      </c>
      <c r="W26" s="17" t="s">
        <v>70</v>
      </c>
      <c r="X26" s="17" t="s">
        <v>70</v>
      </c>
      <c r="Y26" s="18" t="s">
        <v>16</v>
      </c>
      <c r="Z26" s="18">
        <v>1</v>
      </c>
      <c r="AA26" s="19">
        <v>7.2</v>
      </c>
      <c r="AB26" s="19">
        <f>L143</f>
        <v>21</v>
      </c>
      <c r="AD26" s="17" t="s">
        <v>70</v>
      </c>
      <c r="AE26" s="17" t="s">
        <v>70</v>
      </c>
      <c r="AF26" s="18" t="s">
        <v>16</v>
      </c>
      <c r="AG26" s="18">
        <v>1</v>
      </c>
      <c r="AH26" s="19">
        <v>7.2</v>
      </c>
      <c r="AI26" s="19">
        <f t="shared" si="0"/>
        <v>21</v>
      </c>
    </row>
    <row r="27" spans="2:35" x14ac:dyDescent="0.25">
      <c r="B27" s="41"/>
      <c r="F27" t="s">
        <v>73</v>
      </c>
      <c r="G27" s="2">
        <f>SUM(G19:G26)</f>
        <v>117.66666666666667</v>
      </c>
      <c r="I27" s="41"/>
      <c r="M27" t="s">
        <v>73</v>
      </c>
      <c r="N27" s="2">
        <f>SUM(N19:N26)</f>
        <v>138.4666666666667</v>
      </c>
      <c r="P27" s="41"/>
      <c r="T27" t="s">
        <v>73</v>
      </c>
      <c r="U27" s="2">
        <f>SUM(U19:U26)</f>
        <v>182.93333333333334</v>
      </c>
      <c r="W27" s="41"/>
      <c r="AA27" t="s">
        <v>73</v>
      </c>
      <c r="AB27" s="2">
        <f>SUM(AB19:AB26)</f>
        <v>224.53333333333336</v>
      </c>
      <c r="AD27" s="41"/>
      <c r="AH27" t="s">
        <v>73</v>
      </c>
      <c r="AI27" s="2">
        <f>SUM(AI19:AI26)</f>
        <v>310.79999999999995</v>
      </c>
    </row>
    <row r="28" spans="2:35" x14ac:dyDescent="0.25">
      <c r="B28" s="41"/>
      <c r="D28" s="2"/>
      <c r="F28" t="s">
        <v>85</v>
      </c>
      <c r="G28" s="2">
        <f>'Genel Gider'!F24</f>
        <v>200.21961266913951</v>
      </c>
      <c r="H28" s="37"/>
      <c r="I28" s="41"/>
      <c r="K28" s="2"/>
      <c r="M28" t="s">
        <v>85</v>
      </c>
      <c r="N28" s="2">
        <f>'Genel Gider'!F24</f>
        <v>200.21961266913951</v>
      </c>
      <c r="O28" s="37"/>
      <c r="P28" s="41"/>
      <c r="R28" s="2"/>
      <c r="T28" t="s">
        <v>85</v>
      </c>
      <c r="U28" s="2">
        <f>'Genel Gider'!F24</f>
        <v>200.21961266913951</v>
      </c>
      <c r="V28" s="37"/>
      <c r="W28" s="41"/>
      <c r="Y28" s="2"/>
      <c r="AA28" t="s">
        <v>85</v>
      </c>
      <c r="AB28" s="2">
        <f>'Genel Gider'!F24</f>
        <v>200.21961266913951</v>
      </c>
      <c r="AD28" s="41"/>
      <c r="AF28" s="2"/>
      <c r="AH28" t="s">
        <v>85</v>
      </c>
      <c r="AI28" s="2">
        <f>'Genel Gider'!M24</f>
        <v>0</v>
      </c>
    </row>
    <row r="29" spans="2:35" x14ac:dyDescent="0.25">
      <c r="B29" s="41"/>
      <c r="D29" s="2"/>
      <c r="F29" t="s">
        <v>14</v>
      </c>
      <c r="G29" s="2">
        <f>SUM(G27:G28)</f>
        <v>317.88627933580619</v>
      </c>
      <c r="H29" s="37"/>
      <c r="I29" s="41"/>
      <c r="K29" s="2"/>
      <c r="M29" t="s">
        <v>14</v>
      </c>
      <c r="N29" s="2">
        <f>SUM(N27:N28)</f>
        <v>338.6862793358062</v>
      </c>
      <c r="O29" s="37"/>
      <c r="P29" s="41"/>
      <c r="R29" s="2"/>
      <c r="T29" t="s">
        <v>14</v>
      </c>
      <c r="U29" s="2">
        <f>SUM(U27:U28)</f>
        <v>383.15294600247285</v>
      </c>
      <c r="V29" s="37"/>
      <c r="W29" s="41"/>
      <c r="Y29" s="2"/>
      <c r="AA29" t="s">
        <v>14</v>
      </c>
      <c r="AB29" s="2">
        <f>SUM(AB27:AB28)</f>
        <v>424.75294600247287</v>
      </c>
      <c r="AD29" s="41"/>
      <c r="AF29" s="2"/>
      <c r="AH29" t="s">
        <v>14</v>
      </c>
      <c r="AI29" s="2">
        <f>SUM(AI27:AI28)</f>
        <v>310.79999999999995</v>
      </c>
    </row>
    <row r="30" spans="2:35" x14ac:dyDescent="0.25">
      <c r="G30" s="2"/>
      <c r="N30" s="2"/>
      <c r="U30" s="2"/>
      <c r="AB30" s="2"/>
    </row>
    <row r="31" spans="2:35" x14ac:dyDescent="0.25">
      <c r="B31" s="39" t="s">
        <v>121</v>
      </c>
      <c r="C31" s="39"/>
      <c r="D31" s="39"/>
      <c r="E31" s="39"/>
      <c r="F31" s="39"/>
      <c r="G31" s="40">
        <f>C163</f>
        <v>299.89999999999998</v>
      </c>
      <c r="I31" s="39" t="s">
        <v>126</v>
      </c>
      <c r="J31" s="39"/>
      <c r="K31" s="39"/>
      <c r="L31" s="39"/>
      <c r="M31" s="39"/>
      <c r="N31" s="40">
        <f>D163</f>
        <v>334.9</v>
      </c>
      <c r="P31" s="39" t="s">
        <v>127</v>
      </c>
      <c r="Q31" s="39"/>
      <c r="R31" s="39"/>
      <c r="S31" s="39"/>
      <c r="T31" s="39"/>
      <c r="U31" s="40">
        <f>E163</f>
        <v>369.9</v>
      </c>
      <c r="W31" s="39" t="s">
        <v>128</v>
      </c>
      <c r="X31" s="39"/>
      <c r="Y31" s="39"/>
      <c r="Z31" s="39"/>
      <c r="AA31" s="39"/>
      <c r="AB31" s="40">
        <f>F163</f>
        <v>404.9</v>
      </c>
      <c r="AD31" t="s">
        <v>223</v>
      </c>
      <c r="AI31">
        <v>404.9</v>
      </c>
    </row>
    <row r="32" spans="2:35" x14ac:dyDescent="0.25">
      <c r="B32" s="20" t="s">
        <v>42</v>
      </c>
      <c r="C32" s="20" t="s">
        <v>43</v>
      </c>
      <c r="D32" s="20" t="s">
        <v>44</v>
      </c>
      <c r="E32" s="20" t="s">
        <v>45</v>
      </c>
      <c r="F32" s="20" t="s">
        <v>4</v>
      </c>
      <c r="G32" s="20" t="s">
        <v>46</v>
      </c>
      <c r="I32" s="20" t="s">
        <v>42</v>
      </c>
      <c r="J32" s="20" t="s">
        <v>43</v>
      </c>
      <c r="K32" s="20" t="s">
        <v>44</v>
      </c>
      <c r="L32" s="20" t="s">
        <v>45</v>
      </c>
      <c r="M32" s="20" t="s">
        <v>4</v>
      </c>
      <c r="N32" s="20" t="s">
        <v>46</v>
      </c>
      <c r="P32" s="20" t="s">
        <v>42</v>
      </c>
      <c r="Q32" s="20" t="s">
        <v>43</v>
      </c>
      <c r="R32" s="20" t="s">
        <v>44</v>
      </c>
      <c r="S32" s="20" t="s">
        <v>45</v>
      </c>
      <c r="T32" s="20" t="s">
        <v>4</v>
      </c>
      <c r="U32" s="20" t="s">
        <v>46</v>
      </c>
      <c r="W32" s="20" t="s">
        <v>42</v>
      </c>
      <c r="X32" s="20" t="s">
        <v>43</v>
      </c>
      <c r="Y32" s="20" t="s">
        <v>44</v>
      </c>
      <c r="Z32" s="20" t="s">
        <v>45</v>
      </c>
      <c r="AA32" s="20" t="s">
        <v>4</v>
      </c>
      <c r="AB32" s="20" t="s">
        <v>46</v>
      </c>
      <c r="AD32" t="s">
        <v>42</v>
      </c>
      <c r="AE32" t="s">
        <v>43</v>
      </c>
      <c r="AF32" t="s">
        <v>44</v>
      </c>
      <c r="AG32" t="s">
        <v>45</v>
      </c>
      <c r="AH32" t="s">
        <v>4</v>
      </c>
      <c r="AI32" t="s">
        <v>46</v>
      </c>
    </row>
    <row r="33" spans="2:35" x14ac:dyDescent="0.25">
      <c r="B33" s="17" t="s">
        <v>57</v>
      </c>
      <c r="C33" s="17" t="s">
        <v>58</v>
      </c>
      <c r="D33" s="18" t="s">
        <v>59</v>
      </c>
      <c r="E33" s="18">
        <v>5.0000000000000001E-3</v>
      </c>
      <c r="F33" s="19">
        <v>50</v>
      </c>
      <c r="G33" s="19">
        <f>L136</f>
        <v>1.5</v>
      </c>
      <c r="I33" s="17" t="s">
        <v>57</v>
      </c>
      <c r="J33" s="17" t="s">
        <v>58</v>
      </c>
      <c r="K33" s="18" t="s">
        <v>59</v>
      </c>
      <c r="L33" s="18">
        <v>5.0000000000000001E-3</v>
      </c>
      <c r="M33" s="19">
        <v>50</v>
      </c>
      <c r="N33" s="19">
        <f>L136</f>
        <v>1.5</v>
      </c>
      <c r="P33" s="17" t="s">
        <v>57</v>
      </c>
      <c r="Q33" s="17" t="s">
        <v>58</v>
      </c>
      <c r="R33" s="18" t="s">
        <v>59</v>
      </c>
      <c r="S33" s="18">
        <v>5.0000000000000001E-3</v>
      </c>
      <c r="T33" s="19">
        <v>50</v>
      </c>
      <c r="U33" s="19">
        <f>L136</f>
        <v>1.5</v>
      </c>
      <c r="W33" s="17" t="s">
        <v>57</v>
      </c>
      <c r="X33" s="17" t="s">
        <v>58</v>
      </c>
      <c r="Y33" s="18" t="s">
        <v>59</v>
      </c>
      <c r="Z33" s="18">
        <v>5.0000000000000001E-3</v>
      </c>
      <c r="AA33" s="19">
        <v>50</v>
      </c>
      <c r="AB33" s="19">
        <f>L136</f>
        <v>1.5</v>
      </c>
      <c r="AD33" t="s">
        <v>57</v>
      </c>
      <c r="AE33" t="s">
        <v>58</v>
      </c>
      <c r="AF33" t="s">
        <v>59</v>
      </c>
      <c r="AG33">
        <v>5.0000000000000001E-3</v>
      </c>
      <c r="AH33">
        <v>50</v>
      </c>
      <c r="AI33">
        <v>1.5</v>
      </c>
    </row>
    <row r="34" spans="2:35" x14ac:dyDescent="0.25">
      <c r="B34" s="17" t="s">
        <v>60</v>
      </c>
      <c r="C34" s="17" t="s">
        <v>61</v>
      </c>
      <c r="D34" s="18" t="s">
        <v>16</v>
      </c>
      <c r="E34" s="18" t="e">
        <f>#REF!</f>
        <v>#REF!</v>
      </c>
      <c r="F34" s="19">
        <v>117.5</v>
      </c>
      <c r="G34" s="19">
        <f>L137</f>
        <v>4.166666666666667</v>
      </c>
      <c r="I34" s="17" t="s">
        <v>60</v>
      </c>
      <c r="J34" s="17" t="s">
        <v>61</v>
      </c>
      <c r="K34" s="18" t="s">
        <v>16</v>
      </c>
      <c r="L34" s="18" t="e">
        <f>#REF!</f>
        <v>#REF!</v>
      </c>
      <c r="M34" s="19">
        <v>117.5</v>
      </c>
      <c r="N34" s="19">
        <f>M137</f>
        <v>4.166666666666667</v>
      </c>
      <c r="P34" s="17" t="s">
        <v>60</v>
      </c>
      <c r="Q34" s="17" t="s">
        <v>90</v>
      </c>
      <c r="R34" s="18" t="s">
        <v>16</v>
      </c>
      <c r="S34" s="18">
        <v>2</v>
      </c>
      <c r="T34" s="19">
        <v>117.5</v>
      </c>
      <c r="U34" s="19">
        <f>N137</f>
        <v>8.3333333333333339</v>
      </c>
      <c r="W34" s="17" t="s">
        <v>60</v>
      </c>
      <c r="X34" s="17" t="s">
        <v>90</v>
      </c>
      <c r="Y34" s="18" t="s">
        <v>16</v>
      </c>
      <c r="Z34" s="18">
        <v>2</v>
      </c>
      <c r="AA34" s="19">
        <v>117.5</v>
      </c>
      <c r="AB34" s="19">
        <f>O137</f>
        <v>8.3333333333333339</v>
      </c>
      <c r="AD34" t="s">
        <v>60</v>
      </c>
      <c r="AE34" t="s">
        <v>90</v>
      </c>
      <c r="AF34" t="s">
        <v>16</v>
      </c>
      <c r="AG34">
        <v>2</v>
      </c>
      <c r="AH34">
        <v>117.5</v>
      </c>
      <c r="AI34">
        <v>6.5277777777777777</v>
      </c>
    </row>
    <row r="35" spans="2:35" x14ac:dyDescent="0.25">
      <c r="B35" s="17" t="s">
        <v>62</v>
      </c>
      <c r="C35" s="17" t="s">
        <v>98</v>
      </c>
      <c r="D35" s="18" t="s">
        <v>16</v>
      </c>
      <c r="E35" s="18">
        <v>2.5</v>
      </c>
      <c r="F35" s="19">
        <v>2.5</v>
      </c>
      <c r="G35" s="19">
        <f>L138</f>
        <v>9</v>
      </c>
      <c r="I35" s="17" t="s">
        <v>62</v>
      </c>
      <c r="J35" s="17" t="s">
        <v>98</v>
      </c>
      <c r="K35" s="18" t="s">
        <v>16</v>
      </c>
      <c r="L35" s="18">
        <v>2.5</v>
      </c>
      <c r="M35" s="19">
        <v>2.5</v>
      </c>
      <c r="N35" s="19">
        <f>L138</f>
        <v>9</v>
      </c>
      <c r="P35" s="17" t="s">
        <v>62</v>
      </c>
      <c r="Q35" s="17" t="s">
        <v>97</v>
      </c>
      <c r="R35" s="18" t="s">
        <v>16</v>
      </c>
      <c r="S35" s="18">
        <v>2.5</v>
      </c>
      <c r="T35" s="19">
        <v>2.5</v>
      </c>
      <c r="U35" s="19">
        <f>L138</f>
        <v>9</v>
      </c>
      <c r="W35" s="17" t="s">
        <v>62</v>
      </c>
      <c r="X35" s="17" t="s">
        <v>97</v>
      </c>
      <c r="Y35" s="18" t="s">
        <v>16</v>
      </c>
      <c r="Z35" s="18">
        <v>2.5</v>
      </c>
      <c r="AA35" s="19">
        <v>2.5</v>
      </c>
      <c r="AB35" s="19">
        <f>L138</f>
        <v>9</v>
      </c>
      <c r="AD35" t="s">
        <v>62</v>
      </c>
      <c r="AE35" t="s">
        <v>97</v>
      </c>
      <c r="AF35" t="s">
        <v>16</v>
      </c>
      <c r="AG35">
        <v>2.5</v>
      </c>
      <c r="AH35">
        <v>2.5</v>
      </c>
      <c r="AI35">
        <v>9</v>
      </c>
    </row>
    <row r="36" spans="2:35" x14ac:dyDescent="0.25">
      <c r="B36" s="17" t="s">
        <v>63</v>
      </c>
      <c r="C36" s="17" t="s">
        <v>64</v>
      </c>
      <c r="D36" s="18" t="s">
        <v>59</v>
      </c>
      <c r="E36" s="18">
        <f>K192</f>
        <v>0</v>
      </c>
      <c r="F36" s="19">
        <v>145</v>
      </c>
      <c r="G36" s="19">
        <f>L148</f>
        <v>9.1</v>
      </c>
      <c r="I36" s="17" t="s">
        <v>63</v>
      </c>
      <c r="J36" s="17" t="s">
        <v>64</v>
      </c>
      <c r="K36" s="18" t="s">
        <v>59</v>
      </c>
      <c r="L36" s="18">
        <v>1.2E-2</v>
      </c>
      <c r="M36" s="19">
        <v>145</v>
      </c>
      <c r="N36" s="19">
        <f>M148</f>
        <v>9.1</v>
      </c>
      <c r="P36" s="17" t="s">
        <v>63</v>
      </c>
      <c r="Q36" s="17" t="s">
        <v>96</v>
      </c>
      <c r="R36" s="18" t="s">
        <v>59</v>
      </c>
      <c r="S36" s="18">
        <v>2.4E-2</v>
      </c>
      <c r="T36" s="19">
        <v>145</v>
      </c>
      <c r="U36" s="19">
        <f>N148</f>
        <v>18.2</v>
      </c>
      <c r="W36" s="17" t="s">
        <v>63</v>
      </c>
      <c r="X36" s="17" t="s">
        <v>96</v>
      </c>
      <c r="Y36" s="18" t="s">
        <v>59</v>
      </c>
      <c r="Z36" s="18">
        <v>2.4E-2</v>
      </c>
      <c r="AA36" s="19">
        <v>145</v>
      </c>
      <c r="AB36" s="19">
        <f>O148</f>
        <v>18.2</v>
      </c>
      <c r="AD36" t="s">
        <v>63</v>
      </c>
      <c r="AE36" t="s">
        <v>96</v>
      </c>
      <c r="AF36" t="s">
        <v>59</v>
      </c>
      <c r="AG36">
        <v>2.4E-2</v>
      </c>
      <c r="AH36">
        <v>145</v>
      </c>
      <c r="AI36">
        <v>16.8</v>
      </c>
    </row>
    <row r="37" spans="2:35" x14ac:dyDescent="0.25">
      <c r="B37" s="17" t="s">
        <v>65</v>
      </c>
      <c r="C37" s="17" t="s">
        <v>66</v>
      </c>
      <c r="D37" s="18" t="s">
        <v>16</v>
      </c>
      <c r="E37" s="18">
        <v>0.1</v>
      </c>
      <c r="F37" s="19">
        <f>J178</f>
        <v>2</v>
      </c>
      <c r="G37" s="19">
        <f>L140</f>
        <v>52</v>
      </c>
      <c r="I37" s="17" t="s">
        <v>65</v>
      </c>
      <c r="J37" s="17" t="s">
        <v>95</v>
      </c>
      <c r="K37" s="18" t="s">
        <v>16</v>
      </c>
      <c r="L37" s="18">
        <v>0.14000000000000001</v>
      </c>
      <c r="M37" s="19">
        <v>125</v>
      </c>
      <c r="N37" s="19">
        <f>M140</f>
        <v>72.800000000000011</v>
      </c>
      <c r="P37" s="17" t="s">
        <v>65</v>
      </c>
      <c r="Q37" s="17" t="s">
        <v>94</v>
      </c>
      <c r="R37" s="18" t="s">
        <v>16</v>
      </c>
      <c r="S37" s="18">
        <v>0.2</v>
      </c>
      <c r="T37" s="19">
        <v>125</v>
      </c>
      <c r="U37" s="19">
        <f>N140</f>
        <v>104</v>
      </c>
      <c r="W37" s="17" t="s">
        <v>65</v>
      </c>
      <c r="X37" s="17" t="s">
        <v>93</v>
      </c>
      <c r="Y37" s="18" t="s">
        <v>16</v>
      </c>
      <c r="Z37" s="18">
        <v>0.28000000000000003</v>
      </c>
      <c r="AA37" s="19">
        <v>125</v>
      </c>
      <c r="AB37" s="19">
        <f>O140</f>
        <v>145.60000000000002</v>
      </c>
      <c r="AD37" t="s">
        <v>65</v>
      </c>
      <c r="AE37" t="s">
        <v>93</v>
      </c>
      <c r="AF37" t="s">
        <v>16</v>
      </c>
      <c r="AG37">
        <v>0.28000000000000003</v>
      </c>
      <c r="AH37">
        <v>125</v>
      </c>
      <c r="AI37">
        <v>128.80000000000001</v>
      </c>
    </row>
    <row r="38" spans="2:35" x14ac:dyDescent="0.25">
      <c r="B38" s="17" t="s">
        <v>24</v>
      </c>
      <c r="C38" s="17" t="s">
        <v>167</v>
      </c>
      <c r="D38" s="18" t="s">
        <v>67</v>
      </c>
      <c r="E38" s="18">
        <f>K179</f>
        <v>0</v>
      </c>
      <c r="F38" s="19">
        <f>J179</f>
        <v>2</v>
      </c>
      <c r="G38" s="19">
        <f>L141</f>
        <v>17.400000000000002</v>
      </c>
      <c r="I38" s="17" t="s">
        <v>24</v>
      </c>
      <c r="J38" s="17" t="s">
        <v>167</v>
      </c>
      <c r="K38" s="18" t="s">
        <v>67</v>
      </c>
      <c r="L38" s="18">
        <v>0.25</v>
      </c>
      <c r="M38" s="19">
        <v>33</v>
      </c>
      <c r="N38" s="19">
        <f>L141</f>
        <v>17.400000000000002</v>
      </c>
      <c r="P38" s="17" t="s">
        <v>24</v>
      </c>
      <c r="Q38" s="17" t="s">
        <v>167</v>
      </c>
      <c r="R38" s="18" t="s">
        <v>67</v>
      </c>
      <c r="S38" s="18">
        <v>0.25</v>
      </c>
      <c r="T38" s="19">
        <v>33</v>
      </c>
      <c r="U38" s="19">
        <f>L141</f>
        <v>17.400000000000002</v>
      </c>
      <c r="W38" s="17" t="s">
        <v>24</v>
      </c>
      <c r="X38" s="17" t="s">
        <v>167</v>
      </c>
      <c r="Y38" s="18" t="s">
        <v>67</v>
      </c>
      <c r="Z38" s="18">
        <v>0.25</v>
      </c>
      <c r="AA38" s="19">
        <v>33</v>
      </c>
      <c r="AB38" s="19">
        <f>L141</f>
        <v>17.400000000000002</v>
      </c>
      <c r="AD38" t="s">
        <v>24</v>
      </c>
      <c r="AE38" t="s">
        <v>167</v>
      </c>
      <c r="AF38" t="s">
        <v>67</v>
      </c>
      <c r="AG38">
        <v>0.25</v>
      </c>
      <c r="AH38">
        <v>33</v>
      </c>
      <c r="AI38">
        <v>17.11</v>
      </c>
    </row>
    <row r="39" spans="2:35" x14ac:dyDescent="0.25">
      <c r="B39" s="17" t="s">
        <v>152</v>
      </c>
      <c r="C39" s="17" t="s">
        <v>153</v>
      </c>
      <c r="D39" s="18" t="s">
        <v>67</v>
      </c>
      <c r="E39" s="18">
        <v>0.1</v>
      </c>
      <c r="F39" s="19">
        <v>1</v>
      </c>
      <c r="G39" s="19">
        <f>L145</f>
        <v>2</v>
      </c>
      <c r="I39" s="17" t="s">
        <v>152</v>
      </c>
      <c r="J39" s="17" t="s">
        <v>174</v>
      </c>
      <c r="K39" s="18" t="s">
        <v>67</v>
      </c>
      <c r="L39" s="18">
        <v>0.1</v>
      </c>
      <c r="M39" s="19">
        <v>1</v>
      </c>
      <c r="N39" s="19">
        <f>L145</f>
        <v>2</v>
      </c>
      <c r="P39" s="17" t="s">
        <v>152</v>
      </c>
      <c r="Q39" s="17" t="s">
        <v>174</v>
      </c>
      <c r="R39" s="18" t="s">
        <v>67</v>
      </c>
      <c r="S39" s="18">
        <v>0.1</v>
      </c>
      <c r="T39" s="19">
        <v>1</v>
      </c>
      <c r="U39" s="19">
        <f>L145</f>
        <v>2</v>
      </c>
      <c r="W39" s="17" t="s">
        <v>152</v>
      </c>
      <c r="X39" s="17" t="s">
        <v>174</v>
      </c>
      <c r="Y39" s="18" t="s">
        <v>67</v>
      </c>
      <c r="Z39" s="18">
        <v>0.1</v>
      </c>
      <c r="AA39" s="19">
        <v>1</v>
      </c>
      <c r="AB39" s="19">
        <f>L145</f>
        <v>2</v>
      </c>
      <c r="AD39" t="s">
        <v>152</v>
      </c>
      <c r="AE39" t="s">
        <v>174</v>
      </c>
      <c r="AF39" t="s">
        <v>67</v>
      </c>
      <c r="AG39">
        <v>0.1</v>
      </c>
      <c r="AH39">
        <v>1</v>
      </c>
      <c r="AI39">
        <v>2</v>
      </c>
    </row>
    <row r="40" spans="2:35" x14ac:dyDescent="0.25">
      <c r="B40" s="17" t="s">
        <v>70</v>
      </c>
      <c r="C40" s="17" t="s">
        <v>70</v>
      </c>
      <c r="D40" s="18" t="s">
        <v>16</v>
      </c>
      <c r="E40" s="18">
        <v>1</v>
      </c>
      <c r="F40" s="19">
        <v>7.2</v>
      </c>
      <c r="G40" s="19">
        <f>L143</f>
        <v>21</v>
      </c>
      <c r="I40" s="17" t="s">
        <v>70</v>
      </c>
      <c r="J40" s="17" t="s">
        <v>70</v>
      </c>
      <c r="K40" s="18" t="s">
        <v>16</v>
      </c>
      <c r="L40" s="18">
        <v>1</v>
      </c>
      <c r="M40" s="19">
        <v>7.2</v>
      </c>
      <c r="N40" s="19">
        <f>L143</f>
        <v>21</v>
      </c>
      <c r="P40" s="17" t="s">
        <v>70</v>
      </c>
      <c r="Q40" s="17" t="s">
        <v>70</v>
      </c>
      <c r="R40" s="18" t="s">
        <v>16</v>
      </c>
      <c r="S40" s="18">
        <v>1</v>
      </c>
      <c r="T40" s="19">
        <v>7.2</v>
      </c>
      <c r="U40" s="19">
        <f>L143</f>
        <v>21</v>
      </c>
      <c r="W40" s="17" t="s">
        <v>70</v>
      </c>
      <c r="X40" s="17" t="s">
        <v>70</v>
      </c>
      <c r="Y40" s="18" t="s">
        <v>16</v>
      </c>
      <c r="Z40" s="18">
        <v>1</v>
      </c>
      <c r="AA40" s="19">
        <v>7.2</v>
      </c>
      <c r="AB40" s="19">
        <f>L143</f>
        <v>21</v>
      </c>
      <c r="AD40" t="s">
        <v>70</v>
      </c>
      <c r="AE40" t="s">
        <v>70</v>
      </c>
      <c r="AF40" t="s">
        <v>16</v>
      </c>
      <c r="AG40">
        <v>1</v>
      </c>
      <c r="AH40">
        <v>7.2</v>
      </c>
      <c r="AI40">
        <v>14</v>
      </c>
    </row>
    <row r="41" spans="2:35" x14ac:dyDescent="0.25">
      <c r="B41" s="41"/>
      <c r="F41" t="s">
        <v>73</v>
      </c>
      <c r="G41" s="2">
        <f>SUM(G33:G40)</f>
        <v>116.16666666666667</v>
      </c>
      <c r="I41" s="41"/>
      <c r="M41" t="s">
        <v>73</v>
      </c>
      <c r="N41" s="2">
        <f>SUM(N33:N40)</f>
        <v>136.9666666666667</v>
      </c>
      <c r="P41" s="41"/>
      <c r="T41" t="s">
        <v>73</v>
      </c>
      <c r="U41" s="2">
        <f>SUM(U33:U40)</f>
        <v>181.43333333333334</v>
      </c>
      <c r="W41" s="41"/>
      <c r="AA41" t="s">
        <v>73</v>
      </c>
      <c r="AB41" s="2">
        <f>SUM(AB33:AB40)</f>
        <v>223.03333333333336</v>
      </c>
      <c r="AH41" t="s">
        <v>73</v>
      </c>
      <c r="AI41">
        <v>195.73777777777781</v>
      </c>
    </row>
    <row r="42" spans="2:35" x14ac:dyDescent="0.25">
      <c r="B42" s="41"/>
      <c r="D42" s="2"/>
      <c r="F42" t="s">
        <v>85</v>
      </c>
      <c r="G42" s="2">
        <f>'Genel Gider'!F24</f>
        <v>200.21961266913951</v>
      </c>
      <c r="H42" s="37"/>
      <c r="I42" s="41"/>
      <c r="K42" s="2"/>
      <c r="M42" t="s">
        <v>85</v>
      </c>
      <c r="N42" s="2">
        <f>'Genel Gider'!F24</f>
        <v>200.21961266913951</v>
      </c>
      <c r="O42" s="37"/>
      <c r="P42" s="41"/>
      <c r="R42" s="2"/>
      <c r="T42" t="s">
        <v>85</v>
      </c>
      <c r="U42" s="2">
        <f>'Genel Gider'!F24</f>
        <v>200.21961266913951</v>
      </c>
      <c r="V42" s="37"/>
      <c r="W42" s="41"/>
      <c r="Y42" s="2"/>
      <c r="AA42" t="s">
        <v>85</v>
      </c>
      <c r="AB42" s="2">
        <f>'Genel Gider'!F24</f>
        <v>200.21961266913951</v>
      </c>
      <c r="AH42" t="s">
        <v>85</v>
      </c>
      <c r="AI42">
        <v>118.2074521651561</v>
      </c>
    </row>
    <row r="43" spans="2:35" x14ac:dyDescent="0.25">
      <c r="B43" s="41"/>
      <c r="D43" s="2"/>
      <c r="F43" t="s">
        <v>14</v>
      </c>
      <c r="G43" s="2">
        <f>SUM(G41:G42)</f>
        <v>316.38627933580619</v>
      </c>
      <c r="H43" s="37"/>
      <c r="I43" s="41"/>
      <c r="K43" s="2"/>
      <c r="M43" t="s">
        <v>14</v>
      </c>
      <c r="N43" s="2">
        <f>SUM(N41:N42)</f>
        <v>337.1862793358062</v>
      </c>
      <c r="O43" s="37"/>
      <c r="P43" s="41"/>
      <c r="R43" s="2"/>
      <c r="T43" t="s">
        <v>14</v>
      </c>
      <c r="U43" s="2">
        <f>SUM(U41:U42)</f>
        <v>381.65294600247285</v>
      </c>
      <c r="V43" s="37"/>
      <c r="W43" s="41"/>
      <c r="Y43" s="2"/>
      <c r="AA43" t="s">
        <v>14</v>
      </c>
      <c r="AB43" s="2">
        <f>SUM(AB41:AB42)</f>
        <v>423.25294600247287</v>
      </c>
      <c r="AH43" t="s">
        <v>14</v>
      </c>
      <c r="AI43">
        <v>313.94522994293391</v>
      </c>
    </row>
    <row r="44" spans="2:35" x14ac:dyDescent="0.25">
      <c r="G44" s="2"/>
      <c r="N44" s="2"/>
      <c r="U44" s="2"/>
      <c r="AB44" s="2"/>
    </row>
    <row r="45" spans="2:35" x14ac:dyDescent="0.25">
      <c r="B45" s="39" t="s">
        <v>122</v>
      </c>
      <c r="C45" s="39"/>
      <c r="D45" s="39"/>
      <c r="E45" s="39"/>
      <c r="F45" s="39"/>
      <c r="G45" s="40">
        <f>C162</f>
        <v>304.89999999999998</v>
      </c>
      <c r="I45" s="39" t="s">
        <v>123</v>
      </c>
      <c r="J45" s="39"/>
      <c r="K45" s="39"/>
      <c r="L45" s="39"/>
      <c r="M45" s="39"/>
      <c r="N45" s="40">
        <f>D162</f>
        <v>339.9</v>
      </c>
      <c r="P45" s="39" t="s">
        <v>124</v>
      </c>
      <c r="Q45" s="39"/>
      <c r="R45" s="39"/>
      <c r="S45" s="39"/>
      <c r="T45" s="39"/>
      <c r="U45" s="40">
        <f>E162</f>
        <v>374.9</v>
      </c>
      <c r="W45" s="39" t="s">
        <v>125</v>
      </c>
      <c r="X45" s="39"/>
      <c r="Y45" s="39"/>
      <c r="Z45" s="39"/>
      <c r="AA45" s="39"/>
      <c r="AB45" s="40">
        <f>F162</f>
        <v>409.9</v>
      </c>
      <c r="AD45" t="s">
        <v>224</v>
      </c>
      <c r="AI45">
        <v>409.9</v>
      </c>
    </row>
    <row r="46" spans="2:35" x14ac:dyDescent="0.25">
      <c r="B46" s="20" t="s">
        <v>42</v>
      </c>
      <c r="C46" s="20" t="s">
        <v>43</v>
      </c>
      <c r="D46" s="20" t="s">
        <v>44</v>
      </c>
      <c r="E46" s="20" t="s">
        <v>45</v>
      </c>
      <c r="F46" s="20" t="s">
        <v>4</v>
      </c>
      <c r="G46" s="20" t="s">
        <v>46</v>
      </c>
      <c r="I46" s="20" t="s">
        <v>42</v>
      </c>
      <c r="J46" s="20" t="s">
        <v>43</v>
      </c>
      <c r="K46" s="20" t="s">
        <v>44</v>
      </c>
      <c r="L46" s="20" t="s">
        <v>45</v>
      </c>
      <c r="M46" s="20" t="s">
        <v>4</v>
      </c>
      <c r="N46" s="20" t="s">
        <v>46</v>
      </c>
      <c r="P46" s="20" t="s">
        <v>42</v>
      </c>
      <c r="Q46" s="20" t="s">
        <v>43</v>
      </c>
      <c r="R46" s="20" t="s">
        <v>44</v>
      </c>
      <c r="S46" s="20" t="s">
        <v>45</v>
      </c>
      <c r="T46" s="20" t="s">
        <v>4</v>
      </c>
      <c r="U46" s="20" t="s">
        <v>46</v>
      </c>
      <c r="W46" s="20" t="s">
        <v>42</v>
      </c>
      <c r="X46" s="20" t="s">
        <v>43</v>
      </c>
      <c r="Y46" s="20" t="s">
        <v>44</v>
      </c>
      <c r="Z46" s="20" t="s">
        <v>45</v>
      </c>
      <c r="AA46" s="20" t="s">
        <v>4</v>
      </c>
      <c r="AB46" s="20" t="s">
        <v>46</v>
      </c>
      <c r="AD46" t="s">
        <v>42</v>
      </c>
      <c r="AE46" t="s">
        <v>43</v>
      </c>
      <c r="AF46" t="s">
        <v>44</v>
      </c>
      <c r="AG46" t="s">
        <v>45</v>
      </c>
      <c r="AH46" t="s">
        <v>4</v>
      </c>
      <c r="AI46" t="s">
        <v>46</v>
      </c>
    </row>
    <row r="47" spans="2:35" x14ac:dyDescent="0.25">
      <c r="B47" s="17" t="s">
        <v>190</v>
      </c>
      <c r="C47" s="17" t="s">
        <v>191</v>
      </c>
      <c r="D47" s="18" t="s">
        <v>59</v>
      </c>
      <c r="E47" s="18">
        <v>5.0000000000000001E-3</v>
      </c>
      <c r="F47" s="19">
        <v>50</v>
      </c>
      <c r="G47" s="19">
        <f>L147</f>
        <v>2</v>
      </c>
      <c r="I47" s="17" t="s">
        <v>190</v>
      </c>
      <c r="J47" s="17" t="s">
        <v>191</v>
      </c>
      <c r="K47" s="18" t="s">
        <v>59</v>
      </c>
      <c r="L47" s="18">
        <v>5.0000000000000001E-3</v>
      </c>
      <c r="M47" s="19">
        <v>50</v>
      </c>
      <c r="N47" s="19">
        <f>L147</f>
        <v>2</v>
      </c>
      <c r="P47" s="17" t="s">
        <v>190</v>
      </c>
      <c r="Q47" s="17" t="s">
        <v>191</v>
      </c>
      <c r="R47" s="18" t="s">
        <v>59</v>
      </c>
      <c r="S47" s="18">
        <v>5.0000000000000001E-3</v>
      </c>
      <c r="T47" s="19">
        <v>50</v>
      </c>
      <c r="U47" s="19">
        <f>L147</f>
        <v>2</v>
      </c>
      <c r="W47" s="17" t="s">
        <v>190</v>
      </c>
      <c r="X47" s="17" t="s">
        <v>191</v>
      </c>
      <c r="Y47" s="18" t="s">
        <v>59</v>
      </c>
      <c r="Z47" s="18">
        <v>5.0000000000000001E-3</v>
      </c>
      <c r="AA47" s="19">
        <v>50</v>
      </c>
      <c r="AB47" s="19">
        <f>L147</f>
        <v>2</v>
      </c>
      <c r="AD47" t="s">
        <v>190</v>
      </c>
      <c r="AE47" t="s">
        <v>191</v>
      </c>
      <c r="AF47" t="s">
        <v>59</v>
      </c>
      <c r="AG47">
        <v>5.0000000000000001E-3</v>
      </c>
      <c r="AH47">
        <v>50</v>
      </c>
      <c r="AI47">
        <v>2</v>
      </c>
    </row>
    <row r="48" spans="2:35" x14ac:dyDescent="0.25">
      <c r="B48" s="17" t="s">
        <v>60</v>
      </c>
      <c r="C48" s="17" t="s">
        <v>61</v>
      </c>
      <c r="D48" s="18" t="s">
        <v>16</v>
      </c>
      <c r="E48" s="18" t="e">
        <f>#REF!</f>
        <v>#REF!</v>
      </c>
      <c r="F48" s="19">
        <v>117.5</v>
      </c>
      <c r="G48" s="19">
        <f>L137</f>
        <v>4.166666666666667</v>
      </c>
      <c r="I48" s="17" t="s">
        <v>60</v>
      </c>
      <c r="J48" s="17" t="s">
        <v>61</v>
      </c>
      <c r="K48" s="18" t="s">
        <v>16</v>
      </c>
      <c r="L48" s="18" t="e">
        <f>#REF!</f>
        <v>#REF!</v>
      </c>
      <c r="M48" s="19">
        <v>0</v>
      </c>
      <c r="N48" s="19">
        <f>M137</f>
        <v>4.166666666666667</v>
      </c>
      <c r="P48" s="17" t="s">
        <v>60</v>
      </c>
      <c r="Q48" s="17" t="s">
        <v>90</v>
      </c>
      <c r="R48" s="18" t="s">
        <v>16</v>
      </c>
      <c r="S48" s="18">
        <v>2</v>
      </c>
      <c r="T48" s="19">
        <v>117.5</v>
      </c>
      <c r="U48" s="19">
        <f>N137</f>
        <v>8.3333333333333339</v>
      </c>
      <c r="W48" s="17" t="s">
        <v>60</v>
      </c>
      <c r="X48" s="17" t="s">
        <v>90</v>
      </c>
      <c r="Y48" s="18" t="s">
        <v>16</v>
      </c>
      <c r="Z48" s="18">
        <v>2</v>
      </c>
      <c r="AA48" s="19">
        <v>117.5</v>
      </c>
      <c r="AB48" s="19">
        <f>O137</f>
        <v>8.3333333333333339</v>
      </c>
      <c r="AD48" t="s">
        <v>60</v>
      </c>
      <c r="AE48" t="s">
        <v>90</v>
      </c>
      <c r="AF48" t="s">
        <v>16</v>
      </c>
      <c r="AG48">
        <v>2</v>
      </c>
      <c r="AH48">
        <v>117.5</v>
      </c>
      <c r="AI48">
        <v>6.5277777777777777</v>
      </c>
    </row>
    <row r="49" spans="2:35" x14ac:dyDescent="0.25">
      <c r="B49" s="17" t="s">
        <v>62</v>
      </c>
      <c r="C49" s="17" t="s">
        <v>98</v>
      </c>
      <c r="D49" s="18" t="s">
        <v>16</v>
      </c>
      <c r="E49" s="18">
        <v>2.5</v>
      </c>
      <c r="F49" s="19">
        <v>2.5</v>
      </c>
      <c r="G49" s="19">
        <f>L138</f>
        <v>9</v>
      </c>
      <c r="I49" s="17" t="s">
        <v>62</v>
      </c>
      <c r="J49" s="17" t="s">
        <v>98</v>
      </c>
      <c r="K49" s="18" t="s">
        <v>16</v>
      </c>
      <c r="L49" s="18">
        <v>2.5</v>
      </c>
      <c r="M49" s="19">
        <v>2.5</v>
      </c>
      <c r="N49" s="19">
        <f>L138</f>
        <v>9</v>
      </c>
      <c r="P49" s="17" t="s">
        <v>62</v>
      </c>
      <c r="Q49" s="17" t="s">
        <v>97</v>
      </c>
      <c r="R49" s="18" t="s">
        <v>16</v>
      </c>
      <c r="S49" s="18">
        <v>2.5</v>
      </c>
      <c r="T49" s="19">
        <v>2.5</v>
      </c>
      <c r="U49" s="19">
        <f>L138</f>
        <v>9</v>
      </c>
      <c r="W49" s="17" t="s">
        <v>62</v>
      </c>
      <c r="X49" s="17" t="s">
        <v>97</v>
      </c>
      <c r="Y49" s="18" t="s">
        <v>16</v>
      </c>
      <c r="Z49" s="18">
        <v>2.5</v>
      </c>
      <c r="AA49" s="19">
        <v>2.5</v>
      </c>
      <c r="AB49" s="19">
        <f>L138</f>
        <v>9</v>
      </c>
      <c r="AD49" t="s">
        <v>62</v>
      </c>
      <c r="AE49" t="s">
        <v>97</v>
      </c>
      <c r="AF49" t="s">
        <v>16</v>
      </c>
      <c r="AG49">
        <v>2.5</v>
      </c>
      <c r="AH49">
        <v>2.5</v>
      </c>
      <c r="AI49">
        <v>9</v>
      </c>
    </row>
    <row r="50" spans="2:35" x14ac:dyDescent="0.25">
      <c r="B50" s="17" t="s">
        <v>63</v>
      </c>
      <c r="C50" s="17" t="s">
        <v>64</v>
      </c>
      <c r="D50" s="18" t="s">
        <v>59</v>
      </c>
      <c r="E50" s="18" t="e">
        <f>#REF!</f>
        <v>#REF!</v>
      </c>
      <c r="F50" s="19">
        <v>145</v>
      </c>
      <c r="G50" s="19">
        <f>L148</f>
        <v>9.1</v>
      </c>
      <c r="I50" s="17" t="s">
        <v>63</v>
      </c>
      <c r="J50" s="17" t="s">
        <v>64</v>
      </c>
      <c r="K50" s="18" t="s">
        <v>59</v>
      </c>
      <c r="L50" s="18">
        <v>1.2E-2</v>
      </c>
      <c r="M50" s="19">
        <v>145</v>
      </c>
      <c r="N50" s="19">
        <f>M148</f>
        <v>9.1</v>
      </c>
      <c r="P50" s="17" t="s">
        <v>63</v>
      </c>
      <c r="Q50" s="17" t="s">
        <v>96</v>
      </c>
      <c r="R50" s="18" t="s">
        <v>59</v>
      </c>
      <c r="S50" s="18">
        <v>2.4E-2</v>
      </c>
      <c r="T50" s="19">
        <v>145</v>
      </c>
      <c r="U50" s="19">
        <f>N148</f>
        <v>18.2</v>
      </c>
      <c r="W50" s="17" t="s">
        <v>63</v>
      </c>
      <c r="X50" s="17" t="s">
        <v>96</v>
      </c>
      <c r="Y50" s="18" t="s">
        <v>59</v>
      </c>
      <c r="Z50" s="18">
        <v>2.4E-2</v>
      </c>
      <c r="AA50" s="19">
        <v>145</v>
      </c>
      <c r="AB50" s="19">
        <f>O148</f>
        <v>18.2</v>
      </c>
      <c r="AD50" t="s">
        <v>63</v>
      </c>
      <c r="AE50" t="s">
        <v>96</v>
      </c>
      <c r="AF50" t="s">
        <v>59</v>
      </c>
      <c r="AG50">
        <v>2.4E-2</v>
      </c>
      <c r="AH50">
        <v>145</v>
      </c>
      <c r="AI50">
        <v>16.8</v>
      </c>
    </row>
    <row r="51" spans="2:35" x14ac:dyDescent="0.25">
      <c r="B51" s="17" t="s">
        <v>65</v>
      </c>
      <c r="C51" s="17" t="s">
        <v>66</v>
      </c>
      <c r="D51" s="18" t="s">
        <v>16</v>
      </c>
      <c r="E51" s="18">
        <v>0.1</v>
      </c>
      <c r="F51" s="19" t="e">
        <f>#REF!</f>
        <v>#REF!</v>
      </c>
      <c r="G51" s="19">
        <f>L140</f>
        <v>52</v>
      </c>
      <c r="I51" s="17" t="s">
        <v>65</v>
      </c>
      <c r="J51" s="17" t="s">
        <v>95</v>
      </c>
      <c r="K51" s="18" t="s">
        <v>16</v>
      </c>
      <c r="L51" s="18">
        <v>0.14000000000000001</v>
      </c>
      <c r="M51" s="19">
        <v>125</v>
      </c>
      <c r="N51" s="19">
        <f>M140</f>
        <v>72.800000000000011</v>
      </c>
      <c r="P51" s="17" t="s">
        <v>65</v>
      </c>
      <c r="Q51" s="17" t="s">
        <v>94</v>
      </c>
      <c r="R51" s="18" t="s">
        <v>16</v>
      </c>
      <c r="S51" s="18">
        <v>0.2</v>
      </c>
      <c r="T51" s="19">
        <v>125</v>
      </c>
      <c r="U51" s="19">
        <f>N140</f>
        <v>104</v>
      </c>
      <c r="W51" s="17" t="s">
        <v>65</v>
      </c>
      <c r="X51" s="17" t="s">
        <v>93</v>
      </c>
      <c r="Y51" s="18" t="s">
        <v>16</v>
      </c>
      <c r="Z51" s="18">
        <v>0.28000000000000003</v>
      </c>
      <c r="AA51" s="19">
        <v>125</v>
      </c>
      <c r="AB51" s="19">
        <f>O140</f>
        <v>145.60000000000002</v>
      </c>
      <c r="AD51" t="s">
        <v>65</v>
      </c>
      <c r="AE51" t="s">
        <v>93</v>
      </c>
      <c r="AF51" t="s">
        <v>16</v>
      </c>
      <c r="AG51">
        <v>0.28000000000000003</v>
      </c>
      <c r="AH51">
        <v>125</v>
      </c>
      <c r="AI51">
        <v>128.80000000000001</v>
      </c>
    </row>
    <row r="52" spans="2:35" x14ac:dyDescent="0.25">
      <c r="B52" s="17" t="s">
        <v>24</v>
      </c>
      <c r="C52" s="17" t="s">
        <v>167</v>
      </c>
      <c r="D52" s="18" t="s">
        <v>67</v>
      </c>
      <c r="E52" s="18">
        <f>K198</f>
        <v>0</v>
      </c>
      <c r="F52" s="19">
        <f>J198</f>
        <v>0</v>
      </c>
      <c r="G52" s="19">
        <f>L141</f>
        <v>17.400000000000002</v>
      </c>
      <c r="I52" s="17" t="s">
        <v>24</v>
      </c>
      <c r="J52" s="17" t="s">
        <v>167</v>
      </c>
      <c r="K52" s="18" t="s">
        <v>67</v>
      </c>
      <c r="L52" s="18">
        <v>0.25</v>
      </c>
      <c r="M52" s="19">
        <v>33</v>
      </c>
      <c r="N52" s="19">
        <f>L141</f>
        <v>17.400000000000002</v>
      </c>
      <c r="P52" s="17" t="s">
        <v>24</v>
      </c>
      <c r="Q52" s="17" t="s">
        <v>167</v>
      </c>
      <c r="R52" s="18" t="s">
        <v>67</v>
      </c>
      <c r="S52" s="18">
        <v>0.25</v>
      </c>
      <c r="T52" s="19">
        <v>33</v>
      </c>
      <c r="U52" s="19">
        <f>L141</f>
        <v>17.400000000000002</v>
      </c>
      <c r="W52" s="17" t="s">
        <v>24</v>
      </c>
      <c r="X52" s="17" t="s">
        <v>167</v>
      </c>
      <c r="Y52" s="18" t="s">
        <v>67</v>
      </c>
      <c r="Z52" s="18">
        <v>0.25</v>
      </c>
      <c r="AA52" s="19">
        <v>33</v>
      </c>
      <c r="AB52" s="19">
        <f>L141</f>
        <v>17.400000000000002</v>
      </c>
      <c r="AD52" t="s">
        <v>24</v>
      </c>
      <c r="AE52" t="s">
        <v>167</v>
      </c>
      <c r="AF52" t="s">
        <v>67</v>
      </c>
      <c r="AG52">
        <v>0.25</v>
      </c>
      <c r="AH52">
        <v>33</v>
      </c>
      <c r="AI52">
        <v>17.11</v>
      </c>
    </row>
    <row r="53" spans="2:35" x14ac:dyDescent="0.25">
      <c r="B53" s="17" t="s">
        <v>154</v>
      </c>
      <c r="C53" s="17" t="s">
        <v>175</v>
      </c>
      <c r="D53" s="18" t="s">
        <v>67</v>
      </c>
      <c r="E53" s="18">
        <v>0.1</v>
      </c>
      <c r="F53" s="19">
        <v>1</v>
      </c>
      <c r="G53" s="19">
        <f>L144</f>
        <v>3</v>
      </c>
      <c r="I53" s="17" t="s">
        <v>154</v>
      </c>
      <c r="J53" s="17" t="s">
        <v>175</v>
      </c>
      <c r="K53" s="18" t="s">
        <v>67</v>
      </c>
      <c r="L53" s="18">
        <v>0.1</v>
      </c>
      <c r="M53" s="19">
        <v>1</v>
      </c>
      <c r="N53" s="19">
        <f>M144</f>
        <v>3</v>
      </c>
      <c r="P53" s="17" t="s">
        <v>154</v>
      </c>
      <c r="Q53" s="17" t="s">
        <v>175</v>
      </c>
      <c r="R53" s="18" t="s">
        <v>67</v>
      </c>
      <c r="S53" s="18">
        <v>0.1</v>
      </c>
      <c r="T53" s="19">
        <v>1</v>
      </c>
      <c r="U53" s="19">
        <f>N144</f>
        <v>3</v>
      </c>
      <c r="W53" s="17" t="s">
        <v>154</v>
      </c>
      <c r="X53" s="17" t="s">
        <v>175</v>
      </c>
      <c r="Y53" s="18" t="s">
        <v>67</v>
      </c>
      <c r="Z53" s="18">
        <v>0.1</v>
      </c>
      <c r="AA53" s="19">
        <v>1</v>
      </c>
      <c r="AB53" s="19">
        <f>O144</f>
        <v>3</v>
      </c>
      <c r="AD53" t="s">
        <v>154</v>
      </c>
      <c r="AE53" t="s">
        <v>175</v>
      </c>
      <c r="AF53" t="s">
        <v>67</v>
      </c>
      <c r="AG53">
        <v>0.1</v>
      </c>
      <c r="AH53">
        <v>1</v>
      </c>
      <c r="AI53">
        <v>3</v>
      </c>
    </row>
    <row r="54" spans="2:35" x14ac:dyDescent="0.25">
      <c r="B54" s="17" t="s">
        <v>70</v>
      </c>
      <c r="C54" s="17" t="s">
        <v>70</v>
      </c>
      <c r="D54" s="18" t="s">
        <v>16</v>
      </c>
      <c r="E54" s="18">
        <v>1</v>
      </c>
      <c r="F54" s="19">
        <v>7.2</v>
      </c>
      <c r="G54" s="19">
        <f>L143</f>
        <v>21</v>
      </c>
      <c r="I54" s="17" t="s">
        <v>70</v>
      </c>
      <c r="J54" s="17" t="s">
        <v>70</v>
      </c>
      <c r="K54" s="18" t="s">
        <v>16</v>
      </c>
      <c r="L54" s="18">
        <v>1</v>
      </c>
      <c r="M54" s="19">
        <v>7.2</v>
      </c>
      <c r="N54" s="19">
        <f>L143</f>
        <v>21</v>
      </c>
      <c r="P54" s="17" t="s">
        <v>70</v>
      </c>
      <c r="Q54" s="17" t="s">
        <v>70</v>
      </c>
      <c r="R54" s="18" t="s">
        <v>16</v>
      </c>
      <c r="S54" s="18">
        <v>1</v>
      </c>
      <c r="T54" s="19">
        <v>7.2</v>
      </c>
      <c r="U54" s="19">
        <f>L143</f>
        <v>21</v>
      </c>
      <c r="W54" s="17" t="s">
        <v>70</v>
      </c>
      <c r="X54" s="17" t="s">
        <v>70</v>
      </c>
      <c r="Y54" s="18" t="s">
        <v>16</v>
      </c>
      <c r="Z54" s="18">
        <v>1</v>
      </c>
      <c r="AA54" s="19">
        <v>7.2</v>
      </c>
      <c r="AB54" s="19">
        <f>L143</f>
        <v>21</v>
      </c>
      <c r="AD54" t="s">
        <v>70</v>
      </c>
      <c r="AE54" t="s">
        <v>70</v>
      </c>
      <c r="AF54" t="s">
        <v>16</v>
      </c>
      <c r="AG54">
        <v>1</v>
      </c>
      <c r="AH54">
        <v>7.2</v>
      </c>
      <c r="AI54">
        <v>14</v>
      </c>
    </row>
    <row r="55" spans="2:35" x14ac:dyDescent="0.25">
      <c r="B55" s="41"/>
      <c r="F55" t="s">
        <v>73</v>
      </c>
      <c r="G55" s="2">
        <f>SUM(G47:G54)</f>
        <v>117.66666666666667</v>
      </c>
      <c r="I55" s="41"/>
      <c r="M55" t="s">
        <v>73</v>
      </c>
      <c r="N55" s="2">
        <f>SUM(N47:N54)</f>
        <v>138.4666666666667</v>
      </c>
      <c r="P55" s="41"/>
      <c r="T55" t="s">
        <v>73</v>
      </c>
      <c r="U55" s="2">
        <f>SUM(U47:U54)</f>
        <v>182.93333333333334</v>
      </c>
      <c r="W55" s="41"/>
      <c r="AA55" t="s">
        <v>73</v>
      </c>
      <c r="AB55" s="2">
        <f>SUM(AB47:AB54)</f>
        <v>224.53333333333336</v>
      </c>
      <c r="AH55" t="s">
        <v>73</v>
      </c>
      <c r="AI55">
        <v>197.23777777777781</v>
      </c>
    </row>
    <row r="56" spans="2:35" x14ac:dyDescent="0.25">
      <c r="B56" s="41"/>
      <c r="D56" s="2"/>
      <c r="F56" t="s">
        <v>85</v>
      </c>
      <c r="G56" s="2">
        <f>'Genel Gider'!F24</f>
        <v>200.21961266913951</v>
      </c>
      <c r="H56" s="37"/>
      <c r="I56" s="41"/>
      <c r="K56" s="2"/>
      <c r="M56" t="s">
        <v>85</v>
      </c>
      <c r="N56" s="2">
        <f>'Genel Gider'!F24</f>
        <v>200.21961266913951</v>
      </c>
      <c r="O56" s="37"/>
      <c r="P56" s="41"/>
      <c r="R56" s="2"/>
      <c r="T56" t="s">
        <v>85</v>
      </c>
      <c r="U56" s="2">
        <f>'Genel Gider'!F24</f>
        <v>200.21961266913951</v>
      </c>
      <c r="V56" s="37"/>
      <c r="W56" s="41"/>
      <c r="Y56" s="2"/>
      <c r="AA56" t="s">
        <v>85</v>
      </c>
      <c r="AB56" s="2">
        <f>'Genel Gider'!F24</f>
        <v>200.21961266913951</v>
      </c>
      <c r="AH56" t="s">
        <v>85</v>
      </c>
      <c r="AI56">
        <v>118.2074521651561</v>
      </c>
    </row>
    <row r="57" spans="2:35" x14ac:dyDescent="0.25">
      <c r="B57" s="41"/>
      <c r="D57" s="2"/>
      <c r="F57" t="s">
        <v>14</v>
      </c>
      <c r="G57" s="2">
        <f>SUM(G55:G56)</f>
        <v>317.88627933580619</v>
      </c>
      <c r="H57" s="37"/>
      <c r="I57" s="41"/>
      <c r="K57" s="2"/>
      <c r="M57" t="s">
        <v>14</v>
      </c>
      <c r="N57" s="2">
        <f>SUM(N55:N56)</f>
        <v>338.6862793358062</v>
      </c>
      <c r="O57" s="37"/>
      <c r="P57" s="41"/>
      <c r="R57" s="2"/>
      <c r="T57" t="s">
        <v>14</v>
      </c>
      <c r="U57" s="2">
        <f>SUM(U55:U56)</f>
        <v>383.15294600247285</v>
      </c>
      <c r="V57" s="37"/>
      <c r="W57" s="41"/>
      <c r="Y57" s="2"/>
      <c r="AA57" t="s">
        <v>14</v>
      </c>
      <c r="AB57" s="2">
        <f>SUM(AB55:AB56)</f>
        <v>424.75294600247287</v>
      </c>
      <c r="AH57" t="s">
        <v>14</v>
      </c>
      <c r="AI57">
        <v>315.44522994293391</v>
      </c>
    </row>
    <row r="58" spans="2:35" x14ac:dyDescent="0.25">
      <c r="G58" s="2"/>
      <c r="N58" s="2"/>
      <c r="U58" s="2"/>
      <c r="AB58" s="2"/>
    </row>
    <row r="59" spans="2:35" x14ac:dyDescent="0.25">
      <c r="B59" s="39" t="s">
        <v>129</v>
      </c>
      <c r="C59" s="39"/>
      <c r="D59" s="39"/>
      <c r="E59" s="39"/>
      <c r="F59" s="39"/>
      <c r="G59" s="40">
        <f>C165</f>
        <v>304.89999999999998</v>
      </c>
      <c r="I59" s="39" t="s">
        <v>132</v>
      </c>
      <c r="J59" s="39"/>
      <c r="K59" s="39"/>
      <c r="L59" s="39"/>
      <c r="M59" s="39"/>
      <c r="N59" s="40">
        <f>D165</f>
        <v>339.9</v>
      </c>
      <c r="P59" s="39" t="s">
        <v>131</v>
      </c>
      <c r="Q59" s="39"/>
      <c r="R59" s="39"/>
      <c r="S59" s="39"/>
      <c r="T59" s="39"/>
      <c r="U59" s="40">
        <f>E165</f>
        <v>374.9</v>
      </c>
      <c r="W59" s="39" t="s">
        <v>130</v>
      </c>
      <c r="X59" s="39"/>
      <c r="Y59" s="39"/>
      <c r="Z59" s="39"/>
      <c r="AA59" s="39"/>
      <c r="AB59" s="40">
        <f>F165</f>
        <v>409.9</v>
      </c>
      <c r="AD59" t="s">
        <v>225</v>
      </c>
      <c r="AI59">
        <v>409.9</v>
      </c>
    </row>
    <row r="60" spans="2:35" x14ac:dyDescent="0.25">
      <c r="B60" s="20" t="s">
        <v>42</v>
      </c>
      <c r="C60" s="20" t="s">
        <v>43</v>
      </c>
      <c r="D60" s="20" t="s">
        <v>44</v>
      </c>
      <c r="E60" s="20" t="s">
        <v>45</v>
      </c>
      <c r="F60" s="20" t="s">
        <v>4</v>
      </c>
      <c r="G60" s="20" t="s">
        <v>46</v>
      </c>
      <c r="I60" s="20" t="s">
        <v>42</v>
      </c>
      <c r="J60" s="20" t="s">
        <v>43</v>
      </c>
      <c r="K60" s="20" t="s">
        <v>44</v>
      </c>
      <c r="L60" s="20" t="s">
        <v>45</v>
      </c>
      <c r="M60" s="20" t="s">
        <v>4</v>
      </c>
      <c r="N60" s="20" t="s">
        <v>46</v>
      </c>
      <c r="P60" s="20" t="s">
        <v>42</v>
      </c>
      <c r="Q60" s="20" t="s">
        <v>43</v>
      </c>
      <c r="R60" s="20" t="s">
        <v>44</v>
      </c>
      <c r="S60" s="20" t="s">
        <v>45</v>
      </c>
      <c r="T60" s="20" t="s">
        <v>4</v>
      </c>
      <c r="U60" s="20" t="s">
        <v>46</v>
      </c>
      <c r="W60" s="20" t="s">
        <v>42</v>
      </c>
      <c r="X60" s="20" t="s">
        <v>43</v>
      </c>
      <c r="Y60" s="20" t="s">
        <v>44</v>
      </c>
      <c r="Z60" s="20" t="s">
        <v>45</v>
      </c>
      <c r="AA60" s="20" t="s">
        <v>4</v>
      </c>
      <c r="AB60" s="20" t="s">
        <v>46</v>
      </c>
      <c r="AD60" t="s">
        <v>42</v>
      </c>
      <c r="AE60" t="s">
        <v>43</v>
      </c>
      <c r="AF60" t="s">
        <v>44</v>
      </c>
      <c r="AG60" t="s">
        <v>45</v>
      </c>
      <c r="AH60" t="s">
        <v>4</v>
      </c>
      <c r="AI60" t="s">
        <v>46</v>
      </c>
    </row>
    <row r="61" spans="2:35" x14ac:dyDescent="0.25">
      <c r="B61" s="17" t="s">
        <v>57</v>
      </c>
      <c r="C61" s="17" t="s">
        <v>58</v>
      </c>
      <c r="D61" s="18" t="s">
        <v>59</v>
      </c>
      <c r="E61" s="18">
        <v>5.0000000000000001E-3</v>
      </c>
      <c r="F61" s="19">
        <v>50</v>
      </c>
      <c r="G61" s="19">
        <f>L136</f>
        <v>1.5</v>
      </c>
      <c r="I61" s="17" t="s">
        <v>57</v>
      </c>
      <c r="J61" s="17" t="s">
        <v>58</v>
      </c>
      <c r="K61" s="18" t="s">
        <v>59</v>
      </c>
      <c r="L61" s="18">
        <v>5.0000000000000001E-3</v>
      </c>
      <c r="M61" s="19">
        <v>50</v>
      </c>
      <c r="N61" s="19">
        <f>L136</f>
        <v>1.5</v>
      </c>
      <c r="P61" s="17" t="s">
        <v>57</v>
      </c>
      <c r="Q61" s="17" t="s">
        <v>58</v>
      </c>
      <c r="R61" s="18" t="s">
        <v>59</v>
      </c>
      <c r="S61" s="18">
        <v>5.0000000000000001E-3</v>
      </c>
      <c r="T61" s="19">
        <v>50</v>
      </c>
      <c r="U61" s="19">
        <f>L136</f>
        <v>1.5</v>
      </c>
      <c r="W61" s="17" t="s">
        <v>57</v>
      </c>
      <c r="X61" s="17" t="s">
        <v>58</v>
      </c>
      <c r="Y61" s="18" t="s">
        <v>59</v>
      </c>
      <c r="Z61" s="18">
        <v>5.0000000000000001E-3</v>
      </c>
      <c r="AA61" s="19">
        <v>50</v>
      </c>
      <c r="AB61" s="19">
        <f>L136</f>
        <v>1.5</v>
      </c>
      <c r="AD61" t="s">
        <v>57</v>
      </c>
      <c r="AE61" t="s">
        <v>58</v>
      </c>
      <c r="AF61" t="s">
        <v>59</v>
      </c>
      <c r="AG61">
        <v>5.0000000000000001E-3</v>
      </c>
      <c r="AH61">
        <v>50</v>
      </c>
      <c r="AI61">
        <v>1.5</v>
      </c>
    </row>
    <row r="62" spans="2:35" x14ac:dyDescent="0.25">
      <c r="B62" s="17" t="s">
        <v>60</v>
      </c>
      <c r="C62" s="17" t="s">
        <v>61</v>
      </c>
      <c r="D62" s="18" t="s">
        <v>16</v>
      </c>
      <c r="E62" s="18">
        <v>0.12</v>
      </c>
      <c r="F62" s="19">
        <v>117.5</v>
      </c>
      <c r="G62" s="19">
        <f>L137</f>
        <v>4.166666666666667</v>
      </c>
      <c r="I62" s="17" t="s">
        <v>60</v>
      </c>
      <c r="J62" s="17" t="s">
        <v>61</v>
      </c>
      <c r="K62" s="18" t="s">
        <v>16</v>
      </c>
      <c r="L62" s="18">
        <f>K137</f>
        <v>72</v>
      </c>
      <c r="M62" s="19">
        <v>117.5</v>
      </c>
      <c r="N62" s="19">
        <f>M137</f>
        <v>4.166666666666667</v>
      </c>
      <c r="P62" s="17" t="s">
        <v>60</v>
      </c>
      <c r="Q62" s="17" t="s">
        <v>90</v>
      </c>
      <c r="R62" s="18" t="s">
        <v>16</v>
      </c>
      <c r="S62" s="18">
        <f>K137*2</f>
        <v>144</v>
      </c>
      <c r="T62" s="19">
        <v>117.5</v>
      </c>
      <c r="U62" s="19">
        <f>N137</f>
        <v>8.3333333333333339</v>
      </c>
      <c r="W62" s="17" t="s">
        <v>60</v>
      </c>
      <c r="X62" s="17" t="s">
        <v>90</v>
      </c>
      <c r="Y62" s="18" t="s">
        <v>16</v>
      </c>
      <c r="Z62" s="18">
        <f>K137*2</f>
        <v>144</v>
      </c>
      <c r="AA62" s="19">
        <v>117.5</v>
      </c>
      <c r="AB62" s="19">
        <f>O137</f>
        <v>8.3333333333333339</v>
      </c>
      <c r="AD62" t="s">
        <v>60</v>
      </c>
      <c r="AE62" t="s">
        <v>90</v>
      </c>
      <c r="AF62" t="s">
        <v>16</v>
      </c>
      <c r="AG62">
        <v>144</v>
      </c>
      <c r="AH62">
        <v>117.5</v>
      </c>
      <c r="AI62">
        <v>6.5277777777777777</v>
      </c>
    </row>
    <row r="63" spans="2:35" x14ac:dyDescent="0.25">
      <c r="B63" s="17" t="s">
        <v>62</v>
      </c>
      <c r="C63" s="17" t="s">
        <v>98</v>
      </c>
      <c r="D63" s="18" t="s">
        <v>16</v>
      </c>
      <c r="E63" s="18">
        <v>1</v>
      </c>
      <c r="F63" s="19">
        <v>2.5</v>
      </c>
      <c r="G63" s="19">
        <f>L138</f>
        <v>9</v>
      </c>
      <c r="I63" s="17" t="s">
        <v>62</v>
      </c>
      <c r="J63" s="17" t="s">
        <v>97</v>
      </c>
      <c r="K63" s="18" t="s">
        <v>16</v>
      </c>
      <c r="L63" s="18">
        <v>1</v>
      </c>
      <c r="M63" s="19">
        <v>2.5</v>
      </c>
      <c r="N63" s="19">
        <f>L138</f>
        <v>9</v>
      </c>
      <c r="P63" s="17" t="s">
        <v>62</v>
      </c>
      <c r="Q63" s="17" t="s">
        <v>97</v>
      </c>
      <c r="R63" s="18" t="s">
        <v>16</v>
      </c>
      <c r="S63" s="18">
        <v>1</v>
      </c>
      <c r="T63" s="19">
        <v>2.5</v>
      </c>
      <c r="U63" s="19">
        <f>L138</f>
        <v>9</v>
      </c>
      <c r="W63" s="17" t="s">
        <v>62</v>
      </c>
      <c r="X63" s="17" t="s">
        <v>97</v>
      </c>
      <c r="Y63" s="18" t="s">
        <v>16</v>
      </c>
      <c r="Z63" s="18">
        <v>1</v>
      </c>
      <c r="AA63" s="19">
        <v>2.5</v>
      </c>
      <c r="AB63" s="19">
        <f>L138</f>
        <v>9</v>
      </c>
      <c r="AD63" t="s">
        <v>62</v>
      </c>
      <c r="AE63" t="s">
        <v>97</v>
      </c>
      <c r="AF63" t="s">
        <v>16</v>
      </c>
      <c r="AG63">
        <v>1</v>
      </c>
      <c r="AH63">
        <v>2.5</v>
      </c>
      <c r="AI63">
        <v>9</v>
      </c>
    </row>
    <row r="64" spans="2:35" x14ac:dyDescent="0.25">
      <c r="B64" s="17" t="s">
        <v>133</v>
      </c>
      <c r="C64" s="17" t="s">
        <v>134</v>
      </c>
      <c r="D64" s="18" t="s">
        <v>59</v>
      </c>
      <c r="E64" s="18">
        <v>1.4999999999999999E-2</v>
      </c>
      <c r="F64" s="19">
        <v>150</v>
      </c>
      <c r="G64" s="19">
        <f>L139</f>
        <v>14</v>
      </c>
      <c r="I64" s="17" t="s">
        <v>133</v>
      </c>
      <c r="J64" s="17" t="s">
        <v>134</v>
      </c>
      <c r="K64" s="18" t="s">
        <v>59</v>
      </c>
      <c r="L64" s="18">
        <v>1.4999999999999999E-2</v>
      </c>
      <c r="M64" s="19">
        <v>150</v>
      </c>
      <c r="N64" s="19">
        <f>L139</f>
        <v>14</v>
      </c>
      <c r="P64" s="17" t="s">
        <v>133</v>
      </c>
      <c r="Q64" s="17" t="s">
        <v>134</v>
      </c>
      <c r="R64" s="18" t="s">
        <v>59</v>
      </c>
      <c r="S64" s="18">
        <v>3.5000000000000003E-2</v>
      </c>
      <c r="T64" s="19">
        <v>150</v>
      </c>
      <c r="U64" s="19">
        <f>L139</f>
        <v>14</v>
      </c>
      <c r="W64" s="17" t="s">
        <v>133</v>
      </c>
      <c r="X64" s="17" t="s">
        <v>134</v>
      </c>
      <c r="Y64" s="18" t="s">
        <v>59</v>
      </c>
      <c r="Z64" s="18">
        <v>3.5000000000000003E-2</v>
      </c>
      <c r="AA64" s="19">
        <v>150</v>
      </c>
      <c r="AB64" s="19">
        <f>L139</f>
        <v>14</v>
      </c>
      <c r="AD64" t="s">
        <v>133</v>
      </c>
      <c r="AE64" t="s">
        <v>134</v>
      </c>
      <c r="AF64" t="s">
        <v>59</v>
      </c>
      <c r="AG64">
        <v>3.5000000000000003E-2</v>
      </c>
      <c r="AH64">
        <v>150</v>
      </c>
      <c r="AI64">
        <v>14</v>
      </c>
    </row>
    <row r="65" spans="2:35" x14ac:dyDescent="0.25">
      <c r="B65" s="17" t="s">
        <v>91</v>
      </c>
      <c r="C65" s="17" t="s">
        <v>91</v>
      </c>
      <c r="D65" s="18" t="s">
        <v>176</v>
      </c>
      <c r="E65" s="18" t="s">
        <v>177</v>
      </c>
      <c r="F65" s="19">
        <v>1</v>
      </c>
      <c r="G65" s="19">
        <f>L151</f>
        <v>3</v>
      </c>
      <c r="I65" s="17" t="s">
        <v>91</v>
      </c>
      <c r="J65" s="17" t="s">
        <v>91</v>
      </c>
      <c r="K65" s="18" t="s">
        <v>176</v>
      </c>
      <c r="L65" s="18" t="s">
        <v>177</v>
      </c>
      <c r="M65" s="19">
        <v>1</v>
      </c>
      <c r="N65" s="19">
        <f>M151</f>
        <v>3</v>
      </c>
      <c r="P65" s="17" t="s">
        <v>91</v>
      </c>
      <c r="Q65" s="17" t="s">
        <v>91</v>
      </c>
      <c r="R65" s="18" t="s">
        <v>180</v>
      </c>
      <c r="S65" s="18" t="s">
        <v>179</v>
      </c>
      <c r="T65" s="19">
        <v>2</v>
      </c>
      <c r="U65" s="19">
        <f>N151</f>
        <v>3</v>
      </c>
      <c r="W65" s="17" t="s">
        <v>91</v>
      </c>
      <c r="X65" s="17" t="s">
        <v>91</v>
      </c>
      <c r="Y65" s="18" t="s">
        <v>180</v>
      </c>
      <c r="Z65" s="18" t="s">
        <v>179</v>
      </c>
      <c r="AA65" s="19">
        <v>2</v>
      </c>
      <c r="AB65" s="19">
        <f>O151</f>
        <v>3</v>
      </c>
      <c r="AD65" t="s">
        <v>91</v>
      </c>
      <c r="AE65" t="s">
        <v>91</v>
      </c>
      <c r="AF65" t="s">
        <v>180</v>
      </c>
      <c r="AG65" t="s">
        <v>179</v>
      </c>
      <c r="AH65">
        <v>2</v>
      </c>
      <c r="AI65">
        <v>3</v>
      </c>
    </row>
    <row r="66" spans="2:35" x14ac:dyDescent="0.25">
      <c r="B66" s="17" t="s">
        <v>65</v>
      </c>
      <c r="C66" s="17" t="s">
        <v>66</v>
      </c>
      <c r="D66" s="18" t="s">
        <v>16</v>
      </c>
      <c r="E66" s="18">
        <v>0.1</v>
      </c>
      <c r="F66" s="19">
        <f>J140</f>
        <v>520</v>
      </c>
      <c r="G66" s="19">
        <f>L140</f>
        <v>52</v>
      </c>
      <c r="I66" s="17" t="s">
        <v>65</v>
      </c>
      <c r="J66" s="17" t="s">
        <v>95</v>
      </c>
      <c r="K66" s="18" t="s">
        <v>16</v>
      </c>
      <c r="L66" s="18">
        <v>0.14000000000000001</v>
      </c>
      <c r="M66" s="19">
        <f>J140</f>
        <v>520</v>
      </c>
      <c r="N66" s="19">
        <f>M140</f>
        <v>72.800000000000011</v>
      </c>
      <c r="P66" s="17" t="s">
        <v>65</v>
      </c>
      <c r="Q66" s="17" t="s">
        <v>94</v>
      </c>
      <c r="R66" s="18" t="s">
        <v>16</v>
      </c>
      <c r="S66" s="18">
        <v>0.2</v>
      </c>
      <c r="T66" s="19">
        <f>J140</f>
        <v>520</v>
      </c>
      <c r="U66" s="19">
        <f>N140</f>
        <v>104</v>
      </c>
      <c r="W66" s="17" t="s">
        <v>65</v>
      </c>
      <c r="X66" s="17" t="s">
        <v>93</v>
      </c>
      <c r="Y66" s="18" t="s">
        <v>16</v>
      </c>
      <c r="Z66" s="18">
        <v>0.28000000000000003</v>
      </c>
      <c r="AA66" s="19">
        <f>J140</f>
        <v>520</v>
      </c>
      <c r="AB66" s="19">
        <f>O140</f>
        <v>145.60000000000002</v>
      </c>
      <c r="AD66" t="s">
        <v>65</v>
      </c>
      <c r="AE66" t="s">
        <v>93</v>
      </c>
      <c r="AF66" t="s">
        <v>16</v>
      </c>
      <c r="AG66">
        <v>0.28000000000000003</v>
      </c>
      <c r="AH66">
        <v>460</v>
      </c>
      <c r="AI66">
        <v>128.80000000000001</v>
      </c>
    </row>
    <row r="67" spans="2:35" x14ac:dyDescent="0.25">
      <c r="B67" s="17" t="s">
        <v>24</v>
      </c>
      <c r="C67" s="17" t="s">
        <v>167</v>
      </c>
      <c r="D67" s="18" t="s">
        <v>67</v>
      </c>
      <c r="E67" s="18">
        <f>K141</f>
        <v>300</v>
      </c>
      <c r="F67" s="19">
        <f>J141</f>
        <v>58</v>
      </c>
      <c r="G67" s="19">
        <f>L141</f>
        <v>17.400000000000002</v>
      </c>
      <c r="I67" s="17" t="s">
        <v>24</v>
      </c>
      <c r="J67" s="17" t="s">
        <v>167</v>
      </c>
      <c r="K67" s="18" t="s">
        <v>67</v>
      </c>
      <c r="L67" s="18">
        <f>K141</f>
        <v>300</v>
      </c>
      <c r="M67" s="19">
        <f>J141</f>
        <v>58</v>
      </c>
      <c r="N67" s="19">
        <f>L141</f>
        <v>17.400000000000002</v>
      </c>
      <c r="P67" s="17" t="s">
        <v>24</v>
      </c>
      <c r="Q67" s="17" t="s">
        <v>167</v>
      </c>
      <c r="R67" s="18" t="s">
        <v>67</v>
      </c>
      <c r="S67" s="18">
        <f>K141</f>
        <v>300</v>
      </c>
      <c r="T67" s="19">
        <f>J141</f>
        <v>58</v>
      </c>
      <c r="U67" s="19">
        <f>L141</f>
        <v>17.400000000000002</v>
      </c>
      <c r="W67" s="17" t="s">
        <v>24</v>
      </c>
      <c r="X67" s="17" t="s">
        <v>167</v>
      </c>
      <c r="Y67" s="18" t="s">
        <v>67</v>
      </c>
      <c r="Z67" s="18">
        <f>K141</f>
        <v>300</v>
      </c>
      <c r="AA67" s="19">
        <f>J141</f>
        <v>58</v>
      </c>
      <c r="AB67" s="19">
        <f>L141</f>
        <v>17.400000000000002</v>
      </c>
      <c r="AD67" t="s">
        <v>24</v>
      </c>
      <c r="AE67" t="s">
        <v>167</v>
      </c>
      <c r="AF67" t="s">
        <v>67</v>
      </c>
      <c r="AG67">
        <v>290</v>
      </c>
      <c r="AH67">
        <v>59</v>
      </c>
      <c r="AI67">
        <v>17.11</v>
      </c>
    </row>
    <row r="68" spans="2:35" x14ac:dyDescent="0.25">
      <c r="B68" s="17" t="s">
        <v>155</v>
      </c>
      <c r="C68" s="17" t="s">
        <v>156</v>
      </c>
      <c r="D68" s="18" t="s">
        <v>67</v>
      </c>
      <c r="E68" s="18">
        <v>0.1</v>
      </c>
      <c r="F68" s="19">
        <v>1</v>
      </c>
      <c r="G68" s="19">
        <f>L142</f>
        <v>3</v>
      </c>
      <c r="I68" s="17" t="s">
        <v>155</v>
      </c>
      <c r="J68" s="17" t="s">
        <v>156</v>
      </c>
      <c r="K68" s="18" t="s">
        <v>67</v>
      </c>
      <c r="L68" s="18">
        <v>0.1</v>
      </c>
      <c r="M68" s="19">
        <v>1</v>
      </c>
      <c r="N68" s="19">
        <f>L142</f>
        <v>3</v>
      </c>
      <c r="P68" s="17" t="s">
        <v>155</v>
      </c>
      <c r="Q68" s="17" t="s">
        <v>156</v>
      </c>
      <c r="R68" s="18" t="s">
        <v>67</v>
      </c>
      <c r="S68" s="18">
        <v>0.1</v>
      </c>
      <c r="T68" s="19">
        <v>1</v>
      </c>
      <c r="U68" s="19">
        <f>L142</f>
        <v>3</v>
      </c>
      <c r="W68" s="17" t="s">
        <v>155</v>
      </c>
      <c r="X68" s="17" t="s">
        <v>156</v>
      </c>
      <c r="Y68" s="18" t="s">
        <v>67</v>
      </c>
      <c r="Z68" s="18">
        <v>0.1</v>
      </c>
      <c r="AA68" s="19">
        <v>1</v>
      </c>
      <c r="AB68" s="19">
        <f>L142</f>
        <v>3</v>
      </c>
      <c r="AD68" t="s">
        <v>155</v>
      </c>
      <c r="AE68" t="s">
        <v>156</v>
      </c>
      <c r="AF68" t="s">
        <v>67</v>
      </c>
      <c r="AG68">
        <v>0.1</v>
      </c>
      <c r="AH68">
        <v>1</v>
      </c>
      <c r="AI68">
        <v>3</v>
      </c>
    </row>
    <row r="69" spans="2:35" x14ac:dyDescent="0.25">
      <c r="B69" s="17" t="s">
        <v>70</v>
      </c>
      <c r="C69" s="17" t="s">
        <v>70</v>
      </c>
      <c r="D69" s="18" t="s">
        <v>16</v>
      </c>
      <c r="E69" s="18">
        <v>1</v>
      </c>
      <c r="F69" s="19">
        <v>7.2</v>
      </c>
      <c r="G69" s="19">
        <f>L143</f>
        <v>21</v>
      </c>
      <c r="I69" s="17" t="s">
        <v>70</v>
      </c>
      <c r="J69" s="17" t="s">
        <v>70</v>
      </c>
      <c r="K69" s="18" t="s">
        <v>16</v>
      </c>
      <c r="L69" s="18">
        <v>1</v>
      </c>
      <c r="M69" s="19">
        <v>7.2</v>
      </c>
      <c r="N69" s="19">
        <f>L143</f>
        <v>21</v>
      </c>
      <c r="P69" s="17" t="s">
        <v>70</v>
      </c>
      <c r="Q69" s="17" t="s">
        <v>70</v>
      </c>
      <c r="R69" s="18" t="s">
        <v>16</v>
      </c>
      <c r="S69" s="18">
        <v>1</v>
      </c>
      <c r="T69" s="19">
        <v>7.2</v>
      </c>
      <c r="U69" s="19">
        <f>L143</f>
        <v>21</v>
      </c>
      <c r="W69" s="17" t="s">
        <v>70</v>
      </c>
      <c r="X69" s="17" t="s">
        <v>70</v>
      </c>
      <c r="Y69" s="18" t="s">
        <v>16</v>
      </c>
      <c r="Z69" s="18">
        <v>1</v>
      </c>
      <c r="AA69" s="19">
        <v>7.2</v>
      </c>
      <c r="AB69" s="19">
        <f>L143</f>
        <v>21</v>
      </c>
      <c r="AD69" t="s">
        <v>70</v>
      </c>
      <c r="AE69" t="s">
        <v>70</v>
      </c>
      <c r="AF69" t="s">
        <v>16</v>
      </c>
      <c r="AG69">
        <v>1</v>
      </c>
      <c r="AH69">
        <v>7.2</v>
      </c>
      <c r="AI69">
        <v>14</v>
      </c>
    </row>
    <row r="70" spans="2:35" x14ac:dyDescent="0.25">
      <c r="B70" s="41"/>
      <c r="F70" t="s">
        <v>73</v>
      </c>
      <c r="G70" s="2">
        <f>SUM(G61:G69)</f>
        <v>125.06666666666668</v>
      </c>
      <c r="I70" s="41"/>
      <c r="M70" t="s">
        <v>73</v>
      </c>
      <c r="N70" s="2">
        <f>SUM(N61:N69)</f>
        <v>145.86666666666667</v>
      </c>
      <c r="P70" s="41"/>
      <c r="T70" t="s">
        <v>73</v>
      </c>
      <c r="U70" s="2">
        <f>SUM(U61:U69)</f>
        <v>181.23333333333335</v>
      </c>
      <c r="W70" s="41"/>
      <c r="AA70" t="s">
        <v>73</v>
      </c>
      <c r="AB70" s="2">
        <f>SUM(AB61:AB69)</f>
        <v>222.83333333333337</v>
      </c>
      <c r="AH70" t="s">
        <v>73</v>
      </c>
      <c r="AI70">
        <v>196.9377777777778</v>
      </c>
    </row>
    <row r="71" spans="2:35" x14ac:dyDescent="0.25">
      <c r="B71" s="41"/>
      <c r="D71" s="2"/>
      <c r="F71" t="s">
        <v>85</v>
      </c>
      <c r="G71" s="2">
        <f>'Genel Gider'!F24</f>
        <v>200.21961266913951</v>
      </c>
      <c r="H71" s="37"/>
      <c r="I71" s="41"/>
      <c r="K71" s="2"/>
      <c r="M71" t="s">
        <v>85</v>
      </c>
      <c r="N71" s="2">
        <f>'Genel Gider'!F24</f>
        <v>200.21961266913951</v>
      </c>
      <c r="O71" s="37"/>
      <c r="P71" s="41"/>
      <c r="R71" s="2"/>
      <c r="T71" t="s">
        <v>85</v>
      </c>
      <c r="U71" s="2">
        <f>'Genel Gider'!F24</f>
        <v>200.21961266913951</v>
      </c>
      <c r="V71" s="37"/>
      <c r="W71" s="41"/>
      <c r="Y71" s="2"/>
      <c r="AA71" t="s">
        <v>85</v>
      </c>
      <c r="AB71" s="2">
        <f>'Genel Gider'!F24</f>
        <v>200.21961266913951</v>
      </c>
      <c r="AH71" t="s">
        <v>85</v>
      </c>
      <c r="AI71">
        <v>118.2074521651561</v>
      </c>
    </row>
    <row r="72" spans="2:35" x14ac:dyDescent="0.25">
      <c r="B72" s="41"/>
      <c r="D72" s="2"/>
      <c r="F72" t="s">
        <v>14</v>
      </c>
      <c r="G72" s="2">
        <f>SUM(G70:G71)</f>
        <v>325.28627933580617</v>
      </c>
      <c r="H72" s="37"/>
      <c r="I72" s="41"/>
      <c r="K72" s="2"/>
      <c r="M72" t="s">
        <v>14</v>
      </c>
      <c r="N72" s="2">
        <f>SUM(N70:N71)</f>
        <v>346.08627933580618</v>
      </c>
      <c r="O72" s="37"/>
      <c r="P72" s="41"/>
      <c r="R72" s="2"/>
      <c r="T72" t="s">
        <v>14</v>
      </c>
      <c r="U72" s="2">
        <f>SUM(U70:U71)</f>
        <v>381.45294600247286</v>
      </c>
      <c r="V72" s="37"/>
      <c r="W72" s="41"/>
      <c r="Y72" s="2"/>
      <c r="AA72" t="s">
        <v>14</v>
      </c>
      <c r="AB72" s="2">
        <f>SUM(AB70:AB71)</f>
        <v>423.05294600247288</v>
      </c>
      <c r="AH72" t="s">
        <v>14</v>
      </c>
      <c r="AI72">
        <v>315.1452299429339</v>
      </c>
    </row>
    <row r="73" spans="2:35" x14ac:dyDescent="0.25">
      <c r="G73" s="2"/>
      <c r="N73" s="2"/>
      <c r="U73" s="2"/>
      <c r="AB73" s="2"/>
    </row>
    <row r="74" spans="2:35" x14ac:dyDescent="0.25">
      <c r="B74" s="39" t="s">
        <v>86</v>
      </c>
      <c r="C74" s="39"/>
      <c r="D74" s="39"/>
      <c r="E74" s="39"/>
      <c r="F74" s="39"/>
      <c r="G74" s="40">
        <f>C164</f>
        <v>304.89999999999998</v>
      </c>
      <c r="I74" s="39" t="s">
        <v>88</v>
      </c>
      <c r="J74" s="39"/>
      <c r="K74" s="39"/>
      <c r="L74" s="39"/>
      <c r="M74" s="39"/>
      <c r="N74" s="40">
        <f>D164</f>
        <v>339.9</v>
      </c>
      <c r="P74" s="39" t="s">
        <v>89</v>
      </c>
      <c r="Q74" s="39"/>
      <c r="R74" s="39"/>
      <c r="S74" s="39"/>
      <c r="T74" s="39"/>
      <c r="U74" s="40">
        <f>E164</f>
        <v>374.9</v>
      </c>
      <c r="W74" s="39" t="s">
        <v>87</v>
      </c>
      <c r="X74" s="39"/>
      <c r="Y74" s="39"/>
      <c r="Z74" s="39"/>
      <c r="AA74" s="39"/>
      <c r="AB74" s="40">
        <f>F164</f>
        <v>409.9</v>
      </c>
      <c r="AD74" t="s">
        <v>226</v>
      </c>
      <c r="AI74">
        <v>409.9</v>
      </c>
    </row>
    <row r="75" spans="2:35" x14ac:dyDescent="0.25">
      <c r="B75" s="20" t="s">
        <v>42</v>
      </c>
      <c r="C75" s="20" t="s">
        <v>43</v>
      </c>
      <c r="D75" s="20" t="s">
        <v>44</v>
      </c>
      <c r="E75" s="20" t="s">
        <v>45</v>
      </c>
      <c r="F75" s="20" t="s">
        <v>4</v>
      </c>
      <c r="G75" s="20" t="s">
        <v>46</v>
      </c>
      <c r="I75" s="20" t="s">
        <v>42</v>
      </c>
      <c r="J75" s="20" t="s">
        <v>43</v>
      </c>
      <c r="K75" s="20" t="s">
        <v>44</v>
      </c>
      <c r="L75" s="20" t="s">
        <v>45</v>
      </c>
      <c r="M75" s="20" t="s">
        <v>4</v>
      </c>
      <c r="N75" s="20" t="s">
        <v>46</v>
      </c>
      <c r="P75" s="20" t="s">
        <v>42</v>
      </c>
      <c r="Q75" s="20" t="s">
        <v>43</v>
      </c>
      <c r="R75" s="20" t="s">
        <v>44</v>
      </c>
      <c r="S75" s="20" t="s">
        <v>45</v>
      </c>
      <c r="T75" s="20" t="s">
        <v>4</v>
      </c>
      <c r="U75" s="20" t="s">
        <v>46</v>
      </c>
      <c r="W75" s="20" t="s">
        <v>42</v>
      </c>
      <c r="X75" s="20" t="s">
        <v>43</v>
      </c>
      <c r="Y75" s="20" t="s">
        <v>44</v>
      </c>
      <c r="Z75" s="20" t="s">
        <v>45</v>
      </c>
      <c r="AA75" s="20" t="s">
        <v>4</v>
      </c>
      <c r="AB75" s="20" t="s">
        <v>46</v>
      </c>
      <c r="AD75" t="s">
        <v>42</v>
      </c>
      <c r="AE75" t="s">
        <v>43</v>
      </c>
      <c r="AF75" t="s">
        <v>44</v>
      </c>
      <c r="AG75" t="s">
        <v>45</v>
      </c>
      <c r="AH75" t="s">
        <v>4</v>
      </c>
      <c r="AI75" t="s">
        <v>46</v>
      </c>
    </row>
    <row r="76" spans="2:35" x14ac:dyDescent="0.25">
      <c r="B76" s="17" t="s">
        <v>57</v>
      </c>
      <c r="C76" s="17" t="s">
        <v>58</v>
      </c>
      <c r="D76" s="18" t="s">
        <v>59</v>
      </c>
      <c r="E76" s="18">
        <v>5.0000000000000001E-3</v>
      </c>
      <c r="F76" s="19">
        <v>50</v>
      </c>
      <c r="G76" s="19">
        <f>L136</f>
        <v>1.5</v>
      </c>
      <c r="I76" s="17" t="s">
        <v>57</v>
      </c>
      <c r="J76" s="17" t="s">
        <v>58</v>
      </c>
      <c r="K76" s="18" t="s">
        <v>59</v>
      </c>
      <c r="L76" s="18">
        <v>5.0000000000000001E-3</v>
      </c>
      <c r="M76" s="19">
        <v>50</v>
      </c>
      <c r="N76" s="19">
        <f>L136</f>
        <v>1.5</v>
      </c>
      <c r="P76" s="17" t="s">
        <v>57</v>
      </c>
      <c r="Q76" s="17" t="s">
        <v>58</v>
      </c>
      <c r="R76" s="18" t="s">
        <v>59</v>
      </c>
      <c r="S76" s="18">
        <v>5.0000000000000001E-3</v>
      </c>
      <c r="T76" s="19">
        <v>50</v>
      </c>
      <c r="U76" s="19">
        <f>L136</f>
        <v>1.5</v>
      </c>
      <c r="W76" s="17" t="s">
        <v>57</v>
      </c>
      <c r="X76" s="17" t="s">
        <v>58</v>
      </c>
      <c r="Y76" s="18" t="s">
        <v>59</v>
      </c>
      <c r="Z76" s="18">
        <v>5.0000000000000001E-3</v>
      </c>
      <c r="AA76" s="19">
        <v>50</v>
      </c>
      <c r="AB76" s="19">
        <f>L136</f>
        <v>1.5</v>
      </c>
      <c r="AD76" t="s">
        <v>57</v>
      </c>
      <c r="AE76" t="s">
        <v>58</v>
      </c>
      <c r="AF76" t="s">
        <v>59</v>
      </c>
      <c r="AG76">
        <v>5.0000000000000001E-3</v>
      </c>
      <c r="AH76">
        <v>50</v>
      </c>
      <c r="AI76">
        <v>1.5</v>
      </c>
    </row>
    <row r="77" spans="2:35" x14ac:dyDescent="0.25">
      <c r="B77" s="17" t="s">
        <v>60</v>
      </c>
      <c r="C77" s="17" t="s">
        <v>61</v>
      </c>
      <c r="D77" s="18" t="s">
        <v>16</v>
      </c>
      <c r="E77" s="18" t="e">
        <f>#REF!</f>
        <v>#REF!</v>
      </c>
      <c r="F77" s="19">
        <v>117.5</v>
      </c>
      <c r="G77" s="19">
        <f>L137</f>
        <v>4.166666666666667</v>
      </c>
      <c r="I77" s="17" t="s">
        <v>60</v>
      </c>
      <c r="J77" s="17" t="s">
        <v>61</v>
      </c>
      <c r="K77" s="18" t="s">
        <v>16</v>
      </c>
      <c r="L77" s="18" t="e">
        <f>#REF!</f>
        <v>#REF!</v>
      </c>
      <c r="M77" s="19">
        <v>117.5</v>
      </c>
      <c r="N77" s="19">
        <f>M137</f>
        <v>4.166666666666667</v>
      </c>
      <c r="P77" s="17" t="s">
        <v>60</v>
      </c>
      <c r="Q77" s="17" t="s">
        <v>90</v>
      </c>
      <c r="R77" s="18" t="s">
        <v>16</v>
      </c>
      <c r="S77" s="18">
        <v>2</v>
      </c>
      <c r="T77" s="19">
        <v>117.5</v>
      </c>
      <c r="U77" s="19">
        <f>N137</f>
        <v>8.3333333333333339</v>
      </c>
      <c r="W77" s="17" t="s">
        <v>60</v>
      </c>
      <c r="X77" s="17" t="s">
        <v>90</v>
      </c>
      <c r="Y77" s="18" t="s">
        <v>16</v>
      </c>
      <c r="Z77" s="18">
        <v>2</v>
      </c>
      <c r="AA77" s="19">
        <v>117.5</v>
      </c>
      <c r="AB77" s="19">
        <f>O137</f>
        <v>8.3333333333333339</v>
      </c>
      <c r="AD77" t="s">
        <v>60</v>
      </c>
      <c r="AE77" t="s">
        <v>90</v>
      </c>
      <c r="AF77" t="s">
        <v>16</v>
      </c>
      <c r="AG77">
        <v>2</v>
      </c>
      <c r="AH77">
        <v>117.5</v>
      </c>
      <c r="AI77">
        <v>6.5277777777777777</v>
      </c>
    </row>
    <row r="78" spans="2:35" x14ac:dyDescent="0.25">
      <c r="B78" s="17" t="s">
        <v>62</v>
      </c>
      <c r="C78" s="17" t="s">
        <v>98</v>
      </c>
      <c r="D78" s="18" t="s">
        <v>16</v>
      </c>
      <c r="E78" s="18">
        <v>2.5</v>
      </c>
      <c r="F78" s="19">
        <v>2.5</v>
      </c>
      <c r="G78" s="19">
        <f>L138</f>
        <v>9</v>
      </c>
      <c r="I78" s="17" t="s">
        <v>62</v>
      </c>
      <c r="J78" s="17" t="s">
        <v>98</v>
      </c>
      <c r="K78" s="18" t="s">
        <v>16</v>
      </c>
      <c r="L78" s="18">
        <v>2.5</v>
      </c>
      <c r="M78" s="19">
        <v>2.5</v>
      </c>
      <c r="N78" s="19">
        <f>L138</f>
        <v>9</v>
      </c>
      <c r="P78" s="17" t="s">
        <v>62</v>
      </c>
      <c r="Q78" s="17" t="s">
        <v>97</v>
      </c>
      <c r="R78" s="18" t="s">
        <v>16</v>
      </c>
      <c r="S78" s="18">
        <v>2.5</v>
      </c>
      <c r="T78" s="19">
        <v>2.5</v>
      </c>
      <c r="U78" s="19">
        <f>L138</f>
        <v>9</v>
      </c>
      <c r="W78" s="17" t="s">
        <v>62</v>
      </c>
      <c r="X78" s="17" t="s">
        <v>97</v>
      </c>
      <c r="Y78" s="18" t="s">
        <v>16</v>
      </c>
      <c r="Z78" s="18">
        <v>2.5</v>
      </c>
      <c r="AA78" s="19">
        <v>2.5</v>
      </c>
      <c r="AB78" s="19">
        <f>L138</f>
        <v>9</v>
      </c>
      <c r="AD78" t="s">
        <v>62</v>
      </c>
      <c r="AE78" t="s">
        <v>97</v>
      </c>
      <c r="AF78" t="s">
        <v>16</v>
      </c>
      <c r="AG78">
        <v>2.5</v>
      </c>
      <c r="AH78">
        <v>2.5</v>
      </c>
      <c r="AI78">
        <v>9</v>
      </c>
    </row>
    <row r="79" spans="2:35" x14ac:dyDescent="0.25">
      <c r="B79" s="17" t="s">
        <v>63</v>
      </c>
      <c r="C79" s="17" t="s">
        <v>64</v>
      </c>
      <c r="D79" s="18" t="s">
        <v>59</v>
      </c>
      <c r="E79" s="18">
        <f>K212</f>
        <v>0</v>
      </c>
      <c r="F79" s="19">
        <v>145</v>
      </c>
      <c r="G79" s="19">
        <f>L148</f>
        <v>9.1</v>
      </c>
      <c r="I79" s="17" t="s">
        <v>63</v>
      </c>
      <c r="J79" s="17" t="s">
        <v>64</v>
      </c>
      <c r="K79" s="18" t="s">
        <v>59</v>
      </c>
      <c r="L79" s="18">
        <v>1.2E-2</v>
      </c>
      <c r="M79" s="19">
        <v>145</v>
      </c>
      <c r="N79" s="19">
        <f>M148</f>
        <v>9.1</v>
      </c>
      <c r="P79" s="17" t="s">
        <v>63</v>
      </c>
      <c r="Q79" s="17" t="s">
        <v>96</v>
      </c>
      <c r="R79" s="18" t="s">
        <v>59</v>
      </c>
      <c r="S79" s="18">
        <v>2.4E-2</v>
      </c>
      <c r="T79" s="19">
        <v>145</v>
      </c>
      <c r="U79" s="19">
        <f>N148</f>
        <v>18.2</v>
      </c>
      <c r="W79" s="17" t="s">
        <v>63</v>
      </c>
      <c r="X79" s="17" t="s">
        <v>96</v>
      </c>
      <c r="Y79" s="18" t="s">
        <v>59</v>
      </c>
      <c r="Z79" s="18">
        <v>2.4E-2</v>
      </c>
      <c r="AA79" s="19">
        <v>145</v>
      </c>
      <c r="AB79" s="19">
        <f>O148</f>
        <v>18.2</v>
      </c>
      <c r="AD79" t="s">
        <v>63</v>
      </c>
      <c r="AE79" t="s">
        <v>96</v>
      </c>
      <c r="AF79" t="s">
        <v>59</v>
      </c>
      <c r="AG79">
        <v>2.4E-2</v>
      </c>
      <c r="AH79">
        <v>145</v>
      </c>
      <c r="AI79">
        <v>16.8</v>
      </c>
    </row>
    <row r="80" spans="2:35" x14ac:dyDescent="0.25">
      <c r="B80" s="17" t="s">
        <v>65</v>
      </c>
      <c r="C80" s="17" t="s">
        <v>66</v>
      </c>
      <c r="D80" s="18" t="s">
        <v>16</v>
      </c>
      <c r="E80" s="18">
        <v>0.1</v>
      </c>
      <c r="F80" s="19">
        <f>J204</f>
        <v>0</v>
      </c>
      <c r="G80" s="19">
        <f>L140</f>
        <v>52</v>
      </c>
      <c r="I80" s="17" t="s">
        <v>65</v>
      </c>
      <c r="J80" s="17" t="s">
        <v>95</v>
      </c>
      <c r="K80" s="18" t="s">
        <v>16</v>
      </c>
      <c r="L80" s="18">
        <v>0.14000000000000001</v>
      </c>
      <c r="M80" s="19">
        <v>125</v>
      </c>
      <c r="N80" s="19">
        <f>M140</f>
        <v>72.800000000000011</v>
      </c>
      <c r="P80" s="17" t="s">
        <v>65</v>
      </c>
      <c r="Q80" s="17" t="s">
        <v>94</v>
      </c>
      <c r="R80" s="18" t="s">
        <v>16</v>
      </c>
      <c r="S80" s="18">
        <v>0.2</v>
      </c>
      <c r="T80" s="19">
        <v>125</v>
      </c>
      <c r="U80" s="19">
        <f>N140</f>
        <v>104</v>
      </c>
      <c r="W80" s="17" t="s">
        <v>65</v>
      </c>
      <c r="X80" s="17" t="s">
        <v>93</v>
      </c>
      <c r="Y80" s="18" t="s">
        <v>16</v>
      </c>
      <c r="Z80" s="18">
        <v>0.28000000000000003</v>
      </c>
      <c r="AA80" s="19">
        <v>125</v>
      </c>
      <c r="AB80" s="19">
        <f>O140</f>
        <v>145.60000000000002</v>
      </c>
      <c r="AD80" t="s">
        <v>65</v>
      </c>
      <c r="AE80" t="s">
        <v>93</v>
      </c>
      <c r="AF80" t="s">
        <v>16</v>
      </c>
      <c r="AG80">
        <v>0.28000000000000003</v>
      </c>
      <c r="AH80">
        <v>125</v>
      </c>
      <c r="AI80">
        <v>128.80000000000001</v>
      </c>
    </row>
    <row r="81" spans="2:35" x14ac:dyDescent="0.25">
      <c r="B81" s="17" t="s">
        <v>24</v>
      </c>
      <c r="C81" s="17" t="s">
        <v>167</v>
      </c>
      <c r="D81" s="18" t="s">
        <v>67</v>
      </c>
      <c r="E81" s="18">
        <f>K205</f>
        <v>0</v>
      </c>
      <c r="F81" s="19">
        <f>J205</f>
        <v>0</v>
      </c>
      <c r="G81" s="19">
        <f>L141</f>
        <v>17.400000000000002</v>
      </c>
      <c r="I81" s="17" t="s">
        <v>24</v>
      </c>
      <c r="J81" s="17" t="s">
        <v>167</v>
      </c>
      <c r="K81" s="18" t="s">
        <v>67</v>
      </c>
      <c r="L81" s="18">
        <v>0.25</v>
      </c>
      <c r="M81" s="19">
        <v>33</v>
      </c>
      <c r="N81" s="19">
        <f>L141</f>
        <v>17.400000000000002</v>
      </c>
      <c r="P81" s="17" t="s">
        <v>24</v>
      </c>
      <c r="Q81" s="17" t="s">
        <v>167</v>
      </c>
      <c r="R81" s="18" t="s">
        <v>67</v>
      </c>
      <c r="S81" s="18">
        <v>0.25</v>
      </c>
      <c r="T81" s="19">
        <v>33</v>
      </c>
      <c r="U81" s="19">
        <f>L141</f>
        <v>17.400000000000002</v>
      </c>
      <c r="W81" s="17" t="s">
        <v>24</v>
      </c>
      <c r="X81" s="17" t="s">
        <v>167</v>
      </c>
      <c r="Y81" s="18" t="s">
        <v>67</v>
      </c>
      <c r="Z81" s="18">
        <v>0.25</v>
      </c>
      <c r="AA81" s="19">
        <v>33</v>
      </c>
      <c r="AB81" s="19">
        <f>L141</f>
        <v>17.400000000000002</v>
      </c>
      <c r="AD81" t="s">
        <v>24</v>
      </c>
      <c r="AE81" t="s">
        <v>167</v>
      </c>
      <c r="AF81" t="s">
        <v>67</v>
      </c>
      <c r="AG81">
        <v>0.25</v>
      </c>
      <c r="AH81">
        <v>33</v>
      </c>
      <c r="AI81">
        <v>17.11</v>
      </c>
    </row>
    <row r="82" spans="2:35" x14ac:dyDescent="0.25">
      <c r="B82" s="17" t="s">
        <v>178</v>
      </c>
      <c r="C82" s="17" t="s">
        <v>178</v>
      </c>
      <c r="D82" s="18" t="s">
        <v>67</v>
      </c>
      <c r="E82" s="18">
        <v>0.1</v>
      </c>
      <c r="F82" s="19">
        <v>1.5</v>
      </c>
      <c r="G82" s="19">
        <f>L149</f>
        <v>6</v>
      </c>
      <c r="I82" s="17" t="s">
        <v>178</v>
      </c>
      <c r="J82" s="17" t="s">
        <v>178</v>
      </c>
      <c r="K82" s="18" t="s">
        <v>67</v>
      </c>
      <c r="L82" s="18">
        <v>0.1</v>
      </c>
      <c r="M82" s="19">
        <v>1.5</v>
      </c>
      <c r="N82" s="19">
        <f>L149</f>
        <v>6</v>
      </c>
      <c r="P82" s="17" t="s">
        <v>178</v>
      </c>
      <c r="Q82" s="17" t="s">
        <v>178</v>
      </c>
      <c r="R82" s="18" t="s">
        <v>67</v>
      </c>
      <c r="S82" s="18">
        <v>0.1</v>
      </c>
      <c r="T82" s="19">
        <v>1.5</v>
      </c>
      <c r="U82" s="19">
        <f>L149</f>
        <v>6</v>
      </c>
      <c r="W82" s="17" t="s">
        <v>178</v>
      </c>
      <c r="X82" s="17" t="s">
        <v>178</v>
      </c>
      <c r="Y82" s="18" t="s">
        <v>67</v>
      </c>
      <c r="Z82" s="18">
        <v>0.1</v>
      </c>
      <c r="AA82" s="19">
        <v>1.5</v>
      </c>
      <c r="AB82" s="19">
        <f>L149</f>
        <v>6</v>
      </c>
      <c r="AD82" t="s">
        <v>178</v>
      </c>
      <c r="AE82" t="s">
        <v>178</v>
      </c>
      <c r="AF82" t="s">
        <v>67</v>
      </c>
      <c r="AG82">
        <v>0.1</v>
      </c>
      <c r="AH82">
        <v>1.5</v>
      </c>
      <c r="AI82">
        <v>6</v>
      </c>
    </row>
    <row r="83" spans="2:35" x14ac:dyDescent="0.25">
      <c r="B83" s="17" t="s">
        <v>70</v>
      </c>
      <c r="C83" s="17" t="s">
        <v>70</v>
      </c>
      <c r="D83" s="18" t="s">
        <v>16</v>
      </c>
      <c r="E83" s="18">
        <v>1</v>
      </c>
      <c r="F83" s="19">
        <v>7.2</v>
      </c>
      <c r="G83" s="19">
        <f>L143</f>
        <v>21</v>
      </c>
      <c r="I83" s="17" t="s">
        <v>70</v>
      </c>
      <c r="J83" s="17" t="s">
        <v>70</v>
      </c>
      <c r="K83" s="18" t="s">
        <v>16</v>
      </c>
      <c r="L83" s="18">
        <v>1</v>
      </c>
      <c r="M83" s="19">
        <v>7.2</v>
      </c>
      <c r="N83" s="19">
        <f>L143</f>
        <v>21</v>
      </c>
      <c r="P83" s="17" t="s">
        <v>70</v>
      </c>
      <c r="Q83" s="17" t="s">
        <v>70</v>
      </c>
      <c r="R83" s="18" t="s">
        <v>16</v>
      </c>
      <c r="S83" s="18">
        <v>1</v>
      </c>
      <c r="T83" s="19">
        <v>7.2</v>
      </c>
      <c r="U83" s="19">
        <f>L143</f>
        <v>21</v>
      </c>
      <c r="W83" s="17" t="s">
        <v>70</v>
      </c>
      <c r="X83" s="17" t="s">
        <v>70</v>
      </c>
      <c r="Y83" s="18" t="s">
        <v>16</v>
      </c>
      <c r="Z83" s="18">
        <v>1</v>
      </c>
      <c r="AA83" s="19">
        <v>7.2</v>
      </c>
      <c r="AB83" s="19">
        <f>L143</f>
        <v>21</v>
      </c>
      <c r="AD83" t="s">
        <v>70</v>
      </c>
      <c r="AE83" t="s">
        <v>70</v>
      </c>
      <c r="AF83" t="s">
        <v>16</v>
      </c>
      <c r="AG83">
        <v>1</v>
      </c>
      <c r="AH83">
        <v>7.2</v>
      </c>
      <c r="AI83">
        <v>14</v>
      </c>
    </row>
    <row r="84" spans="2:35" x14ac:dyDescent="0.25">
      <c r="B84" s="41"/>
      <c r="F84" t="s">
        <v>73</v>
      </c>
      <c r="G84" s="2">
        <f>SUM(G76:G83)</f>
        <v>120.16666666666667</v>
      </c>
      <c r="I84" s="41"/>
      <c r="M84" t="s">
        <v>73</v>
      </c>
      <c r="N84" s="2">
        <f>SUM(N76:N83)</f>
        <v>140.9666666666667</v>
      </c>
      <c r="P84" s="41"/>
      <c r="T84" t="s">
        <v>73</v>
      </c>
      <c r="U84" s="2">
        <f>SUM(U76:U83)</f>
        <v>185.43333333333334</v>
      </c>
      <c r="W84" s="41"/>
      <c r="AA84" t="s">
        <v>73</v>
      </c>
      <c r="AB84" s="2">
        <f>SUM(AB76:AB83)</f>
        <v>227.03333333333336</v>
      </c>
      <c r="AH84" t="s">
        <v>73</v>
      </c>
      <c r="AI84">
        <v>199.73777777777781</v>
      </c>
    </row>
    <row r="85" spans="2:35" x14ac:dyDescent="0.25">
      <c r="B85" s="41"/>
      <c r="D85" s="2"/>
      <c r="F85" t="s">
        <v>85</v>
      </c>
      <c r="G85" s="2">
        <f>'Genel Gider'!F24</f>
        <v>200.21961266913951</v>
      </c>
      <c r="H85" s="37"/>
      <c r="I85" s="41"/>
      <c r="K85" s="2"/>
      <c r="M85" t="s">
        <v>85</v>
      </c>
      <c r="N85" s="2">
        <f>'Genel Gider'!F24</f>
        <v>200.21961266913951</v>
      </c>
      <c r="O85" s="37"/>
      <c r="P85" s="41"/>
      <c r="R85" s="2"/>
      <c r="T85" t="s">
        <v>85</v>
      </c>
      <c r="U85" s="2">
        <f>'Genel Gider'!F24</f>
        <v>200.21961266913951</v>
      </c>
      <c r="V85" s="37"/>
      <c r="W85" s="41"/>
      <c r="Y85" s="2"/>
      <c r="AA85" t="s">
        <v>85</v>
      </c>
      <c r="AB85" s="2">
        <f>'Genel Gider'!F24</f>
        <v>200.21961266913951</v>
      </c>
      <c r="AH85" t="s">
        <v>85</v>
      </c>
      <c r="AI85">
        <v>118.2074521651561</v>
      </c>
    </row>
    <row r="86" spans="2:35" x14ac:dyDescent="0.25">
      <c r="B86" s="41"/>
      <c r="D86" s="2"/>
      <c r="F86" t="s">
        <v>14</v>
      </c>
      <c r="G86" s="2">
        <f>SUM(G84:G85)</f>
        <v>320.38627933580619</v>
      </c>
      <c r="H86" s="37"/>
      <c r="I86" s="41"/>
      <c r="K86" s="2"/>
      <c r="M86" t="s">
        <v>14</v>
      </c>
      <c r="N86" s="2">
        <f>SUM(N84:N85)</f>
        <v>341.1862793358062</v>
      </c>
      <c r="O86" s="37"/>
      <c r="P86" s="41"/>
      <c r="R86" s="2"/>
      <c r="T86" t="s">
        <v>14</v>
      </c>
      <c r="U86" s="2">
        <f>SUM(U84:U85)</f>
        <v>385.65294600247285</v>
      </c>
      <c r="V86" s="37"/>
      <c r="W86" s="41"/>
      <c r="Y86" s="2"/>
      <c r="AA86" t="s">
        <v>14</v>
      </c>
      <c r="AB86" s="2">
        <f>SUM(AB84:AB85)</f>
        <v>427.25294600247287</v>
      </c>
      <c r="AH86" t="s">
        <v>14</v>
      </c>
      <c r="AI86">
        <v>317.94522994293391</v>
      </c>
    </row>
    <row r="87" spans="2:35" x14ac:dyDescent="0.25">
      <c r="G87" s="2"/>
      <c r="N87" s="2"/>
      <c r="U87" s="2"/>
    </row>
    <row r="88" spans="2:35" x14ac:dyDescent="0.25">
      <c r="B88" s="39" t="s">
        <v>79</v>
      </c>
      <c r="C88" s="39"/>
      <c r="D88" s="39"/>
      <c r="E88" s="39"/>
      <c r="F88" s="39"/>
      <c r="G88" s="40">
        <f>C159</f>
        <v>349.9</v>
      </c>
      <c r="I88" s="39" t="s">
        <v>78</v>
      </c>
      <c r="J88" s="39"/>
      <c r="K88" s="39"/>
      <c r="L88" s="39"/>
      <c r="M88" s="39"/>
      <c r="N88" s="40">
        <f>D159</f>
        <v>384.9</v>
      </c>
      <c r="P88" s="39" t="s">
        <v>80</v>
      </c>
      <c r="Q88" s="39"/>
      <c r="R88" s="39"/>
      <c r="S88" s="39"/>
      <c r="T88" s="39"/>
      <c r="U88" s="40">
        <f>E159</f>
        <v>419.9</v>
      </c>
      <c r="W88" s="39" t="s">
        <v>81</v>
      </c>
      <c r="X88" s="39"/>
      <c r="Y88" s="39"/>
      <c r="Z88" s="39"/>
      <c r="AA88" s="39"/>
      <c r="AB88" s="40">
        <f>F159</f>
        <v>454.9</v>
      </c>
      <c r="AD88" t="s">
        <v>227</v>
      </c>
      <c r="AI88">
        <v>454.9</v>
      </c>
    </row>
    <row r="89" spans="2:35" x14ac:dyDescent="0.25">
      <c r="B89" s="20" t="s">
        <v>42</v>
      </c>
      <c r="C89" s="20" t="s">
        <v>43</v>
      </c>
      <c r="D89" s="20" t="s">
        <v>44</v>
      </c>
      <c r="E89" s="20" t="s">
        <v>45</v>
      </c>
      <c r="F89" s="20" t="s">
        <v>4</v>
      </c>
      <c r="G89" s="20" t="s">
        <v>46</v>
      </c>
      <c r="I89" s="20" t="s">
        <v>42</v>
      </c>
      <c r="J89" s="20" t="s">
        <v>43</v>
      </c>
      <c r="K89" s="20" t="s">
        <v>44</v>
      </c>
      <c r="L89" s="20" t="s">
        <v>45</v>
      </c>
      <c r="M89" s="20" t="s">
        <v>4</v>
      </c>
      <c r="N89" s="20" t="s">
        <v>46</v>
      </c>
      <c r="P89" s="20" t="s">
        <v>42</v>
      </c>
      <c r="Q89" s="20" t="s">
        <v>43</v>
      </c>
      <c r="R89" s="20" t="s">
        <v>44</v>
      </c>
      <c r="S89" s="20" t="s">
        <v>45</v>
      </c>
      <c r="T89" s="20" t="s">
        <v>4</v>
      </c>
      <c r="U89" s="20" t="s">
        <v>46</v>
      </c>
      <c r="W89" s="20" t="s">
        <v>42</v>
      </c>
      <c r="X89" s="20" t="s">
        <v>43</v>
      </c>
      <c r="Y89" s="20" t="s">
        <v>44</v>
      </c>
      <c r="Z89" s="20" t="s">
        <v>45</v>
      </c>
      <c r="AA89" s="20" t="s">
        <v>4</v>
      </c>
      <c r="AB89" s="20" t="s">
        <v>46</v>
      </c>
      <c r="AD89" t="s">
        <v>42</v>
      </c>
      <c r="AE89" t="s">
        <v>43</v>
      </c>
      <c r="AF89" t="s">
        <v>44</v>
      </c>
      <c r="AG89" t="s">
        <v>45</v>
      </c>
      <c r="AH89" t="s">
        <v>4</v>
      </c>
      <c r="AI89" t="s">
        <v>46</v>
      </c>
    </row>
    <row r="90" spans="2:35" x14ac:dyDescent="0.25">
      <c r="B90" s="17" t="s">
        <v>158</v>
      </c>
      <c r="C90" s="17" t="s">
        <v>172</v>
      </c>
      <c r="D90" s="18" t="s">
        <v>16</v>
      </c>
      <c r="E90" s="18">
        <v>1.2E-2</v>
      </c>
      <c r="F90" s="19">
        <v>75</v>
      </c>
      <c r="G90" s="19">
        <f>L150</f>
        <v>3.4722222222222223</v>
      </c>
      <c r="I90" s="17" t="s">
        <v>158</v>
      </c>
      <c r="J90" s="17" t="s">
        <v>172</v>
      </c>
      <c r="K90" s="18" t="s">
        <v>16</v>
      </c>
      <c r="L90" s="18">
        <v>1.2E-2</v>
      </c>
      <c r="M90" s="19">
        <v>75</v>
      </c>
      <c r="N90" s="19">
        <f>M150</f>
        <v>3.4722222222222223</v>
      </c>
      <c r="P90" s="17" t="s">
        <v>158</v>
      </c>
      <c r="Q90" s="17" t="s">
        <v>173</v>
      </c>
      <c r="R90" s="18" t="s">
        <v>16</v>
      </c>
      <c r="S90" s="18">
        <v>2.4E-2</v>
      </c>
      <c r="T90" s="19">
        <v>75</v>
      </c>
      <c r="U90" s="19">
        <f>N150</f>
        <v>6.9444444444444446</v>
      </c>
      <c r="W90" s="17" t="s">
        <v>158</v>
      </c>
      <c r="X90" s="17" t="s">
        <v>173</v>
      </c>
      <c r="Y90" s="18" t="s">
        <v>16</v>
      </c>
      <c r="Z90" s="18">
        <v>2.4E-2</v>
      </c>
      <c r="AA90" s="19">
        <v>75</v>
      </c>
      <c r="AB90" s="19">
        <f>O150</f>
        <v>6.9444444444444446</v>
      </c>
      <c r="AD90" t="s">
        <v>158</v>
      </c>
      <c r="AE90" t="s">
        <v>173</v>
      </c>
      <c r="AF90" t="s">
        <v>16</v>
      </c>
      <c r="AG90">
        <v>2.4E-2</v>
      </c>
      <c r="AH90">
        <v>75</v>
      </c>
      <c r="AI90">
        <v>5.5555555555555554</v>
      </c>
    </row>
    <row r="91" spans="2:35" x14ac:dyDescent="0.25">
      <c r="B91" s="17" t="s">
        <v>62</v>
      </c>
      <c r="C91" s="17" t="s">
        <v>98</v>
      </c>
      <c r="D91" s="18" t="s">
        <v>16</v>
      </c>
      <c r="E91" s="18">
        <v>2.5</v>
      </c>
      <c r="F91" s="19">
        <v>2.5</v>
      </c>
      <c r="G91" s="19">
        <f>L138</f>
        <v>9</v>
      </c>
      <c r="I91" s="17" t="s">
        <v>62</v>
      </c>
      <c r="J91" s="17" t="s">
        <v>98</v>
      </c>
      <c r="K91" s="18" t="s">
        <v>16</v>
      </c>
      <c r="L91" s="18">
        <v>2.5</v>
      </c>
      <c r="M91" s="19">
        <v>2.5</v>
      </c>
      <c r="N91" s="19">
        <f>L138</f>
        <v>9</v>
      </c>
      <c r="P91" s="17" t="s">
        <v>62</v>
      </c>
      <c r="Q91" s="17" t="s">
        <v>98</v>
      </c>
      <c r="R91" s="18" t="s">
        <v>16</v>
      </c>
      <c r="S91" s="18">
        <v>2.5</v>
      </c>
      <c r="T91" s="19">
        <v>2.5</v>
      </c>
      <c r="U91" s="19">
        <f>L138</f>
        <v>9</v>
      </c>
      <c r="W91" s="17" t="s">
        <v>62</v>
      </c>
      <c r="X91" s="17" t="s">
        <v>98</v>
      </c>
      <c r="Y91" s="18" t="s">
        <v>16</v>
      </c>
      <c r="Z91" s="18">
        <v>2.5</v>
      </c>
      <c r="AA91" s="19">
        <v>2.5</v>
      </c>
      <c r="AB91" s="19">
        <f>L138</f>
        <v>9</v>
      </c>
      <c r="AD91" t="s">
        <v>62</v>
      </c>
      <c r="AE91" t="s">
        <v>98</v>
      </c>
      <c r="AF91" t="s">
        <v>16</v>
      </c>
      <c r="AG91">
        <v>2.5</v>
      </c>
      <c r="AH91">
        <v>2.5</v>
      </c>
      <c r="AI91">
        <v>9</v>
      </c>
    </row>
    <row r="92" spans="2:35" x14ac:dyDescent="0.25">
      <c r="B92" s="17" t="s">
        <v>76</v>
      </c>
      <c r="C92" s="17" t="s">
        <v>76</v>
      </c>
      <c r="D92" s="18" t="s">
        <v>59</v>
      </c>
      <c r="E92" s="18">
        <v>0.01</v>
      </c>
      <c r="F92" s="19">
        <v>300</v>
      </c>
      <c r="G92" s="19">
        <f>L153</f>
        <v>20.7</v>
      </c>
      <c r="I92" s="17" t="s">
        <v>76</v>
      </c>
      <c r="J92" s="17" t="s">
        <v>76</v>
      </c>
      <c r="K92" s="18" t="s">
        <v>59</v>
      </c>
      <c r="L92" s="18">
        <v>0.01</v>
      </c>
      <c r="M92" s="19">
        <v>300</v>
      </c>
      <c r="N92" s="19">
        <f>M153</f>
        <v>20.7</v>
      </c>
      <c r="P92" s="17" t="s">
        <v>76</v>
      </c>
      <c r="Q92" s="17" t="s">
        <v>76</v>
      </c>
      <c r="R92" s="18" t="s">
        <v>59</v>
      </c>
      <c r="S92" s="18">
        <v>0.02</v>
      </c>
      <c r="T92" s="19">
        <v>300</v>
      </c>
      <c r="U92" s="19">
        <f>N153</f>
        <v>41.4</v>
      </c>
      <c r="W92" s="17" t="s">
        <v>76</v>
      </c>
      <c r="X92" s="17" t="s">
        <v>76</v>
      </c>
      <c r="Y92" s="18" t="s">
        <v>59</v>
      </c>
      <c r="Z92" s="18">
        <v>0.02</v>
      </c>
      <c r="AA92" s="19">
        <v>300</v>
      </c>
      <c r="AB92" s="19">
        <f>O153</f>
        <v>41.4</v>
      </c>
      <c r="AD92" t="s">
        <v>76</v>
      </c>
      <c r="AE92" t="s">
        <v>76</v>
      </c>
      <c r="AF92" t="s">
        <v>59</v>
      </c>
      <c r="AG92">
        <v>0.02</v>
      </c>
      <c r="AH92">
        <v>300</v>
      </c>
      <c r="AI92">
        <v>37.799999999999997</v>
      </c>
    </row>
    <row r="93" spans="2:35" x14ac:dyDescent="0.25">
      <c r="B93" s="17" t="s">
        <v>65</v>
      </c>
      <c r="C93" s="17" t="s">
        <v>66</v>
      </c>
      <c r="D93" s="18" t="s">
        <v>16</v>
      </c>
      <c r="E93" s="18">
        <v>0.1</v>
      </c>
      <c r="F93" s="19">
        <f>J140</f>
        <v>520</v>
      </c>
      <c r="G93" s="19">
        <f>L140</f>
        <v>52</v>
      </c>
      <c r="I93" s="17" t="s">
        <v>65</v>
      </c>
      <c r="J93" s="17" t="s">
        <v>95</v>
      </c>
      <c r="K93" s="18" t="s">
        <v>16</v>
      </c>
      <c r="L93" s="18">
        <v>0.14000000000000001</v>
      </c>
      <c r="M93" s="19">
        <v>125</v>
      </c>
      <c r="N93" s="19">
        <f>M140</f>
        <v>72.800000000000011</v>
      </c>
      <c r="P93" s="17" t="s">
        <v>65</v>
      </c>
      <c r="Q93" s="17" t="s">
        <v>94</v>
      </c>
      <c r="R93" s="18" t="s">
        <v>16</v>
      </c>
      <c r="S93" s="18">
        <v>0.2</v>
      </c>
      <c r="T93" s="19">
        <v>125</v>
      </c>
      <c r="U93" s="19">
        <f>N140</f>
        <v>104</v>
      </c>
      <c r="W93" s="17" t="s">
        <v>65</v>
      </c>
      <c r="X93" s="17" t="s">
        <v>93</v>
      </c>
      <c r="Y93" s="18" t="s">
        <v>16</v>
      </c>
      <c r="Z93" s="18">
        <v>0.28000000000000003</v>
      </c>
      <c r="AA93" s="19">
        <v>125</v>
      </c>
      <c r="AB93" s="19">
        <f>O140</f>
        <v>145.60000000000002</v>
      </c>
      <c r="AD93" t="s">
        <v>65</v>
      </c>
      <c r="AE93" t="s">
        <v>93</v>
      </c>
      <c r="AF93" t="s">
        <v>16</v>
      </c>
      <c r="AG93">
        <v>0.28000000000000003</v>
      </c>
      <c r="AH93">
        <v>125</v>
      </c>
      <c r="AI93">
        <v>128.80000000000001</v>
      </c>
    </row>
    <row r="94" spans="2:35" x14ac:dyDescent="0.25">
      <c r="B94" s="17" t="s">
        <v>24</v>
      </c>
      <c r="C94" s="17" t="s">
        <v>167</v>
      </c>
      <c r="D94" s="18" t="s">
        <v>67</v>
      </c>
      <c r="E94" s="18">
        <f>K141</f>
        <v>300</v>
      </c>
      <c r="F94" s="19">
        <f>J141</f>
        <v>58</v>
      </c>
      <c r="G94" s="19">
        <f>L141</f>
        <v>17.400000000000002</v>
      </c>
      <c r="I94" s="17" t="s">
        <v>24</v>
      </c>
      <c r="J94" s="17" t="s">
        <v>167</v>
      </c>
      <c r="K94" s="18" t="s">
        <v>67</v>
      </c>
      <c r="L94" s="18">
        <v>0.25</v>
      </c>
      <c r="M94" s="19">
        <v>33</v>
      </c>
      <c r="N94" s="19">
        <f>L141</f>
        <v>17.400000000000002</v>
      </c>
      <c r="P94" s="17" t="s">
        <v>24</v>
      </c>
      <c r="Q94" s="17" t="s">
        <v>167</v>
      </c>
      <c r="R94" s="18" t="s">
        <v>67</v>
      </c>
      <c r="S94" s="18">
        <v>0.25</v>
      </c>
      <c r="T94" s="19">
        <v>33</v>
      </c>
      <c r="U94" s="19">
        <f>L141</f>
        <v>17.400000000000002</v>
      </c>
      <c r="W94" s="17" t="s">
        <v>24</v>
      </c>
      <c r="X94" s="17" t="s">
        <v>167</v>
      </c>
      <c r="Y94" s="18" t="s">
        <v>67</v>
      </c>
      <c r="Z94" s="18">
        <v>0.28000000000000003</v>
      </c>
      <c r="AA94" s="19">
        <v>33</v>
      </c>
      <c r="AB94" s="19">
        <f>L141</f>
        <v>17.400000000000002</v>
      </c>
      <c r="AD94" t="s">
        <v>24</v>
      </c>
      <c r="AE94" t="s">
        <v>167</v>
      </c>
      <c r="AF94" t="s">
        <v>67</v>
      </c>
      <c r="AG94">
        <v>0.28000000000000003</v>
      </c>
      <c r="AH94">
        <v>33</v>
      </c>
      <c r="AI94">
        <v>17.11</v>
      </c>
    </row>
    <row r="95" spans="2:35" x14ac:dyDescent="0.25">
      <c r="B95" s="17" t="s">
        <v>91</v>
      </c>
      <c r="C95" s="17" t="s">
        <v>92</v>
      </c>
      <c r="D95" s="18" t="s">
        <v>59</v>
      </c>
      <c r="E95" s="18">
        <v>2.5000000000000001E-2</v>
      </c>
      <c r="F95" s="19">
        <v>25</v>
      </c>
      <c r="G95" s="19">
        <f>L150</f>
        <v>3.4722222222222223</v>
      </c>
      <c r="I95" s="17" t="s">
        <v>91</v>
      </c>
      <c r="J95" s="17" t="s">
        <v>92</v>
      </c>
      <c r="K95" s="18" t="s">
        <v>59</v>
      </c>
      <c r="L95" s="18">
        <v>2.5000000000000001E-2</v>
      </c>
      <c r="M95" s="19">
        <v>25</v>
      </c>
      <c r="N95" s="19">
        <f>M151</f>
        <v>3</v>
      </c>
      <c r="P95" s="17" t="s">
        <v>91</v>
      </c>
      <c r="Q95" s="17" t="s">
        <v>92</v>
      </c>
      <c r="R95" s="18" t="s">
        <v>59</v>
      </c>
      <c r="S95" s="18">
        <v>2.5000000000000001E-2</v>
      </c>
      <c r="T95" s="19">
        <v>25</v>
      </c>
      <c r="U95" s="19">
        <f>N151</f>
        <v>3</v>
      </c>
      <c r="W95" s="17" t="s">
        <v>91</v>
      </c>
      <c r="X95" s="17" t="s">
        <v>92</v>
      </c>
      <c r="Y95" s="18" t="s">
        <v>59</v>
      </c>
      <c r="Z95" s="18">
        <v>2.5000000000000001E-2</v>
      </c>
      <c r="AA95" s="19">
        <v>25</v>
      </c>
      <c r="AB95" s="19">
        <f>O151</f>
        <v>3</v>
      </c>
      <c r="AD95" t="s">
        <v>91</v>
      </c>
      <c r="AE95" t="s">
        <v>92</v>
      </c>
      <c r="AF95" t="s">
        <v>59</v>
      </c>
      <c r="AG95">
        <v>2.5000000000000001E-2</v>
      </c>
      <c r="AH95">
        <v>25</v>
      </c>
      <c r="AI95">
        <v>3</v>
      </c>
    </row>
    <row r="96" spans="2:35" x14ac:dyDescent="0.25">
      <c r="B96" s="17" t="s">
        <v>77</v>
      </c>
      <c r="C96" s="17" t="s">
        <v>77</v>
      </c>
      <c r="D96" s="18" t="s">
        <v>67</v>
      </c>
      <c r="E96" s="18">
        <v>0.02</v>
      </c>
      <c r="F96" s="19">
        <v>250</v>
      </c>
      <c r="G96" s="19">
        <f>L152</f>
        <v>27.3</v>
      </c>
      <c r="I96" s="17" t="s">
        <v>77</v>
      </c>
      <c r="J96" s="17" t="s">
        <v>77</v>
      </c>
      <c r="K96" s="18" t="s">
        <v>67</v>
      </c>
      <c r="L96" s="18">
        <v>0.02</v>
      </c>
      <c r="M96" s="19">
        <v>250</v>
      </c>
      <c r="N96" s="19">
        <f>M152</f>
        <v>27.3</v>
      </c>
      <c r="P96" s="17" t="s">
        <v>77</v>
      </c>
      <c r="Q96" s="17" t="s">
        <v>77</v>
      </c>
      <c r="R96" s="18" t="s">
        <v>67</v>
      </c>
      <c r="S96" s="18">
        <v>0.02</v>
      </c>
      <c r="T96" s="19">
        <v>250</v>
      </c>
      <c r="U96" s="19">
        <f>N152</f>
        <v>27.3</v>
      </c>
      <c r="W96" s="17" t="s">
        <v>77</v>
      </c>
      <c r="X96" s="17" t="s">
        <v>77</v>
      </c>
      <c r="Y96" s="18" t="s">
        <v>67</v>
      </c>
      <c r="Z96" s="18">
        <v>0.02</v>
      </c>
      <c r="AA96" s="19">
        <v>250</v>
      </c>
      <c r="AB96" s="19">
        <f>O152</f>
        <v>27.3</v>
      </c>
      <c r="AD96" t="s">
        <v>77</v>
      </c>
      <c r="AE96" t="s">
        <v>77</v>
      </c>
      <c r="AF96" t="s">
        <v>67</v>
      </c>
      <c r="AG96">
        <v>0.02</v>
      </c>
      <c r="AH96">
        <v>250</v>
      </c>
      <c r="AI96">
        <v>24</v>
      </c>
    </row>
    <row r="97" spans="2:35" x14ac:dyDescent="0.25">
      <c r="B97" s="17" t="s">
        <v>70</v>
      </c>
      <c r="C97" s="17" t="s">
        <v>70</v>
      </c>
      <c r="D97" s="18" t="s">
        <v>16</v>
      </c>
      <c r="E97" s="18">
        <v>1</v>
      </c>
      <c r="F97" s="19">
        <v>7.2</v>
      </c>
      <c r="G97" s="19">
        <f>L143</f>
        <v>21</v>
      </c>
      <c r="I97" s="17" t="s">
        <v>70</v>
      </c>
      <c r="J97" s="17" t="s">
        <v>70</v>
      </c>
      <c r="K97" s="18" t="s">
        <v>16</v>
      </c>
      <c r="L97" s="18">
        <v>1</v>
      </c>
      <c r="M97" s="19">
        <v>7.2</v>
      </c>
      <c r="N97" s="19">
        <f>L143</f>
        <v>21</v>
      </c>
      <c r="P97" s="17" t="s">
        <v>70</v>
      </c>
      <c r="Q97" s="17" t="s">
        <v>70</v>
      </c>
      <c r="R97" s="18" t="s">
        <v>16</v>
      </c>
      <c r="S97" s="18">
        <v>1</v>
      </c>
      <c r="T97" s="19">
        <v>7.2</v>
      </c>
      <c r="U97" s="19">
        <f>L143</f>
        <v>21</v>
      </c>
      <c r="W97" s="17" t="s">
        <v>70</v>
      </c>
      <c r="X97" s="17" t="s">
        <v>70</v>
      </c>
      <c r="Y97" s="18" t="s">
        <v>16</v>
      </c>
      <c r="Z97" s="18">
        <v>1</v>
      </c>
      <c r="AA97" s="19">
        <v>7.2</v>
      </c>
      <c r="AB97" s="19">
        <f>L143</f>
        <v>21</v>
      </c>
      <c r="AD97" t="s">
        <v>70</v>
      </c>
      <c r="AE97" t="s">
        <v>70</v>
      </c>
      <c r="AF97" t="s">
        <v>16</v>
      </c>
      <c r="AG97">
        <v>1</v>
      </c>
      <c r="AH97">
        <v>7.2</v>
      </c>
      <c r="AI97">
        <v>14</v>
      </c>
    </row>
    <row r="98" spans="2:35" x14ac:dyDescent="0.25">
      <c r="B98" s="41"/>
      <c r="F98" t="s">
        <v>73</v>
      </c>
      <c r="G98" s="2">
        <f>SUM(G90:G97)</f>
        <v>154.34444444444446</v>
      </c>
      <c r="I98" s="41"/>
      <c r="M98" t="s">
        <v>73</v>
      </c>
      <c r="N98" s="2">
        <f>SUM(N90:N97)</f>
        <v>174.67222222222225</v>
      </c>
      <c r="P98" s="41"/>
      <c r="T98" t="s">
        <v>73</v>
      </c>
      <c r="U98" s="2">
        <f>SUM(U90:U97)</f>
        <v>230.04444444444445</v>
      </c>
      <c r="W98" s="41"/>
      <c r="AA98" t="s">
        <v>73</v>
      </c>
      <c r="AB98" s="2">
        <f>SUM(AB90:AB97)</f>
        <v>271.6444444444445</v>
      </c>
      <c r="AH98" t="s">
        <v>73</v>
      </c>
      <c r="AI98">
        <v>239.26555555555558</v>
      </c>
    </row>
    <row r="99" spans="2:35" x14ac:dyDescent="0.25">
      <c r="B99" s="41"/>
      <c r="D99" s="2"/>
      <c r="F99" t="s">
        <v>85</v>
      </c>
      <c r="G99" s="2">
        <f>'Genel Gider'!F24</f>
        <v>200.21961266913951</v>
      </c>
      <c r="H99" s="37"/>
      <c r="I99" s="41"/>
      <c r="K99" s="2"/>
      <c r="M99" t="s">
        <v>85</v>
      </c>
      <c r="N99" s="2">
        <f>'Genel Gider'!F24</f>
        <v>200.21961266913951</v>
      </c>
      <c r="O99" s="37"/>
      <c r="P99" s="41"/>
      <c r="R99" s="2"/>
      <c r="T99" t="s">
        <v>85</v>
      </c>
      <c r="U99" s="2">
        <f>'Genel Gider'!F24</f>
        <v>200.21961266913951</v>
      </c>
      <c r="V99" s="37"/>
      <c r="W99" s="41"/>
      <c r="Y99" s="2"/>
      <c r="AA99" t="s">
        <v>85</v>
      </c>
      <c r="AB99" s="2">
        <f>'Genel Gider'!F24</f>
        <v>200.21961266913951</v>
      </c>
      <c r="AH99" t="s">
        <v>85</v>
      </c>
      <c r="AI99">
        <v>118.2074521651561</v>
      </c>
    </row>
    <row r="100" spans="2:35" x14ac:dyDescent="0.25">
      <c r="B100" s="41"/>
      <c r="D100" s="2"/>
      <c r="F100" t="s">
        <v>14</v>
      </c>
      <c r="G100" s="2">
        <f>SUM(G98:G99)</f>
        <v>354.564057113584</v>
      </c>
      <c r="H100" s="37"/>
      <c r="I100" s="41"/>
      <c r="K100" s="2"/>
      <c r="M100" t="s">
        <v>14</v>
      </c>
      <c r="N100" s="2">
        <f>SUM(N98:N99)</f>
        <v>374.89183489136178</v>
      </c>
      <c r="O100" s="37"/>
      <c r="P100" s="41"/>
      <c r="R100" s="2"/>
      <c r="T100" t="s">
        <v>14</v>
      </c>
      <c r="U100" s="2">
        <f>SUM(U98:U99)</f>
        <v>430.26405711358393</v>
      </c>
      <c r="V100" s="37"/>
      <c r="W100" s="41"/>
      <c r="Y100" s="2"/>
      <c r="AA100" t="s">
        <v>14</v>
      </c>
      <c r="AB100" s="2">
        <f>SUM(AB98:AB99)</f>
        <v>471.86405711358401</v>
      </c>
      <c r="AH100" t="s">
        <v>14</v>
      </c>
      <c r="AI100">
        <v>357.47300772071168</v>
      </c>
    </row>
    <row r="103" spans="2:35" x14ac:dyDescent="0.25">
      <c r="B103" s="39" t="s">
        <v>101</v>
      </c>
      <c r="C103" s="39"/>
      <c r="D103" s="39"/>
      <c r="E103" s="39"/>
      <c r="F103" s="39"/>
      <c r="G103" s="40">
        <f>C166</f>
        <v>349.9</v>
      </c>
      <c r="I103" s="39" t="s">
        <v>102</v>
      </c>
      <c r="J103" s="39"/>
      <c r="K103" s="39"/>
      <c r="L103" s="39"/>
      <c r="M103" s="39"/>
      <c r="N103" s="40">
        <f>D166</f>
        <v>384.9</v>
      </c>
      <c r="P103" s="39" t="s">
        <v>103</v>
      </c>
      <c r="Q103" s="39"/>
      <c r="R103" s="39"/>
      <c r="S103" s="39"/>
      <c r="T103" s="39"/>
      <c r="U103" s="40">
        <f>E166</f>
        <v>419.9</v>
      </c>
      <c r="W103" s="39" t="s">
        <v>104</v>
      </c>
      <c r="X103" s="39"/>
      <c r="Y103" s="39"/>
      <c r="Z103" s="39"/>
      <c r="AA103" s="39"/>
      <c r="AB103" s="40">
        <f>F166</f>
        <v>454.9</v>
      </c>
      <c r="AD103" t="s">
        <v>228</v>
      </c>
      <c r="AI103">
        <v>454.9</v>
      </c>
    </row>
    <row r="104" spans="2:35" x14ac:dyDescent="0.25">
      <c r="B104" s="20" t="s">
        <v>42</v>
      </c>
      <c r="C104" s="20" t="s">
        <v>43</v>
      </c>
      <c r="D104" s="20" t="s">
        <v>44</v>
      </c>
      <c r="E104" s="20" t="s">
        <v>45</v>
      </c>
      <c r="F104" s="20" t="s">
        <v>4</v>
      </c>
      <c r="G104" s="20" t="s">
        <v>46</v>
      </c>
      <c r="I104" s="20" t="s">
        <v>42</v>
      </c>
      <c r="J104" s="20" t="s">
        <v>43</v>
      </c>
      <c r="K104" s="20" t="s">
        <v>44</v>
      </c>
      <c r="L104" s="20" t="s">
        <v>45</v>
      </c>
      <c r="M104" s="20" t="s">
        <v>4</v>
      </c>
      <c r="N104" s="20" t="s">
        <v>46</v>
      </c>
      <c r="P104" s="20" t="s">
        <v>42</v>
      </c>
      <c r="Q104" s="20" t="s">
        <v>43</v>
      </c>
      <c r="R104" s="20" t="s">
        <v>44</v>
      </c>
      <c r="S104" s="20" t="s">
        <v>45</v>
      </c>
      <c r="T104" s="20" t="s">
        <v>4</v>
      </c>
      <c r="U104" s="20" t="s">
        <v>46</v>
      </c>
      <c r="W104" s="20" t="s">
        <v>42</v>
      </c>
      <c r="X104" s="20" t="s">
        <v>43</v>
      </c>
      <c r="Y104" s="20" t="s">
        <v>44</v>
      </c>
      <c r="Z104" s="20" t="s">
        <v>45</v>
      </c>
      <c r="AA104" s="20" t="s">
        <v>4</v>
      </c>
      <c r="AB104" s="20" t="s">
        <v>46</v>
      </c>
      <c r="AD104" t="s">
        <v>42</v>
      </c>
      <c r="AE104" t="s">
        <v>43</v>
      </c>
      <c r="AF104" t="s">
        <v>44</v>
      </c>
      <c r="AG104" t="s">
        <v>45</v>
      </c>
      <c r="AH104" t="s">
        <v>4</v>
      </c>
      <c r="AI104" t="s">
        <v>46</v>
      </c>
    </row>
    <row r="105" spans="2:35" x14ac:dyDescent="0.25">
      <c r="B105" s="17" t="s">
        <v>163</v>
      </c>
      <c r="C105" s="17" t="s">
        <v>106</v>
      </c>
      <c r="D105" s="18" t="s">
        <v>59</v>
      </c>
      <c r="E105" s="18">
        <v>5.0000000000000001E-3</v>
      </c>
      <c r="F105" s="19">
        <v>50</v>
      </c>
      <c r="G105" s="19">
        <f>L155</f>
        <v>5</v>
      </c>
      <c r="I105" s="17" t="s">
        <v>163</v>
      </c>
      <c r="J105" s="17" t="s">
        <v>106</v>
      </c>
      <c r="K105" s="18" t="s">
        <v>59</v>
      </c>
      <c r="L105" s="18">
        <v>5.0000000000000001E-3</v>
      </c>
      <c r="M105" s="19">
        <v>50</v>
      </c>
      <c r="N105" s="19">
        <f>L155</f>
        <v>5</v>
      </c>
      <c r="P105" s="17" t="s">
        <v>163</v>
      </c>
      <c r="Q105" s="17" t="s">
        <v>106</v>
      </c>
      <c r="R105" s="18" t="s">
        <v>59</v>
      </c>
      <c r="S105" s="18">
        <v>5.0000000000000001E-3</v>
      </c>
      <c r="T105" s="19">
        <v>50</v>
      </c>
      <c r="U105" s="19">
        <f>L155</f>
        <v>5</v>
      </c>
      <c r="W105" s="17" t="s">
        <v>163</v>
      </c>
      <c r="X105" s="17" t="s">
        <v>106</v>
      </c>
      <c r="Y105" s="18" t="s">
        <v>59</v>
      </c>
      <c r="Z105" s="18">
        <v>5.0000000000000001E-3</v>
      </c>
      <c r="AA105" s="19">
        <v>50</v>
      </c>
      <c r="AB105" s="19">
        <f>L155</f>
        <v>5</v>
      </c>
      <c r="AD105" t="s">
        <v>163</v>
      </c>
      <c r="AE105" t="s">
        <v>106</v>
      </c>
      <c r="AF105" t="s">
        <v>59</v>
      </c>
      <c r="AG105">
        <v>5.0000000000000001E-3</v>
      </c>
      <c r="AH105">
        <v>50</v>
      </c>
      <c r="AI105">
        <v>5</v>
      </c>
    </row>
    <row r="106" spans="2:35" x14ac:dyDescent="0.25">
      <c r="B106" s="17" t="s">
        <v>60</v>
      </c>
      <c r="C106" s="17" t="s">
        <v>61</v>
      </c>
      <c r="D106" s="18" t="s">
        <v>16</v>
      </c>
      <c r="E106" s="18">
        <f>K137</f>
        <v>72</v>
      </c>
      <c r="F106" s="19">
        <f>J137</f>
        <v>300</v>
      </c>
      <c r="G106" s="19">
        <f>L137</f>
        <v>4.166666666666667</v>
      </c>
      <c r="I106" s="17" t="s">
        <v>60</v>
      </c>
      <c r="J106" s="17" t="s">
        <v>61</v>
      </c>
      <c r="K106" s="18" t="s">
        <v>16</v>
      </c>
      <c r="L106" s="18">
        <f>R137</f>
        <v>12.5</v>
      </c>
      <c r="M106" s="19">
        <f>Q137</f>
        <v>12.5</v>
      </c>
      <c r="N106" s="19">
        <f>M137</f>
        <v>4.166666666666667</v>
      </c>
      <c r="P106" s="17" t="s">
        <v>60</v>
      </c>
      <c r="Q106" s="17" t="s">
        <v>90</v>
      </c>
      <c r="R106" s="18" t="s">
        <v>16</v>
      </c>
      <c r="S106" s="18">
        <v>2</v>
      </c>
      <c r="T106" s="19">
        <v>117.5</v>
      </c>
      <c r="U106" s="19">
        <f>N137</f>
        <v>8.3333333333333339</v>
      </c>
      <c r="W106" s="17" t="s">
        <v>60</v>
      </c>
      <c r="X106" s="17" t="s">
        <v>90</v>
      </c>
      <c r="Y106" s="18" t="s">
        <v>16</v>
      </c>
      <c r="Z106" s="18">
        <v>2</v>
      </c>
      <c r="AA106" s="19">
        <v>117.5</v>
      </c>
      <c r="AB106" s="19">
        <f>O137</f>
        <v>8.3333333333333339</v>
      </c>
      <c r="AD106" t="s">
        <v>60</v>
      </c>
      <c r="AE106" t="s">
        <v>90</v>
      </c>
      <c r="AF106" t="s">
        <v>16</v>
      </c>
      <c r="AG106">
        <v>2</v>
      </c>
      <c r="AH106">
        <v>117.5</v>
      </c>
      <c r="AI106">
        <v>6.5277777777777777</v>
      </c>
    </row>
    <row r="107" spans="2:35" x14ac:dyDescent="0.25">
      <c r="B107" s="17" t="s">
        <v>62</v>
      </c>
      <c r="C107" s="17" t="s">
        <v>98</v>
      </c>
      <c r="D107" s="18" t="s">
        <v>16</v>
      </c>
      <c r="E107" s="18">
        <v>2.5</v>
      </c>
      <c r="F107" s="19">
        <v>2.5</v>
      </c>
      <c r="G107" s="19">
        <f>L138</f>
        <v>9</v>
      </c>
      <c r="I107" s="17" t="s">
        <v>62</v>
      </c>
      <c r="J107" s="17" t="s">
        <v>98</v>
      </c>
      <c r="K107" s="18" t="s">
        <v>16</v>
      </c>
      <c r="L107" s="18">
        <v>2.5</v>
      </c>
      <c r="M107" s="19">
        <v>2.5</v>
      </c>
      <c r="N107" s="19">
        <f>L138</f>
        <v>9</v>
      </c>
      <c r="P107" s="17" t="s">
        <v>62</v>
      </c>
      <c r="Q107" s="17" t="s">
        <v>98</v>
      </c>
      <c r="R107" s="18" t="s">
        <v>16</v>
      </c>
      <c r="S107" s="18">
        <v>2.5</v>
      </c>
      <c r="T107" s="19">
        <v>2.5</v>
      </c>
      <c r="U107" s="19">
        <f>L138</f>
        <v>9</v>
      </c>
      <c r="W107" s="17" t="s">
        <v>62</v>
      </c>
      <c r="X107" s="17" t="s">
        <v>98</v>
      </c>
      <c r="Y107" s="18" t="s">
        <v>16</v>
      </c>
      <c r="Z107" s="18">
        <v>2.5</v>
      </c>
      <c r="AA107" s="19">
        <v>2.5</v>
      </c>
      <c r="AB107" s="19">
        <f>L138</f>
        <v>9</v>
      </c>
      <c r="AD107" t="s">
        <v>62</v>
      </c>
      <c r="AE107" t="s">
        <v>98</v>
      </c>
      <c r="AF107" t="s">
        <v>16</v>
      </c>
      <c r="AG107">
        <v>2.5</v>
      </c>
      <c r="AH107">
        <v>2.5</v>
      </c>
      <c r="AI107">
        <v>9</v>
      </c>
    </row>
    <row r="108" spans="2:35" x14ac:dyDescent="0.25">
      <c r="B108" s="17" t="s">
        <v>63</v>
      </c>
      <c r="C108" s="17" t="s">
        <v>64</v>
      </c>
      <c r="D108" s="18" t="s">
        <v>59</v>
      </c>
      <c r="E108" s="18">
        <v>0.01</v>
      </c>
      <c r="F108" s="19">
        <v>145</v>
      </c>
      <c r="G108" s="19">
        <f>L148</f>
        <v>9.1</v>
      </c>
      <c r="I108" s="17" t="s">
        <v>63</v>
      </c>
      <c r="J108" s="17" t="s">
        <v>64</v>
      </c>
      <c r="K108" s="18" t="s">
        <v>59</v>
      </c>
      <c r="L108" s="18">
        <v>0.01</v>
      </c>
      <c r="M108" s="19">
        <v>145</v>
      </c>
      <c r="N108" s="19">
        <f>M148</f>
        <v>9.1</v>
      </c>
      <c r="P108" s="17" t="s">
        <v>63</v>
      </c>
      <c r="Q108" s="17" t="s">
        <v>96</v>
      </c>
      <c r="R108" s="18" t="s">
        <v>59</v>
      </c>
      <c r="S108" s="18">
        <v>2.4E-2</v>
      </c>
      <c r="T108" s="19">
        <v>145</v>
      </c>
      <c r="U108" s="19">
        <f>N148</f>
        <v>18.2</v>
      </c>
      <c r="W108" s="17" t="s">
        <v>63</v>
      </c>
      <c r="X108" s="17" t="s">
        <v>96</v>
      </c>
      <c r="Y108" s="18" t="s">
        <v>59</v>
      </c>
      <c r="Z108" s="18">
        <v>2.4E-2</v>
      </c>
      <c r="AA108" s="19">
        <v>145</v>
      </c>
      <c r="AB108" s="19">
        <f>O148</f>
        <v>18.2</v>
      </c>
      <c r="AD108" t="s">
        <v>63</v>
      </c>
      <c r="AE108" t="s">
        <v>96</v>
      </c>
      <c r="AF108" t="s">
        <v>59</v>
      </c>
      <c r="AG108">
        <v>2.4E-2</v>
      </c>
      <c r="AH108">
        <v>145</v>
      </c>
      <c r="AI108">
        <v>16.8</v>
      </c>
    </row>
    <row r="109" spans="2:35" x14ac:dyDescent="0.25">
      <c r="B109" s="17" t="s">
        <v>65</v>
      </c>
      <c r="C109" s="17" t="s">
        <v>66</v>
      </c>
      <c r="D109" s="18" t="s">
        <v>16</v>
      </c>
      <c r="E109" s="18">
        <v>0.1</v>
      </c>
      <c r="F109" s="19">
        <f>J140</f>
        <v>520</v>
      </c>
      <c r="G109" s="19">
        <f>L140</f>
        <v>52</v>
      </c>
      <c r="I109" s="17" t="s">
        <v>65</v>
      </c>
      <c r="J109" s="17" t="s">
        <v>95</v>
      </c>
      <c r="K109" s="18" t="s">
        <v>16</v>
      </c>
      <c r="L109" s="18">
        <v>0.14000000000000001</v>
      </c>
      <c r="M109" s="19">
        <v>125</v>
      </c>
      <c r="N109" s="19">
        <f>M140</f>
        <v>72.800000000000011</v>
      </c>
      <c r="P109" s="17" t="s">
        <v>65</v>
      </c>
      <c r="Q109" s="17" t="s">
        <v>94</v>
      </c>
      <c r="R109" s="18" t="s">
        <v>16</v>
      </c>
      <c r="S109" s="18">
        <v>0.2</v>
      </c>
      <c r="T109" s="19">
        <v>125</v>
      </c>
      <c r="U109" s="19">
        <f>N140</f>
        <v>104</v>
      </c>
      <c r="W109" s="17" t="s">
        <v>65</v>
      </c>
      <c r="X109" s="17" t="s">
        <v>93</v>
      </c>
      <c r="Y109" s="18" t="s">
        <v>16</v>
      </c>
      <c r="Z109" s="18">
        <v>0.28000000000000003</v>
      </c>
      <c r="AA109" s="19">
        <v>125</v>
      </c>
      <c r="AB109" s="19">
        <f>O140</f>
        <v>145.60000000000002</v>
      </c>
      <c r="AD109" t="s">
        <v>65</v>
      </c>
      <c r="AE109" t="s">
        <v>93</v>
      </c>
      <c r="AF109" t="s">
        <v>16</v>
      </c>
      <c r="AG109">
        <v>0.28000000000000003</v>
      </c>
      <c r="AH109">
        <v>125</v>
      </c>
      <c r="AI109">
        <v>128.80000000000001</v>
      </c>
    </row>
    <row r="110" spans="2:35" x14ac:dyDescent="0.25">
      <c r="B110" s="17" t="s">
        <v>24</v>
      </c>
      <c r="C110" s="17" t="s">
        <v>167</v>
      </c>
      <c r="D110" s="18" t="s">
        <v>67</v>
      </c>
      <c r="E110" s="18">
        <f>K141</f>
        <v>300</v>
      </c>
      <c r="F110" s="19">
        <f>J141</f>
        <v>58</v>
      </c>
      <c r="G110" s="19">
        <f>L141</f>
        <v>17.400000000000002</v>
      </c>
      <c r="I110" s="17" t="s">
        <v>24</v>
      </c>
      <c r="J110" s="17" t="s">
        <v>167</v>
      </c>
      <c r="K110" s="18" t="s">
        <v>67</v>
      </c>
      <c r="L110" s="18">
        <v>0.25</v>
      </c>
      <c r="M110" s="19">
        <v>33</v>
      </c>
      <c r="N110" s="19">
        <f>L141</f>
        <v>17.400000000000002</v>
      </c>
      <c r="P110" s="17" t="s">
        <v>24</v>
      </c>
      <c r="Q110" s="17" t="s">
        <v>167</v>
      </c>
      <c r="R110" s="18" t="s">
        <v>67</v>
      </c>
      <c r="S110" s="18">
        <v>0.25</v>
      </c>
      <c r="T110" s="19">
        <v>33</v>
      </c>
      <c r="U110" s="19">
        <f>L141</f>
        <v>17.400000000000002</v>
      </c>
      <c r="W110" s="17" t="s">
        <v>24</v>
      </c>
      <c r="X110" s="17" t="s">
        <v>167</v>
      </c>
      <c r="Y110" s="18" t="s">
        <v>67</v>
      </c>
      <c r="Z110" s="18">
        <v>0.25</v>
      </c>
      <c r="AA110" s="19">
        <v>33</v>
      </c>
      <c r="AB110" s="19">
        <f>L141</f>
        <v>17.400000000000002</v>
      </c>
      <c r="AD110" t="s">
        <v>24</v>
      </c>
      <c r="AE110" t="s">
        <v>167</v>
      </c>
      <c r="AF110" t="s">
        <v>67</v>
      </c>
      <c r="AG110">
        <v>0.25</v>
      </c>
      <c r="AH110">
        <v>33</v>
      </c>
      <c r="AI110">
        <v>17.11</v>
      </c>
    </row>
    <row r="111" spans="2:35" x14ac:dyDescent="0.25">
      <c r="B111" s="17" t="s">
        <v>164</v>
      </c>
      <c r="C111" s="17" t="s">
        <v>107</v>
      </c>
      <c r="D111" s="18" t="s">
        <v>59</v>
      </c>
      <c r="E111" s="18">
        <v>0.03</v>
      </c>
      <c r="F111" s="19">
        <v>250</v>
      </c>
      <c r="G111" s="19">
        <f>L154</f>
        <v>30.333333333333332</v>
      </c>
      <c r="I111" s="17" t="s">
        <v>164</v>
      </c>
      <c r="J111" s="17" t="s">
        <v>107</v>
      </c>
      <c r="K111" s="18" t="s">
        <v>59</v>
      </c>
      <c r="L111" s="18">
        <v>0.03</v>
      </c>
      <c r="M111" s="19">
        <v>250</v>
      </c>
      <c r="N111" s="19">
        <f>M154</f>
        <v>30.333333333333332</v>
      </c>
      <c r="P111" s="17" t="s">
        <v>164</v>
      </c>
      <c r="Q111" s="17" t="s">
        <v>181</v>
      </c>
      <c r="R111" s="18" t="s">
        <v>59</v>
      </c>
      <c r="S111" s="18">
        <v>0.06</v>
      </c>
      <c r="T111" s="19">
        <v>250</v>
      </c>
      <c r="U111" s="19">
        <f>N154</f>
        <v>30.333333333333332</v>
      </c>
      <c r="W111" s="17" t="s">
        <v>164</v>
      </c>
      <c r="X111" s="17" t="s">
        <v>181</v>
      </c>
      <c r="Y111" s="18" t="s">
        <v>59</v>
      </c>
      <c r="Z111" s="18">
        <v>0.06</v>
      </c>
      <c r="AA111" s="19">
        <v>250</v>
      </c>
      <c r="AB111" s="19">
        <f>O154</f>
        <v>30.333333333333332</v>
      </c>
      <c r="AD111" t="s">
        <v>164</v>
      </c>
      <c r="AE111" t="s">
        <v>181</v>
      </c>
      <c r="AF111" t="s">
        <v>59</v>
      </c>
      <c r="AG111">
        <v>0.06</v>
      </c>
      <c r="AH111">
        <v>250</v>
      </c>
      <c r="AI111">
        <v>26.666666666666668</v>
      </c>
    </row>
    <row r="112" spans="2:35" x14ac:dyDescent="0.25">
      <c r="B112" s="17" t="s">
        <v>57</v>
      </c>
      <c r="C112" s="17" t="s">
        <v>15</v>
      </c>
      <c r="D112" s="18" t="s">
        <v>67</v>
      </c>
      <c r="E112" s="18">
        <v>0.25</v>
      </c>
      <c r="F112" s="19">
        <v>0.25</v>
      </c>
      <c r="G112" s="19">
        <f>L136</f>
        <v>1.5</v>
      </c>
      <c r="I112" s="17" t="s">
        <v>57</v>
      </c>
      <c r="J112" s="17" t="s">
        <v>15</v>
      </c>
      <c r="K112" s="18" t="s">
        <v>67</v>
      </c>
      <c r="L112" s="18">
        <v>0.25</v>
      </c>
      <c r="M112" s="19">
        <v>0.25</v>
      </c>
      <c r="N112" s="19">
        <f>L136</f>
        <v>1.5</v>
      </c>
      <c r="P112" s="17" t="s">
        <v>57</v>
      </c>
      <c r="Q112" s="17" t="s">
        <v>15</v>
      </c>
      <c r="R112" s="18" t="s">
        <v>67</v>
      </c>
      <c r="S112" s="18">
        <v>0.25</v>
      </c>
      <c r="T112" s="19">
        <v>0.25</v>
      </c>
      <c r="U112" s="19">
        <f>L136</f>
        <v>1.5</v>
      </c>
      <c r="W112" s="17" t="s">
        <v>57</v>
      </c>
      <c r="X112" s="17" t="s">
        <v>15</v>
      </c>
      <c r="Y112" s="18" t="s">
        <v>67</v>
      </c>
      <c r="Z112" s="18">
        <v>0.25</v>
      </c>
      <c r="AA112" s="19">
        <v>0.25</v>
      </c>
      <c r="AB112" s="19">
        <f>L136</f>
        <v>1.5</v>
      </c>
      <c r="AD112" t="s">
        <v>57</v>
      </c>
      <c r="AE112" t="s">
        <v>15</v>
      </c>
      <c r="AF112" t="s">
        <v>67</v>
      </c>
      <c r="AG112">
        <v>0.25</v>
      </c>
      <c r="AH112">
        <v>0.25</v>
      </c>
      <c r="AI112">
        <v>1.5</v>
      </c>
    </row>
    <row r="113" spans="2:35" x14ac:dyDescent="0.25">
      <c r="B113" s="17" t="s">
        <v>70</v>
      </c>
      <c r="C113" s="17" t="s">
        <v>70</v>
      </c>
      <c r="D113" s="18" t="s">
        <v>16</v>
      </c>
      <c r="E113" s="18">
        <v>1</v>
      </c>
      <c r="F113" s="19">
        <v>7.2</v>
      </c>
      <c r="G113" s="19">
        <f>L143</f>
        <v>21</v>
      </c>
      <c r="I113" s="17" t="s">
        <v>70</v>
      </c>
      <c r="J113" s="17" t="s">
        <v>70</v>
      </c>
      <c r="K113" s="18" t="s">
        <v>16</v>
      </c>
      <c r="L113" s="18">
        <v>1</v>
      </c>
      <c r="M113" s="19">
        <v>7.2</v>
      </c>
      <c r="N113" s="19">
        <f>L143</f>
        <v>21</v>
      </c>
      <c r="P113" s="17" t="s">
        <v>70</v>
      </c>
      <c r="Q113" s="17" t="s">
        <v>70</v>
      </c>
      <c r="R113" s="18" t="s">
        <v>16</v>
      </c>
      <c r="S113" s="18">
        <v>1</v>
      </c>
      <c r="T113" s="19">
        <v>7.2</v>
      </c>
      <c r="U113" s="19">
        <f>L143</f>
        <v>21</v>
      </c>
      <c r="W113" s="17" t="s">
        <v>70</v>
      </c>
      <c r="X113" s="17" t="s">
        <v>70</v>
      </c>
      <c r="Y113" s="18" t="s">
        <v>16</v>
      </c>
      <c r="Z113" s="18">
        <v>1</v>
      </c>
      <c r="AA113" s="19">
        <v>7.2</v>
      </c>
      <c r="AB113" s="19">
        <f>L143</f>
        <v>21</v>
      </c>
      <c r="AD113" t="s">
        <v>70</v>
      </c>
      <c r="AE113" t="s">
        <v>70</v>
      </c>
      <c r="AF113" t="s">
        <v>16</v>
      </c>
      <c r="AG113">
        <v>1</v>
      </c>
      <c r="AH113">
        <v>7.2</v>
      </c>
      <c r="AI113">
        <v>14</v>
      </c>
    </row>
    <row r="114" spans="2:35" x14ac:dyDescent="0.25">
      <c r="B114" s="41"/>
      <c r="F114" t="s">
        <v>73</v>
      </c>
      <c r="G114" s="2">
        <f>SUM(G105:G113)</f>
        <v>149.5</v>
      </c>
      <c r="I114" s="41"/>
      <c r="M114" t="s">
        <v>73</v>
      </c>
      <c r="N114" s="2">
        <f>SUM(N105:N113)</f>
        <v>170.3</v>
      </c>
      <c r="P114" s="41"/>
      <c r="T114" t="s">
        <v>73</v>
      </c>
      <c r="U114" s="2">
        <f>SUM(U105:U113)</f>
        <v>214.76666666666668</v>
      </c>
      <c r="W114" s="41"/>
      <c r="AA114" t="s">
        <v>73</v>
      </c>
      <c r="AB114" s="2">
        <f>SUM(AB105:AB113)</f>
        <v>256.36666666666667</v>
      </c>
      <c r="AH114" t="s">
        <v>73</v>
      </c>
      <c r="AI114">
        <v>225.40444444444447</v>
      </c>
    </row>
    <row r="115" spans="2:35" x14ac:dyDescent="0.25">
      <c r="B115" s="41"/>
      <c r="D115" s="2"/>
      <c r="F115" t="s">
        <v>85</v>
      </c>
      <c r="G115" s="2">
        <f>'Genel Gider'!F24</f>
        <v>200.21961266913951</v>
      </c>
      <c r="H115" s="37"/>
      <c r="I115" s="41"/>
      <c r="K115" s="2"/>
      <c r="M115" t="s">
        <v>85</v>
      </c>
      <c r="N115" s="2">
        <f>'Genel Gider'!F24</f>
        <v>200.21961266913951</v>
      </c>
      <c r="O115" s="37"/>
      <c r="P115" s="41"/>
      <c r="R115" s="2"/>
      <c r="T115" t="s">
        <v>85</v>
      </c>
      <c r="U115" s="2">
        <f>'Genel Gider'!F24</f>
        <v>200.21961266913951</v>
      </c>
      <c r="V115" s="37"/>
      <c r="W115" s="41"/>
      <c r="Y115" s="2"/>
      <c r="AA115" t="s">
        <v>85</v>
      </c>
      <c r="AB115" s="2">
        <f>'Genel Gider'!F24</f>
        <v>200.21961266913951</v>
      </c>
      <c r="AH115" t="s">
        <v>85</v>
      </c>
      <c r="AI115">
        <v>118.2074521651561</v>
      </c>
    </row>
    <row r="116" spans="2:35" x14ac:dyDescent="0.25">
      <c r="B116" s="41"/>
      <c r="D116" s="2"/>
      <c r="F116" t="s">
        <v>14</v>
      </c>
      <c r="G116" s="2">
        <f>SUM(G114:G115)</f>
        <v>349.71961266913951</v>
      </c>
      <c r="H116" s="37"/>
      <c r="I116" s="41"/>
      <c r="K116" s="2"/>
      <c r="M116" t="s">
        <v>14</v>
      </c>
      <c r="N116" s="2">
        <f>SUM(N114:N115)</f>
        <v>370.51961266913952</v>
      </c>
      <c r="O116" s="37"/>
      <c r="P116" s="41"/>
      <c r="R116" s="2"/>
      <c r="T116" t="s">
        <v>14</v>
      </c>
      <c r="U116" s="2">
        <f>SUM(U114:U115)</f>
        <v>414.98627933580622</v>
      </c>
      <c r="V116" s="37"/>
      <c r="W116" s="41"/>
      <c r="Y116" s="2"/>
      <c r="AA116" t="s">
        <v>14</v>
      </c>
      <c r="AB116" s="2">
        <f>SUM(AB114:AB115)</f>
        <v>456.58627933580618</v>
      </c>
      <c r="AH116" t="s">
        <v>14</v>
      </c>
      <c r="AI116">
        <v>343.61189660960054</v>
      </c>
    </row>
    <row r="118" spans="2:35" x14ac:dyDescent="0.25">
      <c r="B118" s="39" t="s">
        <v>168</v>
      </c>
      <c r="C118" s="39"/>
      <c r="D118" s="39"/>
      <c r="E118" s="39"/>
      <c r="F118" s="39"/>
      <c r="G118" s="40">
        <f>C167</f>
        <v>304.89999999999998</v>
      </c>
      <c r="I118" s="39" t="s">
        <v>169</v>
      </c>
      <c r="J118" s="39"/>
      <c r="K118" s="39"/>
      <c r="L118" s="39"/>
      <c r="M118" s="39"/>
      <c r="N118" s="40">
        <f>D167</f>
        <v>339.9</v>
      </c>
      <c r="P118" s="39" t="s">
        <v>170</v>
      </c>
      <c r="Q118" s="39"/>
      <c r="R118" s="39"/>
      <c r="S118" s="39"/>
      <c r="T118" s="39"/>
      <c r="U118" s="40">
        <f>E167</f>
        <v>374.9</v>
      </c>
      <c r="W118" s="39" t="s">
        <v>171</v>
      </c>
      <c r="X118" s="39"/>
      <c r="Y118" s="39"/>
      <c r="Z118" s="39"/>
      <c r="AA118" s="39"/>
      <c r="AB118" s="40">
        <f>F167</f>
        <v>409.9</v>
      </c>
      <c r="AD118" t="s">
        <v>229</v>
      </c>
      <c r="AI118">
        <v>409.9</v>
      </c>
    </row>
    <row r="119" spans="2:35" x14ac:dyDescent="0.25">
      <c r="B119" s="20" t="s">
        <v>42</v>
      </c>
      <c r="C119" s="20" t="s">
        <v>43</v>
      </c>
      <c r="D119" s="20" t="s">
        <v>44</v>
      </c>
      <c r="E119" s="20" t="s">
        <v>45</v>
      </c>
      <c r="F119" s="20" t="s">
        <v>4</v>
      </c>
      <c r="G119" s="20" t="s">
        <v>46</v>
      </c>
      <c r="I119" s="20" t="s">
        <v>42</v>
      </c>
      <c r="J119" s="20" t="s">
        <v>43</v>
      </c>
      <c r="K119" s="20" t="s">
        <v>44</v>
      </c>
      <c r="L119" s="20" t="s">
        <v>45</v>
      </c>
      <c r="M119" s="20" t="s">
        <v>4</v>
      </c>
      <c r="N119" s="20" t="s">
        <v>46</v>
      </c>
      <c r="P119" s="20" t="s">
        <v>42</v>
      </c>
      <c r="Q119" s="20" t="s">
        <v>43</v>
      </c>
      <c r="R119" s="20" t="s">
        <v>44</v>
      </c>
      <c r="S119" s="20" t="s">
        <v>45</v>
      </c>
      <c r="T119" s="20" t="s">
        <v>4</v>
      </c>
      <c r="U119" s="20" t="s">
        <v>46</v>
      </c>
      <c r="W119" s="20" t="s">
        <v>42</v>
      </c>
      <c r="X119" s="20" t="s">
        <v>43</v>
      </c>
      <c r="Y119" s="20" t="s">
        <v>44</v>
      </c>
      <c r="Z119" s="20" t="s">
        <v>45</v>
      </c>
      <c r="AA119" s="20" t="s">
        <v>4</v>
      </c>
      <c r="AB119" s="20" t="s">
        <v>46</v>
      </c>
      <c r="AD119" t="s">
        <v>42</v>
      </c>
      <c r="AE119" t="s">
        <v>43</v>
      </c>
      <c r="AF119" t="s">
        <v>44</v>
      </c>
      <c r="AG119" t="s">
        <v>45</v>
      </c>
      <c r="AH119" t="s">
        <v>4</v>
      </c>
      <c r="AI119" t="s">
        <v>46</v>
      </c>
    </row>
    <row r="120" spans="2:35" x14ac:dyDescent="0.25">
      <c r="B120" s="17" t="s">
        <v>105</v>
      </c>
      <c r="C120" s="17" t="s">
        <v>106</v>
      </c>
      <c r="D120" s="18" t="s">
        <v>59</v>
      </c>
      <c r="E120" s="18">
        <v>5.0000000000000001E-3</v>
      </c>
      <c r="F120" s="19">
        <v>50</v>
      </c>
      <c r="G120" s="19">
        <f>L155</f>
        <v>5</v>
      </c>
      <c r="I120" s="17" t="s">
        <v>105</v>
      </c>
      <c r="J120" s="17" t="s">
        <v>106</v>
      </c>
      <c r="K120" s="18" t="s">
        <v>59</v>
      </c>
      <c r="L120" s="18">
        <v>5.0000000000000001E-3</v>
      </c>
      <c r="M120" s="19">
        <v>50</v>
      </c>
      <c r="N120" s="19">
        <f>L155</f>
        <v>5</v>
      </c>
      <c r="P120" s="17" t="s">
        <v>105</v>
      </c>
      <c r="Q120" s="17" t="s">
        <v>106</v>
      </c>
      <c r="R120" s="18" t="s">
        <v>59</v>
      </c>
      <c r="S120" s="18">
        <v>5.0000000000000001E-3</v>
      </c>
      <c r="T120" s="19">
        <v>50</v>
      </c>
      <c r="U120" s="19">
        <f>L155</f>
        <v>5</v>
      </c>
      <c r="W120" s="17" t="s">
        <v>105</v>
      </c>
      <c r="X120" s="17" t="s">
        <v>106</v>
      </c>
      <c r="Y120" s="18" t="s">
        <v>59</v>
      </c>
      <c r="Z120" s="18">
        <v>5.0000000000000001E-3</v>
      </c>
      <c r="AA120" s="19">
        <v>50</v>
      </c>
      <c r="AB120" s="19">
        <f>L155</f>
        <v>5</v>
      </c>
      <c r="AD120" t="s">
        <v>105</v>
      </c>
      <c r="AE120" t="s">
        <v>106</v>
      </c>
      <c r="AF120" t="s">
        <v>59</v>
      </c>
      <c r="AG120">
        <v>5.0000000000000001E-3</v>
      </c>
      <c r="AH120">
        <v>50</v>
      </c>
      <c r="AI120">
        <v>5</v>
      </c>
    </row>
    <row r="121" spans="2:35" x14ac:dyDescent="0.25">
      <c r="B121" s="17" t="s">
        <v>60</v>
      </c>
      <c r="C121" s="17" t="s">
        <v>61</v>
      </c>
      <c r="D121" s="18" t="s">
        <v>16</v>
      </c>
      <c r="E121" s="18">
        <f>K137</f>
        <v>72</v>
      </c>
      <c r="F121" s="19">
        <v>117.5</v>
      </c>
      <c r="G121" s="19">
        <f>L137</f>
        <v>4.166666666666667</v>
      </c>
      <c r="I121" s="17" t="s">
        <v>60</v>
      </c>
      <c r="J121" s="17" t="s">
        <v>61</v>
      </c>
      <c r="K121" s="18" t="s">
        <v>16</v>
      </c>
      <c r="L121" s="18">
        <v>1</v>
      </c>
      <c r="M121" s="19">
        <v>117.5</v>
      </c>
      <c r="N121" s="19">
        <f>M137</f>
        <v>4.166666666666667</v>
      </c>
      <c r="P121" s="17" t="s">
        <v>60</v>
      </c>
      <c r="Q121" s="17" t="s">
        <v>90</v>
      </c>
      <c r="R121" s="18" t="s">
        <v>16</v>
      </c>
      <c r="S121" s="18">
        <v>2</v>
      </c>
      <c r="T121" s="19">
        <v>117.5</v>
      </c>
      <c r="U121" s="19">
        <f>N137</f>
        <v>8.3333333333333339</v>
      </c>
      <c r="W121" s="17" t="s">
        <v>60</v>
      </c>
      <c r="X121" s="17" t="s">
        <v>90</v>
      </c>
      <c r="Y121" s="18" t="s">
        <v>16</v>
      </c>
      <c r="Z121" s="18">
        <v>2</v>
      </c>
      <c r="AA121" s="19">
        <v>117.5</v>
      </c>
      <c r="AB121" s="19">
        <f>O137</f>
        <v>8.3333333333333339</v>
      </c>
      <c r="AD121" t="s">
        <v>60</v>
      </c>
      <c r="AE121" t="s">
        <v>90</v>
      </c>
      <c r="AF121" t="s">
        <v>16</v>
      </c>
      <c r="AG121">
        <v>2</v>
      </c>
      <c r="AH121">
        <v>117.5</v>
      </c>
      <c r="AI121">
        <v>6.5277777777777777</v>
      </c>
    </row>
    <row r="122" spans="2:35" x14ac:dyDescent="0.25">
      <c r="B122" s="17" t="s">
        <v>62</v>
      </c>
      <c r="C122" s="17" t="s">
        <v>98</v>
      </c>
      <c r="D122" s="18" t="s">
        <v>16</v>
      </c>
      <c r="E122" s="18">
        <v>2.5</v>
      </c>
      <c r="F122" s="19">
        <v>2.5</v>
      </c>
      <c r="G122" s="19">
        <f>L138</f>
        <v>9</v>
      </c>
      <c r="I122" s="17" t="s">
        <v>62</v>
      </c>
      <c r="J122" s="17" t="s">
        <v>98</v>
      </c>
      <c r="K122" s="18" t="s">
        <v>16</v>
      </c>
      <c r="L122" s="18">
        <v>2.5</v>
      </c>
      <c r="M122" s="19">
        <v>2.5</v>
      </c>
      <c r="N122" s="19">
        <f>L138</f>
        <v>9</v>
      </c>
      <c r="P122" s="17" t="s">
        <v>62</v>
      </c>
      <c r="Q122" s="17" t="s">
        <v>98</v>
      </c>
      <c r="R122" s="18" t="s">
        <v>16</v>
      </c>
      <c r="S122" s="18">
        <v>2.5</v>
      </c>
      <c r="T122" s="19">
        <v>2.5</v>
      </c>
      <c r="U122" s="19">
        <f>L138</f>
        <v>9</v>
      </c>
      <c r="W122" s="17" t="s">
        <v>62</v>
      </c>
      <c r="X122" s="17" t="s">
        <v>98</v>
      </c>
      <c r="Y122" s="18" t="s">
        <v>16</v>
      </c>
      <c r="Z122" s="18">
        <v>2.5</v>
      </c>
      <c r="AA122" s="19">
        <v>2.5</v>
      </c>
      <c r="AB122" s="19">
        <f>L138</f>
        <v>9</v>
      </c>
      <c r="AD122" t="s">
        <v>62</v>
      </c>
      <c r="AE122" t="s">
        <v>98</v>
      </c>
      <c r="AF122" t="s">
        <v>16</v>
      </c>
      <c r="AG122">
        <v>2.5</v>
      </c>
      <c r="AH122">
        <v>2.5</v>
      </c>
      <c r="AI122">
        <v>9</v>
      </c>
    </row>
    <row r="123" spans="2:35" x14ac:dyDescent="0.25">
      <c r="B123" s="17" t="s">
        <v>63</v>
      </c>
      <c r="C123" s="17" t="s">
        <v>64</v>
      </c>
      <c r="D123" s="18" t="s">
        <v>59</v>
      </c>
      <c r="E123" s="18">
        <v>1.2E-2</v>
      </c>
      <c r="F123" s="19">
        <v>145</v>
      </c>
      <c r="G123" s="19">
        <f>L148</f>
        <v>9.1</v>
      </c>
      <c r="I123" s="17" t="s">
        <v>63</v>
      </c>
      <c r="J123" s="17" t="s">
        <v>64</v>
      </c>
      <c r="K123" s="18" t="s">
        <v>59</v>
      </c>
      <c r="L123" s="18">
        <v>1.2E-2</v>
      </c>
      <c r="M123" s="19">
        <v>145</v>
      </c>
      <c r="N123" s="19">
        <f>M148</f>
        <v>9.1</v>
      </c>
      <c r="P123" s="17" t="s">
        <v>63</v>
      </c>
      <c r="Q123" s="17" t="s">
        <v>96</v>
      </c>
      <c r="R123" s="18" t="s">
        <v>59</v>
      </c>
      <c r="S123" s="18">
        <v>1.2E-2</v>
      </c>
      <c r="T123" s="19">
        <v>145</v>
      </c>
      <c r="U123" s="19">
        <f>N148</f>
        <v>18.2</v>
      </c>
      <c r="W123" s="17" t="s">
        <v>63</v>
      </c>
      <c r="X123" s="17" t="s">
        <v>96</v>
      </c>
      <c r="Y123" s="18" t="s">
        <v>59</v>
      </c>
      <c r="Z123" s="18">
        <v>1.2E-2</v>
      </c>
      <c r="AA123" s="19">
        <v>145</v>
      </c>
      <c r="AB123" s="19">
        <f>O148</f>
        <v>18.2</v>
      </c>
      <c r="AD123" t="s">
        <v>63</v>
      </c>
      <c r="AE123" t="s">
        <v>96</v>
      </c>
      <c r="AF123" t="s">
        <v>59</v>
      </c>
      <c r="AG123">
        <v>1.2E-2</v>
      </c>
      <c r="AH123">
        <v>145</v>
      </c>
      <c r="AI123">
        <v>16.8</v>
      </c>
    </row>
    <row r="124" spans="2:35" x14ac:dyDescent="0.25">
      <c r="B124" s="17" t="s">
        <v>65</v>
      </c>
      <c r="C124" s="17" t="s">
        <v>66</v>
      </c>
      <c r="D124" s="18" t="s">
        <v>16</v>
      </c>
      <c r="E124" s="18">
        <v>0.1</v>
      </c>
      <c r="F124" s="19">
        <f>J140</f>
        <v>520</v>
      </c>
      <c r="G124" s="19">
        <f>L140</f>
        <v>52</v>
      </c>
      <c r="I124" s="17" t="s">
        <v>65</v>
      </c>
      <c r="J124" s="17" t="s">
        <v>95</v>
      </c>
      <c r="K124" s="18" t="s">
        <v>16</v>
      </c>
      <c r="L124" s="18">
        <v>0.1</v>
      </c>
      <c r="M124" s="19">
        <v>125</v>
      </c>
      <c r="N124" s="19">
        <f>M140</f>
        <v>72.800000000000011</v>
      </c>
      <c r="P124" s="17" t="s">
        <v>65</v>
      </c>
      <c r="Q124" s="17" t="s">
        <v>94</v>
      </c>
      <c r="R124" s="18" t="s">
        <v>16</v>
      </c>
      <c r="S124" s="18">
        <v>0.2</v>
      </c>
      <c r="T124" s="19">
        <v>125</v>
      </c>
      <c r="U124" s="19">
        <f>N140</f>
        <v>104</v>
      </c>
      <c r="W124" s="17" t="s">
        <v>65</v>
      </c>
      <c r="X124" s="17" t="s">
        <v>93</v>
      </c>
      <c r="Y124" s="18" t="s">
        <v>16</v>
      </c>
      <c r="Z124" s="18">
        <v>0.28000000000000003</v>
      </c>
      <c r="AA124" s="19">
        <v>125</v>
      </c>
      <c r="AB124" s="19">
        <f>O140</f>
        <v>145.60000000000002</v>
      </c>
      <c r="AD124" t="s">
        <v>65</v>
      </c>
      <c r="AE124" t="s">
        <v>93</v>
      </c>
      <c r="AF124" t="s">
        <v>16</v>
      </c>
      <c r="AG124">
        <v>0.28000000000000003</v>
      </c>
      <c r="AH124">
        <v>125</v>
      </c>
      <c r="AI124">
        <v>128.80000000000001</v>
      </c>
    </row>
    <row r="125" spans="2:35" x14ac:dyDescent="0.25">
      <c r="B125" s="17" t="s">
        <v>24</v>
      </c>
      <c r="C125" s="17" t="s">
        <v>167</v>
      </c>
      <c r="D125" s="18" t="s">
        <v>67</v>
      </c>
      <c r="E125" s="18">
        <f>K141</f>
        <v>300</v>
      </c>
      <c r="F125" s="19">
        <f>J141</f>
        <v>58</v>
      </c>
      <c r="G125" s="19">
        <f>L141</f>
        <v>17.400000000000002</v>
      </c>
      <c r="I125" s="17" t="s">
        <v>24</v>
      </c>
      <c r="J125" s="17" t="s">
        <v>167</v>
      </c>
      <c r="K125" s="18" t="s">
        <v>67</v>
      </c>
      <c r="L125" s="18">
        <v>0.25</v>
      </c>
      <c r="M125" s="19">
        <v>33</v>
      </c>
      <c r="N125" s="19">
        <f>L141</f>
        <v>17.400000000000002</v>
      </c>
      <c r="P125" s="17" t="s">
        <v>24</v>
      </c>
      <c r="Q125" s="17" t="s">
        <v>167</v>
      </c>
      <c r="R125" s="18" t="s">
        <v>67</v>
      </c>
      <c r="S125" s="18">
        <v>0.25</v>
      </c>
      <c r="T125" s="19">
        <v>33</v>
      </c>
      <c r="U125" s="19">
        <f>L141</f>
        <v>17.400000000000002</v>
      </c>
      <c r="W125" s="17" t="s">
        <v>24</v>
      </c>
      <c r="X125" s="17" t="s">
        <v>167</v>
      </c>
      <c r="Y125" s="18" t="s">
        <v>67</v>
      </c>
      <c r="Z125" s="18">
        <v>0.25</v>
      </c>
      <c r="AA125" s="19">
        <v>33</v>
      </c>
      <c r="AB125" s="19">
        <f>L141</f>
        <v>17.400000000000002</v>
      </c>
      <c r="AD125" t="s">
        <v>24</v>
      </c>
      <c r="AE125" t="s">
        <v>167</v>
      </c>
      <c r="AF125" t="s">
        <v>67</v>
      </c>
      <c r="AG125">
        <v>0.25</v>
      </c>
      <c r="AH125">
        <v>33</v>
      </c>
      <c r="AI125">
        <v>17.11</v>
      </c>
    </row>
    <row r="126" spans="2:35" x14ac:dyDescent="0.25">
      <c r="B126" s="17" t="s">
        <v>136</v>
      </c>
      <c r="C126" s="17" t="s">
        <v>137</v>
      </c>
      <c r="D126" s="18" t="s">
        <v>59</v>
      </c>
      <c r="E126" s="18">
        <v>0.03</v>
      </c>
      <c r="F126" s="19">
        <v>1</v>
      </c>
      <c r="G126" s="19">
        <f>L156</f>
        <v>3</v>
      </c>
      <c r="I126" s="17" t="s">
        <v>136</v>
      </c>
      <c r="J126" s="17" t="s">
        <v>137</v>
      </c>
      <c r="K126" s="18" t="s">
        <v>59</v>
      </c>
      <c r="L126" s="18">
        <v>0.03</v>
      </c>
      <c r="M126" s="19">
        <v>1</v>
      </c>
      <c r="N126" s="19">
        <f>M156</f>
        <v>3</v>
      </c>
      <c r="P126" s="17" t="s">
        <v>136</v>
      </c>
      <c r="Q126" s="17" t="s">
        <v>137</v>
      </c>
      <c r="R126" s="18" t="s">
        <v>59</v>
      </c>
      <c r="S126" s="18">
        <v>0.03</v>
      </c>
      <c r="T126" s="19">
        <v>1</v>
      </c>
      <c r="U126" s="19">
        <f>N156</f>
        <v>3</v>
      </c>
      <c r="W126" s="17" t="s">
        <v>136</v>
      </c>
      <c r="X126" s="17" t="s">
        <v>137</v>
      </c>
      <c r="Y126" s="18" t="s">
        <v>59</v>
      </c>
      <c r="Z126" s="18">
        <v>0.03</v>
      </c>
      <c r="AA126" s="19">
        <v>1</v>
      </c>
      <c r="AB126" s="19">
        <f>O156</f>
        <v>3</v>
      </c>
      <c r="AD126" t="s">
        <v>136</v>
      </c>
      <c r="AE126" t="s">
        <v>137</v>
      </c>
      <c r="AF126" t="s">
        <v>59</v>
      </c>
      <c r="AG126">
        <v>0.03</v>
      </c>
      <c r="AH126">
        <v>1</v>
      </c>
      <c r="AI126">
        <v>3</v>
      </c>
    </row>
    <row r="127" spans="2:35" x14ac:dyDescent="0.25">
      <c r="B127" s="17" t="s">
        <v>138</v>
      </c>
      <c r="C127" s="17" t="s">
        <v>15</v>
      </c>
      <c r="D127" s="18" t="s">
        <v>67</v>
      </c>
      <c r="E127" s="18">
        <v>0.25</v>
      </c>
      <c r="F127" s="19">
        <v>1</v>
      </c>
      <c r="G127" s="19">
        <f>L157</f>
        <v>5</v>
      </c>
      <c r="I127" s="17" t="s">
        <v>138</v>
      </c>
      <c r="J127" s="17" t="s">
        <v>15</v>
      </c>
      <c r="K127" s="18" t="s">
        <v>67</v>
      </c>
      <c r="L127" s="18">
        <v>0.25</v>
      </c>
      <c r="M127" s="19">
        <v>1</v>
      </c>
      <c r="N127" s="19">
        <f>M157</f>
        <v>5</v>
      </c>
      <c r="P127" s="17" t="s">
        <v>138</v>
      </c>
      <c r="Q127" s="17" t="s">
        <v>15</v>
      </c>
      <c r="R127" s="18" t="s">
        <v>67</v>
      </c>
      <c r="S127" s="18">
        <v>0.25</v>
      </c>
      <c r="T127" s="19">
        <v>1</v>
      </c>
      <c r="U127" s="19">
        <f>N157</f>
        <v>5</v>
      </c>
      <c r="W127" s="17" t="s">
        <v>138</v>
      </c>
      <c r="X127" s="17" t="s">
        <v>15</v>
      </c>
      <c r="Y127" s="18" t="s">
        <v>67</v>
      </c>
      <c r="Z127" s="18">
        <v>0.25</v>
      </c>
      <c r="AA127" s="19">
        <v>1</v>
      </c>
      <c r="AB127" s="19">
        <f>O157</f>
        <v>5</v>
      </c>
      <c r="AD127" t="s">
        <v>138</v>
      </c>
      <c r="AE127" t="s">
        <v>15</v>
      </c>
      <c r="AF127" t="s">
        <v>67</v>
      </c>
      <c r="AG127">
        <v>0.25</v>
      </c>
      <c r="AH127">
        <v>1</v>
      </c>
      <c r="AI127">
        <v>5</v>
      </c>
    </row>
    <row r="128" spans="2:35" x14ac:dyDescent="0.25">
      <c r="B128" s="17" t="s">
        <v>70</v>
      </c>
      <c r="C128" s="17" t="s">
        <v>70</v>
      </c>
      <c r="D128" s="18" t="s">
        <v>16</v>
      </c>
      <c r="E128" s="18">
        <v>1</v>
      </c>
      <c r="F128" s="19">
        <v>7.2</v>
      </c>
      <c r="G128" s="19">
        <f>L143</f>
        <v>21</v>
      </c>
      <c r="I128" s="17" t="s">
        <v>70</v>
      </c>
      <c r="J128" s="17" t="s">
        <v>70</v>
      </c>
      <c r="K128" s="18" t="s">
        <v>16</v>
      </c>
      <c r="L128" s="18">
        <v>1</v>
      </c>
      <c r="M128" s="19">
        <v>7.2</v>
      </c>
      <c r="N128" s="19">
        <f>L143</f>
        <v>21</v>
      </c>
      <c r="P128" s="17" t="s">
        <v>70</v>
      </c>
      <c r="Q128" s="17" t="s">
        <v>70</v>
      </c>
      <c r="R128" s="18" t="s">
        <v>16</v>
      </c>
      <c r="S128" s="18">
        <v>1</v>
      </c>
      <c r="T128" s="19">
        <v>7.2</v>
      </c>
      <c r="U128" s="19">
        <f>L143</f>
        <v>21</v>
      </c>
      <c r="W128" s="17" t="s">
        <v>70</v>
      </c>
      <c r="X128" s="17" t="s">
        <v>70</v>
      </c>
      <c r="Y128" s="18" t="s">
        <v>16</v>
      </c>
      <c r="Z128" s="18">
        <v>1</v>
      </c>
      <c r="AA128" s="19">
        <v>7.2</v>
      </c>
      <c r="AB128" s="19">
        <f>L143</f>
        <v>21</v>
      </c>
      <c r="AD128" t="s">
        <v>70</v>
      </c>
      <c r="AE128" t="s">
        <v>70</v>
      </c>
      <c r="AF128" t="s">
        <v>16</v>
      </c>
      <c r="AG128">
        <v>1</v>
      </c>
      <c r="AH128">
        <v>7.2</v>
      </c>
      <c r="AI128">
        <v>14</v>
      </c>
    </row>
    <row r="129" spans="2:35" x14ac:dyDescent="0.25">
      <c r="B129" s="41" t="s">
        <v>74</v>
      </c>
      <c r="F129" t="s">
        <v>73</v>
      </c>
      <c r="G129" s="2">
        <f>SUM(G120:G128)</f>
        <v>125.66666666666667</v>
      </c>
      <c r="I129" s="41" t="s">
        <v>74</v>
      </c>
      <c r="M129" t="s">
        <v>73</v>
      </c>
      <c r="N129" s="2">
        <f>SUM(N120:N128)</f>
        <v>146.4666666666667</v>
      </c>
      <c r="P129" s="41" t="s">
        <v>74</v>
      </c>
      <c r="T129" t="s">
        <v>73</v>
      </c>
      <c r="U129" s="2">
        <f>SUM(U120:U128)</f>
        <v>190.93333333333334</v>
      </c>
      <c r="W129" s="41"/>
      <c r="AA129" t="s">
        <v>73</v>
      </c>
      <c r="AB129" s="2">
        <f>SUM(AB120:AB128)</f>
        <v>232.53333333333336</v>
      </c>
      <c r="AH129" t="s">
        <v>73</v>
      </c>
      <c r="AI129">
        <v>205.23777777777781</v>
      </c>
    </row>
    <row r="130" spans="2:35" x14ac:dyDescent="0.25">
      <c r="B130" s="41"/>
      <c r="D130" s="2"/>
      <c r="F130" t="s">
        <v>85</v>
      </c>
      <c r="G130" s="2">
        <f>'Genel Gider'!F24</f>
        <v>200.21961266913951</v>
      </c>
      <c r="H130" s="37"/>
      <c r="I130" s="41"/>
      <c r="K130" s="2"/>
      <c r="M130" t="s">
        <v>85</v>
      </c>
      <c r="N130" s="2">
        <f>'Genel Gider'!F24</f>
        <v>200.21961266913951</v>
      </c>
      <c r="O130" s="37"/>
      <c r="P130" s="41"/>
      <c r="R130" s="2"/>
      <c r="T130" t="s">
        <v>85</v>
      </c>
      <c r="U130" s="2">
        <f>'Genel Gider'!F24</f>
        <v>200.21961266913951</v>
      </c>
      <c r="V130" s="37"/>
      <c r="W130" s="41"/>
      <c r="Y130" s="2"/>
      <c r="AA130" t="s">
        <v>85</v>
      </c>
      <c r="AB130" s="2">
        <f>'Genel Gider'!F24</f>
        <v>200.21961266913951</v>
      </c>
      <c r="AH130" t="s">
        <v>85</v>
      </c>
      <c r="AI130">
        <v>118.2074521651561</v>
      </c>
    </row>
    <row r="131" spans="2:35" x14ac:dyDescent="0.25">
      <c r="B131" s="41"/>
      <c r="D131" s="2"/>
      <c r="F131" t="s">
        <v>14</v>
      </c>
      <c r="G131" s="2">
        <f>SUM(G129:G130)</f>
        <v>325.88627933580619</v>
      </c>
      <c r="H131" s="37"/>
      <c r="I131" s="41"/>
      <c r="K131" s="2"/>
      <c r="M131" t="s">
        <v>14</v>
      </c>
      <c r="N131" s="2">
        <f>SUM(N129:N130)</f>
        <v>346.6862793358062</v>
      </c>
      <c r="O131" s="37"/>
      <c r="P131" s="41"/>
      <c r="R131" s="2"/>
      <c r="T131" t="s">
        <v>14</v>
      </c>
      <c r="U131" s="2">
        <f>SUM(U129:U130)</f>
        <v>391.15294600247285</v>
      </c>
      <c r="V131" s="37"/>
      <c r="W131" s="41"/>
      <c r="Y131" s="2"/>
      <c r="AA131" t="s">
        <v>14</v>
      </c>
      <c r="AB131" s="2">
        <f>SUM(AB129:AB130)</f>
        <v>432.75294600247287</v>
      </c>
      <c r="AH131" t="s">
        <v>14</v>
      </c>
      <c r="AI131">
        <v>323.44522994293391</v>
      </c>
    </row>
    <row r="132" spans="2:35" x14ac:dyDescent="0.25">
      <c r="B132" s="48"/>
      <c r="C132" s="49"/>
    </row>
    <row r="133" spans="2:35" ht="16.5" thickBot="1" x14ac:dyDescent="0.3">
      <c r="B133" s="271"/>
      <c r="C133" s="271"/>
      <c r="D133" s="271"/>
      <c r="E133" s="271"/>
      <c r="F133" s="271"/>
      <c r="G133" s="271"/>
    </row>
    <row r="134" spans="2:35" x14ac:dyDescent="0.25">
      <c r="B134" s="122"/>
      <c r="C134" s="122"/>
      <c r="D134" s="122"/>
      <c r="E134" s="122"/>
      <c r="F134" s="122"/>
      <c r="G134" s="122"/>
      <c r="I134" s="272" t="s">
        <v>160</v>
      </c>
      <c r="J134" s="273"/>
      <c r="K134" s="273"/>
      <c r="L134" s="273"/>
      <c r="M134" s="273"/>
      <c r="N134" s="273"/>
      <c r="O134" s="273"/>
      <c r="P134" s="273"/>
      <c r="Q134" s="273"/>
      <c r="R134" s="273"/>
      <c r="S134" s="274"/>
    </row>
    <row r="135" spans="2:35" x14ac:dyDescent="0.25">
      <c r="B135" s="123"/>
      <c r="C135" s="124"/>
      <c r="D135" s="124"/>
      <c r="E135" s="122"/>
      <c r="F135" s="122"/>
      <c r="G135" s="122"/>
      <c r="I135" s="61" t="s">
        <v>42</v>
      </c>
      <c r="J135" s="1" t="s">
        <v>165</v>
      </c>
      <c r="K135" s="1" t="s">
        <v>166</v>
      </c>
      <c r="L135" s="5" t="s">
        <v>182</v>
      </c>
      <c r="M135" s="5" t="s">
        <v>183</v>
      </c>
      <c r="N135" s="1" t="s">
        <v>184</v>
      </c>
      <c r="O135" s="1" t="s">
        <v>185</v>
      </c>
      <c r="P135" s="1" t="s">
        <v>186</v>
      </c>
      <c r="Q135" s="1" t="s">
        <v>187</v>
      </c>
      <c r="R135" s="1" t="s">
        <v>188</v>
      </c>
      <c r="S135" s="69" t="s">
        <v>189</v>
      </c>
    </row>
    <row r="136" spans="2:35" x14ac:dyDescent="0.25">
      <c r="B136" s="123"/>
      <c r="C136" s="124"/>
      <c r="D136" s="124"/>
      <c r="E136" s="122"/>
      <c r="F136" s="122"/>
      <c r="G136" s="122"/>
      <c r="I136" s="71" t="s">
        <v>57</v>
      </c>
      <c r="J136" s="1">
        <v>1.5</v>
      </c>
      <c r="K136" s="1">
        <v>1</v>
      </c>
      <c r="L136" s="5">
        <v>1.5</v>
      </c>
      <c r="M136" s="5">
        <v>1.5</v>
      </c>
      <c r="N136" s="5">
        <v>1.5</v>
      </c>
      <c r="O136" s="5">
        <v>1.5</v>
      </c>
      <c r="P136" s="5">
        <v>1.5</v>
      </c>
      <c r="Q136" s="5">
        <v>1.5</v>
      </c>
      <c r="R136" s="5">
        <v>1.5</v>
      </c>
      <c r="S136" s="56">
        <v>1.5</v>
      </c>
    </row>
    <row r="137" spans="2:35" x14ac:dyDescent="0.25">
      <c r="B137" s="123"/>
      <c r="C137" s="124"/>
      <c r="D137" s="124"/>
      <c r="E137" s="122"/>
      <c r="F137" s="122"/>
      <c r="G137" s="122"/>
      <c r="I137" s="71" t="s">
        <v>60</v>
      </c>
      <c r="J137" s="1">
        <v>300</v>
      </c>
      <c r="K137" s="1">
        <v>72</v>
      </c>
      <c r="L137" s="5">
        <f>J137/K137</f>
        <v>4.166666666666667</v>
      </c>
      <c r="M137" s="5">
        <f>L137</f>
        <v>4.166666666666667</v>
      </c>
      <c r="N137" s="68">
        <f>L137*2</f>
        <v>8.3333333333333339</v>
      </c>
      <c r="O137" s="68">
        <f>N137</f>
        <v>8.3333333333333339</v>
      </c>
      <c r="P137" s="68">
        <f>L137*3</f>
        <v>12.5</v>
      </c>
      <c r="Q137" s="68">
        <f>P137</f>
        <v>12.5</v>
      </c>
      <c r="R137" s="68">
        <f>P137</f>
        <v>12.5</v>
      </c>
      <c r="S137" s="53">
        <f>P137</f>
        <v>12.5</v>
      </c>
    </row>
    <row r="138" spans="2:35" x14ac:dyDescent="0.25">
      <c r="B138" s="123"/>
      <c r="C138" s="124"/>
      <c r="D138" s="124"/>
      <c r="E138" s="122"/>
      <c r="F138" s="122"/>
      <c r="G138" s="122"/>
      <c r="I138" s="71" t="s">
        <v>62</v>
      </c>
      <c r="J138" s="1">
        <v>9</v>
      </c>
      <c r="K138" s="1">
        <v>1</v>
      </c>
      <c r="L138" s="5">
        <v>9</v>
      </c>
      <c r="M138" s="5">
        <v>9</v>
      </c>
      <c r="N138" s="5">
        <v>9</v>
      </c>
      <c r="O138" s="5">
        <v>9</v>
      </c>
      <c r="P138" s="5">
        <v>9</v>
      </c>
      <c r="Q138" s="5">
        <v>9</v>
      </c>
      <c r="R138" s="5">
        <v>9</v>
      </c>
      <c r="S138" s="56">
        <v>9</v>
      </c>
    </row>
    <row r="139" spans="2:35" x14ac:dyDescent="0.25">
      <c r="B139" s="123"/>
      <c r="C139" s="124"/>
      <c r="D139" s="124"/>
      <c r="E139" s="122"/>
      <c r="F139" s="122"/>
      <c r="G139" s="122"/>
      <c r="I139" s="71" t="s">
        <v>133</v>
      </c>
      <c r="J139" s="1">
        <v>700</v>
      </c>
      <c r="K139" s="1">
        <v>20</v>
      </c>
      <c r="L139" s="5">
        <f>J139/1000*K139</f>
        <v>14</v>
      </c>
      <c r="M139" s="5">
        <f>L139</f>
        <v>14</v>
      </c>
      <c r="N139" s="68">
        <f>M139*2</f>
        <v>28</v>
      </c>
      <c r="O139" s="68">
        <f>N139</f>
        <v>28</v>
      </c>
      <c r="P139" s="68">
        <f>M139*2</f>
        <v>28</v>
      </c>
      <c r="Q139" s="1">
        <f>M139*2</f>
        <v>28</v>
      </c>
      <c r="R139" s="1">
        <f>M139*2</f>
        <v>28</v>
      </c>
      <c r="S139" s="69">
        <f>M139*2</f>
        <v>28</v>
      </c>
    </row>
    <row r="140" spans="2:35" x14ac:dyDescent="0.25">
      <c r="B140" s="123"/>
      <c r="C140" s="124"/>
      <c r="D140" s="124"/>
      <c r="E140" s="122"/>
      <c r="F140" s="122"/>
      <c r="G140" s="122"/>
      <c r="I140" s="71" t="s">
        <v>65</v>
      </c>
      <c r="J140" s="1">
        <v>520</v>
      </c>
      <c r="K140" s="1">
        <v>100</v>
      </c>
      <c r="L140" s="5">
        <f>J140/1000*K140</f>
        <v>52</v>
      </c>
      <c r="M140" s="5">
        <f>J140*0.14</f>
        <v>72.800000000000011</v>
      </c>
      <c r="N140" s="68">
        <f>L140*2</f>
        <v>104</v>
      </c>
      <c r="O140" s="1">
        <f>J140*0.28</f>
        <v>145.60000000000002</v>
      </c>
      <c r="P140" s="68">
        <f>L140*3</f>
        <v>156</v>
      </c>
      <c r="Q140" s="1">
        <f>J140*0.34</f>
        <v>176.8</v>
      </c>
      <c r="R140" s="1">
        <f>J140*0.38</f>
        <v>197.6</v>
      </c>
      <c r="S140" s="69">
        <f>J140*0.42</f>
        <v>218.4</v>
      </c>
    </row>
    <row r="141" spans="2:35" x14ac:dyDescent="0.25">
      <c r="B141" s="125"/>
      <c r="C141" s="126"/>
      <c r="D141" s="126"/>
      <c r="E141" s="122"/>
      <c r="F141" s="122"/>
      <c r="G141" s="122"/>
      <c r="I141" s="71" t="s">
        <v>24</v>
      </c>
      <c r="J141" s="1">
        <v>58</v>
      </c>
      <c r="K141" s="1">
        <v>300</v>
      </c>
      <c r="L141" s="5">
        <f>J141/1000*K141</f>
        <v>17.400000000000002</v>
      </c>
      <c r="M141" s="5">
        <f t="shared" ref="M141:S144" si="1">L141</f>
        <v>17.400000000000002</v>
      </c>
      <c r="N141" s="5">
        <f t="shared" si="1"/>
        <v>17.400000000000002</v>
      </c>
      <c r="O141" s="5">
        <f t="shared" si="1"/>
        <v>17.400000000000002</v>
      </c>
      <c r="P141" s="5">
        <f t="shared" si="1"/>
        <v>17.400000000000002</v>
      </c>
      <c r="Q141" s="5">
        <f t="shared" si="1"/>
        <v>17.400000000000002</v>
      </c>
      <c r="R141" s="5">
        <f t="shared" si="1"/>
        <v>17.400000000000002</v>
      </c>
      <c r="S141" s="56">
        <f t="shared" si="1"/>
        <v>17.400000000000002</v>
      </c>
    </row>
    <row r="142" spans="2:35" x14ac:dyDescent="0.25">
      <c r="B142" s="123"/>
      <c r="C142" s="127"/>
      <c r="D142" s="127"/>
      <c r="E142" s="127"/>
      <c r="F142" s="127"/>
      <c r="G142" s="127"/>
      <c r="I142" s="71" t="s">
        <v>155</v>
      </c>
      <c r="J142" s="1">
        <v>40</v>
      </c>
      <c r="K142" s="1">
        <v>0.02</v>
      </c>
      <c r="L142" s="5">
        <v>3</v>
      </c>
      <c r="M142" s="5">
        <v>3</v>
      </c>
      <c r="N142" s="5">
        <v>3</v>
      </c>
      <c r="O142" s="5">
        <v>3</v>
      </c>
      <c r="P142" s="5">
        <v>3</v>
      </c>
      <c r="Q142" s="5">
        <v>3</v>
      </c>
      <c r="R142" s="5">
        <v>3</v>
      </c>
      <c r="S142" s="56">
        <f t="shared" si="1"/>
        <v>3</v>
      </c>
    </row>
    <row r="143" spans="2:35" x14ac:dyDescent="0.25">
      <c r="B143" s="125"/>
      <c r="C143" s="126"/>
      <c r="D143" s="126"/>
      <c r="E143" s="122"/>
      <c r="F143" s="122"/>
      <c r="G143" s="122"/>
      <c r="I143" s="71" t="s">
        <v>70</v>
      </c>
      <c r="J143" s="1">
        <v>21</v>
      </c>
      <c r="K143" s="1">
        <v>1</v>
      </c>
      <c r="L143" s="5">
        <v>21</v>
      </c>
      <c r="M143" s="5">
        <f t="shared" si="1"/>
        <v>21</v>
      </c>
      <c r="N143" s="5">
        <f t="shared" si="1"/>
        <v>21</v>
      </c>
      <c r="O143" s="5">
        <f t="shared" si="1"/>
        <v>21</v>
      </c>
      <c r="P143" s="5">
        <f t="shared" si="1"/>
        <v>21</v>
      </c>
      <c r="Q143" s="5">
        <f t="shared" si="1"/>
        <v>21</v>
      </c>
      <c r="R143" s="5">
        <f t="shared" si="1"/>
        <v>21</v>
      </c>
      <c r="S143" s="56">
        <f t="shared" si="1"/>
        <v>21</v>
      </c>
    </row>
    <row r="144" spans="2:35" x14ac:dyDescent="0.25">
      <c r="B144" s="122"/>
      <c r="C144" s="122"/>
      <c r="D144" s="122"/>
      <c r="E144" s="119"/>
      <c r="F144" s="119"/>
      <c r="G144" s="119"/>
      <c r="I144" s="71" t="s">
        <v>154</v>
      </c>
      <c r="J144" s="1">
        <v>190</v>
      </c>
      <c r="K144" s="1">
        <v>5</v>
      </c>
      <c r="L144" s="5">
        <v>3</v>
      </c>
      <c r="M144" s="5">
        <f t="shared" ref="M144:O147" si="2">L144</f>
        <v>3</v>
      </c>
      <c r="N144" s="5">
        <f t="shared" si="2"/>
        <v>3</v>
      </c>
      <c r="O144" s="5">
        <f t="shared" si="2"/>
        <v>3</v>
      </c>
      <c r="P144" s="5">
        <f t="shared" si="1"/>
        <v>3</v>
      </c>
      <c r="Q144" s="5">
        <f t="shared" si="1"/>
        <v>3</v>
      </c>
      <c r="R144" s="5">
        <f t="shared" si="1"/>
        <v>3</v>
      </c>
      <c r="S144" s="56">
        <f t="shared" si="1"/>
        <v>3</v>
      </c>
    </row>
    <row r="145" spans="2:21" x14ac:dyDescent="0.25">
      <c r="B145" s="119"/>
      <c r="C145" s="119"/>
      <c r="D145" s="119"/>
      <c r="E145" s="119"/>
      <c r="F145" s="119"/>
      <c r="G145" s="119"/>
      <c r="I145" s="71" t="s">
        <v>152</v>
      </c>
      <c r="J145" s="1">
        <v>1</v>
      </c>
      <c r="K145" s="1">
        <v>1</v>
      </c>
      <c r="L145" s="5">
        <v>2</v>
      </c>
      <c r="M145" s="5">
        <f t="shared" si="2"/>
        <v>2</v>
      </c>
      <c r="N145" s="5">
        <f t="shared" si="2"/>
        <v>2</v>
      </c>
      <c r="O145" s="5">
        <f t="shared" si="2"/>
        <v>2</v>
      </c>
      <c r="P145" s="1">
        <v>2</v>
      </c>
      <c r="Q145" s="1">
        <v>2</v>
      </c>
      <c r="R145" s="1">
        <v>2</v>
      </c>
      <c r="S145" s="69">
        <v>2</v>
      </c>
    </row>
    <row r="146" spans="2:21" x14ac:dyDescent="0.25">
      <c r="B146" s="120"/>
      <c r="C146" s="121"/>
      <c r="D146" s="121"/>
      <c r="E146" s="119"/>
      <c r="F146" s="119"/>
      <c r="G146" s="119"/>
      <c r="I146" s="71" t="s">
        <v>161</v>
      </c>
      <c r="J146" s="1">
        <v>1</v>
      </c>
      <c r="K146" s="1">
        <v>1</v>
      </c>
      <c r="L146" s="5">
        <v>2</v>
      </c>
      <c r="M146" s="5">
        <f t="shared" si="2"/>
        <v>2</v>
      </c>
      <c r="N146" s="5">
        <v>4</v>
      </c>
      <c r="O146" s="5">
        <v>4</v>
      </c>
      <c r="P146" s="1">
        <v>6</v>
      </c>
      <c r="Q146" s="1">
        <v>6</v>
      </c>
      <c r="R146" s="1">
        <v>6</v>
      </c>
      <c r="S146" s="69">
        <v>6</v>
      </c>
    </row>
    <row r="147" spans="2:21" x14ac:dyDescent="0.25">
      <c r="B147" s="120"/>
      <c r="C147" s="121"/>
      <c r="D147" s="121"/>
      <c r="E147" s="119"/>
      <c r="F147" s="119"/>
      <c r="G147" s="119"/>
      <c r="I147" s="71" t="s">
        <v>162</v>
      </c>
      <c r="J147" s="1">
        <v>250</v>
      </c>
      <c r="K147" s="1">
        <v>5.0000000000000001E-3</v>
      </c>
      <c r="L147" s="5">
        <v>2</v>
      </c>
      <c r="M147" s="5">
        <f t="shared" si="2"/>
        <v>2</v>
      </c>
      <c r="N147" s="5">
        <v>4</v>
      </c>
      <c r="O147" s="5">
        <v>4</v>
      </c>
      <c r="P147" s="1">
        <v>6</v>
      </c>
      <c r="Q147" s="1">
        <v>6</v>
      </c>
      <c r="R147" s="1">
        <v>6</v>
      </c>
      <c r="S147" s="69">
        <v>6</v>
      </c>
    </row>
    <row r="148" spans="2:21" x14ac:dyDescent="0.25">
      <c r="B148" s="120"/>
      <c r="C148" s="121"/>
      <c r="D148" s="121"/>
      <c r="E148" s="119"/>
      <c r="F148" s="119"/>
      <c r="G148" s="119"/>
      <c r="I148" s="71" t="s">
        <v>63</v>
      </c>
      <c r="J148" s="1">
        <v>650</v>
      </c>
      <c r="K148" s="1">
        <v>14</v>
      </c>
      <c r="L148" s="5">
        <f>J148/1000*K148</f>
        <v>9.1</v>
      </c>
      <c r="M148" s="5">
        <f t="shared" ref="M148:P157" si="3">L148</f>
        <v>9.1</v>
      </c>
      <c r="N148" s="5">
        <f>M148*2</f>
        <v>18.2</v>
      </c>
      <c r="O148" s="5">
        <f t="shared" ref="O148:S157" si="4">N148</f>
        <v>18.2</v>
      </c>
      <c r="P148" s="68">
        <f>L148*3</f>
        <v>27.299999999999997</v>
      </c>
      <c r="Q148" s="68">
        <f>M148*3</f>
        <v>27.299999999999997</v>
      </c>
      <c r="R148" s="68">
        <f>P148</f>
        <v>27.299999999999997</v>
      </c>
      <c r="S148" s="53">
        <f>P148</f>
        <v>27.299999999999997</v>
      </c>
    </row>
    <row r="149" spans="2:21" x14ac:dyDescent="0.25">
      <c r="B149" s="122"/>
      <c r="C149" s="122"/>
      <c r="D149" s="122"/>
      <c r="E149" s="122"/>
      <c r="F149" s="122"/>
      <c r="G149" s="122"/>
      <c r="I149" s="71" t="s">
        <v>157</v>
      </c>
      <c r="J149" s="1">
        <v>200</v>
      </c>
      <c r="K149" s="1">
        <v>30</v>
      </c>
      <c r="L149" s="5">
        <f>J149/1000*K149</f>
        <v>6</v>
      </c>
      <c r="M149" s="5">
        <f t="shared" si="3"/>
        <v>6</v>
      </c>
      <c r="N149" s="5">
        <f>M149</f>
        <v>6</v>
      </c>
      <c r="O149" s="5">
        <f t="shared" si="4"/>
        <v>6</v>
      </c>
      <c r="P149" s="1">
        <v>6</v>
      </c>
      <c r="Q149" s="1">
        <v>6</v>
      </c>
      <c r="R149" s="1">
        <v>6</v>
      </c>
      <c r="S149" s="69">
        <v>6</v>
      </c>
    </row>
    <row r="150" spans="2:21" x14ac:dyDescent="0.25">
      <c r="B150" s="122"/>
      <c r="C150" s="122"/>
      <c r="D150" s="122"/>
      <c r="E150" s="122"/>
      <c r="F150" s="122"/>
      <c r="G150" s="122"/>
      <c r="I150" s="71" t="s">
        <v>158</v>
      </c>
      <c r="J150" s="1">
        <v>250</v>
      </c>
      <c r="K150" s="1">
        <v>72</v>
      </c>
      <c r="L150" s="5">
        <f>J150/K150</f>
        <v>3.4722222222222223</v>
      </c>
      <c r="M150" s="68">
        <f t="shared" si="3"/>
        <v>3.4722222222222223</v>
      </c>
      <c r="N150" s="5">
        <f>L150*2</f>
        <v>6.9444444444444446</v>
      </c>
      <c r="O150" s="5">
        <f t="shared" si="4"/>
        <v>6.9444444444444446</v>
      </c>
      <c r="P150" s="68">
        <f>L150*3</f>
        <v>10.416666666666668</v>
      </c>
      <c r="Q150" s="68">
        <f>L150*3</f>
        <v>10.416666666666668</v>
      </c>
      <c r="R150" s="68">
        <f>L150*3</f>
        <v>10.416666666666668</v>
      </c>
      <c r="S150" s="68">
        <f>L150*3</f>
        <v>10.416666666666668</v>
      </c>
    </row>
    <row r="151" spans="2:21" x14ac:dyDescent="0.25">
      <c r="B151" s="122"/>
      <c r="C151" s="122"/>
      <c r="D151" s="122"/>
      <c r="E151" s="122"/>
      <c r="F151" s="122"/>
      <c r="G151" s="122"/>
      <c r="I151" s="71" t="s">
        <v>91</v>
      </c>
      <c r="J151" s="1">
        <v>50</v>
      </c>
      <c r="K151" s="1">
        <v>0.03</v>
      </c>
      <c r="L151" s="5">
        <v>3</v>
      </c>
      <c r="M151" s="68">
        <v>3</v>
      </c>
      <c r="N151" s="68">
        <v>3</v>
      </c>
      <c r="O151" s="68">
        <v>3</v>
      </c>
      <c r="P151" s="1">
        <v>3</v>
      </c>
      <c r="Q151" s="1">
        <v>3</v>
      </c>
      <c r="R151" s="1">
        <v>3</v>
      </c>
      <c r="S151" s="69">
        <v>3</v>
      </c>
    </row>
    <row r="152" spans="2:21" x14ac:dyDescent="0.25">
      <c r="B152" s="122"/>
      <c r="C152" s="122"/>
      <c r="D152" s="122"/>
      <c r="E152" s="122"/>
      <c r="F152" s="122"/>
      <c r="G152" s="122"/>
      <c r="I152" s="71" t="s">
        <v>77</v>
      </c>
      <c r="J152" s="1">
        <v>910</v>
      </c>
      <c r="K152" s="1">
        <v>30</v>
      </c>
      <c r="L152" s="5">
        <f>J152/1000*K152</f>
        <v>27.3</v>
      </c>
      <c r="M152" s="5">
        <f>J152/1000*K152</f>
        <v>27.3</v>
      </c>
      <c r="N152" s="68">
        <f>J152/1000*K152</f>
        <v>27.3</v>
      </c>
      <c r="O152" s="68">
        <f>J152/1000*K152</f>
        <v>27.3</v>
      </c>
      <c r="P152" s="1">
        <f>J152/1000*K152</f>
        <v>27.3</v>
      </c>
      <c r="Q152" s="1">
        <f>J152/1000*K152</f>
        <v>27.3</v>
      </c>
      <c r="R152" s="1">
        <f>J152/1000*K152</f>
        <v>27.3</v>
      </c>
      <c r="S152" s="69">
        <f>J152/1000*K152</f>
        <v>27.3</v>
      </c>
    </row>
    <row r="153" spans="2:21" x14ac:dyDescent="0.25">
      <c r="B153" s="122"/>
      <c r="C153" s="122"/>
      <c r="D153" s="122"/>
      <c r="E153" s="122"/>
      <c r="F153" s="122"/>
      <c r="G153" s="122"/>
      <c r="I153" s="71" t="s">
        <v>76</v>
      </c>
      <c r="J153" s="1">
        <v>1380</v>
      </c>
      <c r="K153" s="1">
        <v>15</v>
      </c>
      <c r="L153" s="5">
        <f>J153/1000*K153</f>
        <v>20.7</v>
      </c>
      <c r="M153" s="68">
        <f t="shared" si="3"/>
        <v>20.7</v>
      </c>
      <c r="N153" s="68">
        <f>L153*2</f>
        <v>41.4</v>
      </c>
      <c r="O153" s="68">
        <f t="shared" si="4"/>
        <v>41.4</v>
      </c>
      <c r="P153" s="68">
        <f t="shared" si="4"/>
        <v>41.4</v>
      </c>
      <c r="Q153" s="68">
        <f t="shared" si="4"/>
        <v>41.4</v>
      </c>
      <c r="R153" s="68">
        <f t="shared" si="4"/>
        <v>41.4</v>
      </c>
      <c r="S153" s="68">
        <f t="shared" si="4"/>
        <v>41.4</v>
      </c>
    </row>
    <row r="154" spans="2:21" x14ac:dyDescent="0.25">
      <c r="B154" s="122"/>
      <c r="C154" s="122"/>
      <c r="D154" s="122"/>
      <c r="E154" s="122"/>
      <c r="F154" s="122"/>
      <c r="G154" s="122"/>
      <c r="I154" s="71" t="s">
        <v>164</v>
      </c>
      <c r="J154" s="1">
        <v>910</v>
      </c>
      <c r="K154" s="1">
        <v>30</v>
      </c>
      <c r="L154" s="5">
        <f t="shared" ref="L154" si="5">J154/K154</f>
        <v>30.333333333333332</v>
      </c>
      <c r="M154" s="68">
        <f>L154</f>
        <v>30.333333333333332</v>
      </c>
      <c r="N154" s="68">
        <f t="shared" si="3"/>
        <v>30.333333333333332</v>
      </c>
      <c r="O154" s="68">
        <f t="shared" si="3"/>
        <v>30.333333333333332</v>
      </c>
      <c r="P154" s="68">
        <f t="shared" si="3"/>
        <v>30.333333333333332</v>
      </c>
      <c r="Q154" s="68">
        <f>L154</f>
        <v>30.333333333333332</v>
      </c>
      <c r="R154" s="68">
        <f>L154</f>
        <v>30.333333333333332</v>
      </c>
      <c r="S154" s="68">
        <f t="shared" ref="S154" si="6">R154</f>
        <v>30.333333333333332</v>
      </c>
    </row>
    <row r="155" spans="2:21" ht="16.5" thickBot="1" x14ac:dyDescent="0.3">
      <c r="I155" s="71" t="s">
        <v>163</v>
      </c>
      <c r="J155" s="1">
        <v>450</v>
      </c>
      <c r="K155" s="11">
        <v>1</v>
      </c>
      <c r="L155" s="5">
        <v>5</v>
      </c>
      <c r="M155" s="68">
        <v>5</v>
      </c>
      <c r="N155" s="68">
        <v>5</v>
      </c>
      <c r="O155" s="68">
        <v>5</v>
      </c>
      <c r="P155" s="1">
        <v>5</v>
      </c>
      <c r="Q155" s="1">
        <v>5</v>
      </c>
      <c r="R155" s="1">
        <v>5</v>
      </c>
      <c r="S155" s="69">
        <v>5</v>
      </c>
    </row>
    <row r="156" spans="2:21" x14ac:dyDescent="0.25">
      <c r="I156" s="72" t="s">
        <v>136</v>
      </c>
      <c r="J156" s="1">
        <v>100</v>
      </c>
      <c r="K156" s="1">
        <v>0.01</v>
      </c>
      <c r="L156" s="5">
        <v>3</v>
      </c>
      <c r="M156" s="68">
        <f t="shared" si="3"/>
        <v>3</v>
      </c>
      <c r="N156" s="68">
        <f>M156</f>
        <v>3</v>
      </c>
      <c r="O156" s="68">
        <f t="shared" si="4"/>
        <v>3</v>
      </c>
      <c r="P156" s="1">
        <v>3</v>
      </c>
      <c r="Q156" s="1">
        <v>3</v>
      </c>
      <c r="R156" s="1">
        <v>3</v>
      </c>
      <c r="S156" s="69">
        <v>3</v>
      </c>
    </row>
    <row r="157" spans="2:21" ht="16.5" thickBot="1" x14ac:dyDescent="0.3">
      <c r="I157" s="70" t="s">
        <v>192</v>
      </c>
      <c r="J157" s="11">
        <v>390</v>
      </c>
      <c r="K157" s="1">
        <v>0.05</v>
      </c>
      <c r="L157" s="5">
        <v>5</v>
      </c>
      <c r="M157" s="73">
        <f t="shared" si="3"/>
        <v>5</v>
      </c>
      <c r="N157" s="73">
        <f>M157</f>
        <v>5</v>
      </c>
      <c r="O157" s="73">
        <f t="shared" si="4"/>
        <v>5</v>
      </c>
      <c r="P157" s="11">
        <v>5</v>
      </c>
      <c r="Q157" s="11">
        <v>5</v>
      </c>
      <c r="R157" s="11">
        <v>5</v>
      </c>
      <c r="S157" s="74">
        <v>5</v>
      </c>
    </row>
    <row r="158" spans="2:21" x14ac:dyDescent="0.25">
      <c r="B158" s="64"/>
      <c r="C158" s="1">
        <v>100</v>
      </c>
      <c r="D158" s="1">
        <v>140</v>
      </c>
      <c r="E158" s="1">
        <v>200</v>
      </c>
      <c r="F158" s="1">
        <v>280</v>
      </c>
      <c r="I158" s="16"/>
      <c r="J158" s="51"/>
      <c r="K158" s="51"/>
      <c r="L158" s="51"/>
      <c r="M158" s="51"/>
      <c r="P158" s="16"/>
      <c r="Q158" s="51"/>
      <c r="R158" s="51"/>
      <c r="S158" s="51"/>
      <c r="T158" s="51"/>
    </row>
    <row r="159" spans="2:21" ht="16.5" thickBot="1" x14ac:dyDescent="0.3">
      <c r="B159" s="64" t="s">
        <v>5</v>
      </c>
      <c r="C159" s="1">
        <v>349.9</v>
      </c>
      <c r="D159" s="1">
        <f>C159+35</f>
        <v>384.9</v>
      </c>
      <c r="E159" s="1">
        <f>C159+70</f>
        <v>419.9</v>
      </c>
      <c r="F159" s="1">
        <f t="shared" ref="F159:F166" si="7">C159+105</f>
        <v>454.9</v>
      </c>
      <c r="I159" s="16"/>
      <c r="J159" s="51" t="s">
        <v>213</v>
      </c>
      <c r="K159" s="51" t="s">
        <v>212</v>
      </c>
      <c r="L159" s="51" t="s">
        <v>211</v>
      </c>
      <c r="M159" s="51" t="s">
        <v>210</v>
      </c>
      <c r="P159" s="16"/>
      <c r="Q159" s="51"/>
      <c r="R159" s="51"/>
      <c r="S159" s="51"/>
      <c r="T159" s="51"/>
      <c r="U159" t="s">
        <v>109</v>
      </c>
    </row>
    <row r="160" spans="2:21" ht="18.75" x14ac:dyDescent="0.3">
      <c r="B160" s="64" t="s">
        <v>7</v>
      </c>
      <c r="C160" s="1">
        <v>299.89999999999998</v>
      </c>
      <c r="D160" s="1">
        <f t="shared" ref="D160:D167" si="8">C160+35</f>
        <v>334.9</v>
      </c>
      <c r="E160" s="1">
        <f t="shared" ref="E160:E167" si="9">C160+70</f>
        <v>369.9</v>
      </c>
      <c r="F160" s="1">
        <f t="shared" si="7"/>
        <v>404.9</v>
      </c>
      <c r="I160" s="275" t="s">
        <v>360</v>
      </c>
      <c r="J160" s="276"/>
      <c r="K160" s="276"/>
      <c r="L160" s="276"/>
      <c r="M160" s="276"/>
      <c r="N160" s="276"/>
      <c r="O160" s="277"/>
      <c r="P160" s="16"/>
      <c r="Q160" s="51"/>
      <c r="R160" s="51"/>
      <c r="S160" s="51"/>
      <c r="T160" s="51"/>
      <c r="U160" t="s">
        <v>109</v>
      </c>
    </row>
    <row r="161" spans="2:21" ht="18.75" x14ac:dyDescent="0.3">
      <c r="B161" s="64" t="s">
        <v>6</v>
      </c>
      <c r="C161" s="1">
        <v>299.89999999999998</v>
      </c>
      <c r="D161" s="1">
        <f t="shared" si="8"/>
        <v>334.9</v>
      </c>
      <c r="E161" s="1">
        <f t="shared" si="9"/>
        <v>369.9</v>
      </c>
      <c r="F161" s="1">
        <f t="shared" si="7"/>
        <v>404.9</v>
      </c>
      <c r="I161" s="117" t="s">
        <v>217</v>
      </c>
      <c r="J161" s="115">
        <v>100</v>
      </c>
      <c r="K161" s="115">
        <v>140</v>
      </c>
      <c r="L161" s="115">
        <v>200</v>
      </c>
      <c r="M161" s="115">
        <v>280</v>
      </c>
      <c r="N161" s="115">
        <v>300</v>
      </c>
      <c r="O161" s="116">
        <v>420</v>
      </c>
      <c r="P161" s="16"/>
      <c r="Q161" s="51"/>
      <c r="R161" s="51"/>
      <c r="S161" s="51"/>
      <c r="T161" s="51"/>
      <c r="U161" t="s">
        <v>109</v>
      </c>
    </row>
    <row r="162" spans="2:21" x14ac:dyDescent="0.25">
      <c r="B162" s="64" t="s">
        <v>9</v>
      </c>
      <c r="C162" s="1">
        <v>304.89999999999998</v>
      </c>
      <c r="D162" s="1">
        <f t="shared" si="8"/>
        <v>339.9</v>
      </c>
      <c r="E162" s="1">
        <f t="shared" si="9"/>
        <v>374.9</v>
      </c>
      <c r="F162" s="1">
        <f t="shared" si="7"/>
        <v>409.9</v>
      </c>
      <c r="I162" s="108" t="s">
        <v>5</v>
      </c>
      <c r="J162" s="111">
        <f>'BURGERATOR ÜRÜN MALİYETİ'!E43</f>
        <v>163.57222222222222</v>
      </c>
      <c r="K162" s="111">
        <f>'BURGERATOR ÜRÜN MALİYETİ'!E116</f>
        <v>182.77222222222221</v>
      </c>
      <c r="L162" s="111">
        <f>'BURGERATOR ÜRÜN MALİYETİ'!E189</f>
        <v>235.74444444444444</v>
      </c>
      <c r="M162" s="111">
        <f>'BURGERATOR ÜRÜN MALİYETİ'!E262</f>
        <v>274.14444444444439</v>
      </c>
      <c r="N162" s="111">
        <f>'BURGERATOR ÜRÜN MALİYETİ'!E335</f>
        <v>307.91666666666663</v>
      </c>
      <c r="O162" s="113">
        <f>'BURGERATOR ÜRÜN MALİYETİ'!E408</f>
        <v>365.51666666666665</v>
      </c>
      <c r="P162" s="16"/>
      <c r="Q162" s="51"/>
      <c r="R162" s="51"/>
      <c r="S162" s="51"/>
      <c r="T162" s="51"/>
      <c r="U162" t="s">
        <v>109</v>
      </c>
    </row>
    <row r="163" spans="2:21" x14ac:dyDescent="0.25">
      <c r="B163" s="64" t="s">
        <v>10</v>
      </c>
      <c r="C163" s="1">
        <v>299.89999999999998</v>
      </c>
      <c r="D163" s="1">
        <f t="shared" si="8"/>
        <v>334.9</v>
      </c>
      <c r="E163" s="1">
        <f t="shared" si="9"/>
        <v>369.9</v>
      </c>
      <c r="F163" s="1">
        <f t="shared" si="7"/>
        <v>404.9</v>
      </c>
      <c r="I163" s="109" t="s">
        <v>7</v>
      </c>
      <c r="J163" s="111">
        <f>'BURGERATOR ÜRÜN MALİYETİ'!E67</f>
        <v>123.24444444444444</v>
      </c>
      <c r="K163" s="111">
        <f>'BURGERATOR ÜRÜN MALİYETİ'!E140</f>
        <v>142.44444444444443</v>
      </c>
      <c r="L163" s="111">
        <f>'BURGERATOR ÜRÜN MALİYETİ'!E213</f>
        <v>184.78888888888886</v>
      </c>
      <c r="M163" s="111">
        <f>'BURGERATOR ÜRÜN MALİYETİ'!E286</f>
        <v>223.18888888888884</v>
      </c>
      <c r="N163" s="111">
        <f>'BURGERATOR ÜRÜN MALİYETİ'!E359</f>
        <v>246.33333333333331</v>
      </c>
      <c r="O163" s="113">
        <f>'BURGERATOR ÜRÜN MALİYETİ'!E432</f>
        <v>303.93333333333334</v>
      </c>
      <c r="P163" s="16"/>
      <c r="Q163" s="51"/>
      <c r="R163" s="51"/>
      <c r="S163" s="51"/>
      <c r="T163" s="51"/>
      <c r="U163" t="s">
        <v>109</v>
      </c>
    </row>
    <row r="164" spans="2:21" x14ac:dyDescent="0.25">
      <c r="B164" s="64" t="s">
        <v>11</v>
      </c>
      <c r="C164" s="1">
        <v>304.89999999999998</v>
      </c>
      <c r="D164" s="1">
        <f t="shared" si="8"/>
        <v>339.9</v>
      </c>
      <c r="E164" s="1">
        <f t="shared" si="9"/>
        <v>374.9</v>
      </c>
      <c r="F164" s="1">
        <f t="shared" si="7"/>
        <v>409.9</v>
      </c>
      <c r="I164" s="109" t="s">
        <v>6</v>
      </c>
      <c r="J164" s="111">
        <f>'BURGERATOR ÜRÜN MALİYETİ'!E51</f>
        <v>124.74444444444444</v>
      </c>
      <c r="K164" s="111">
        <f>'BURGERATOR ÜRÜN MALİYETİ'!E124</f>
        <v>143.94444444444443</v>
      </c>
      <c r="L164" s="111">
        <f>'BURGERATOR ÜRÜN MALİYETİ'!E197</f>
        <v>186.28888888888886</v>
      </c>
      <c r="M164" s="111">
        <f>'BURGERATOR ÜRÜN MALİYETİ'!E270</f>
        <v>224.68888888888884</v>
      </c>
      <c r="N164" s="111">
        <f>'BURGERATOR ÜRÜN MALİYETİ'!E343</f>
        <v>247.83333333333331</v>
      </c>
      <c r="O164" s="113">
        <f>'BURGERATOR ÜRÜN MALİYETİ'!E416</f>
        <v>305.43333333333334</v>
      </c>
      <c r="P164" s="107"/>
      <c r="Q164" s="51"/>
      <c r="R164" s="51"/>
      <c r="S164" s="51"/>
      <c r="T164" s="51"/>
      <c r="U164" t="s">
        <v>109</v>
      </c>
    </row>
    <row r="165" spans="2:21" x14ac:dyDescent="0.25">
      <c r="B165" s="64" t="s">
        <v>13</v>
      </c>
      <c r="C165" s="1">
        <v>304.89999999999998</v>
      </c>
      <c r="D165" s="1">
        <f t="shared" si="8"/>
        <v>339.9</v>
      </c>
      <c r="E165" s="1">
        <f t="shared" si="9"/>
        <v>374.9</v>
      </c>
      <c r="F165" s="1">
        <f t="shared" si="7"/>
        <v>409.9</v>
      </c>
      <c r="I165" s="108" t="s">
        <v>9</v>
      </c>
      <c r="J165" s="111">
        <f>'BURGERATOR ÜRÜN MALİYETİ'!E2</f>
        <v>124.74444444444444</v>
      </c>
      <c r="K165" s="111">
        <f>'BURGERATOR ÜRÜN MALİYETİ'!E75</f>
        <v>143.94444444444443</v>
      </c>
      <c r="L165" s="111">
        <f>'BURGERATOR ÜRÜN MALİYETİ'!E148</f>
        <v>186.28888888888886</v>
      </c>
      <c r="M165" s="111">
        <f>'BURGERATOR ÜRÜN MALİYETİ'!E221</f>
        <v>224.68888888888884</v>
      </c>
      <c r="N165" s="111">
        <f>'BURGERATOR ÜRÜN MALİYETİ'!E294</f>
        <v>247.83333333333331</v>
      </c>
      <c r="O165" s="113">
        <f>'BURGERATOR ÜRÜN MALİYETİ'!E367</f>
        <v>305.43333333333334</v>
      </c>
      <c r="P165" s="107"/>
      <c r="Q165" s="51"/>
      <c r="R165" s="51"/>
      <c r="S165" s="51"/>
      <c r="T165" s="51"/>
      <c r="U165" t="s">
        <v>109</v>
      </c>
    </row>
    <row r="166" spans="2:21" x14ac:dyDescent="0.25">
      <c r="B166" s="64" t="s">
        <v>18</v>
      </c>
      <c r="C166" s="1">
        <v>349.9</v>
      </c>
      <c r="D166" s="1">
        <f t="shared" si="8"/>
        <v>384.9</v>
      </c>
      <c r="E166" s="1">
        <f t="shared" si="9"/>
        <v>419.9</v>
      </c>
      <c r="F166" s="1">
        <f t="shared" si="7"/>
        <v>454.9</v>
      </c>
      <c r="I166" s="108" t="s">
        <v>10</v>
      </c>
      <c r="J166" s="111">
        <f>'BURGERATOR ÜRÜN MALİYETİ'!E35</f>
        <v>123.24444444444444</v>
      </c>
      <c r="K166" s="111">
        <f>'BURGERATOR ÜRÜN MALİYETİ'!E108</f>
        <v>142.44444444444443</v>
      </c>
      <c r="L166" s="111">
        <f>'BURGERATOR ÜRÜN MALİYETİ'!E181</f>
        <v>184.78888888888886</v>
      </c>
      <c r="M166" s="111">
        <f>'BURGERATOR ÜRÜN MALİYETİ'!E254</f>
        <v>223.18888888888884</v>
      </c>
      <c r="N166" s="111">
        <f>'BURGERATOR ÜRÜN MALİYETİ'!E327</f>
        <v>246.33333333333331</v>
      </c>
      <c r="O166" s="113">
        <f>'BURGERATOR ÜRÜN MALİYETİ'!E400</f>
        <v>303.93333333333334</v>
      </c>
      <c r="P166" s="107"/>
      <c r="Q166" s="51"/>
      <c r="R166" s="51"/>
      <c r="S166" s="51"/>
      <c r="T166" s="51"/>
      <c r="U166" t="s">
        <v>109</v>
      </c>
    </row>
    <row r="167" spans="2:21" x14ac:dyDescent="0.25">
      <c r="B167" s="64" t="s">
        <v>135</v>
      </c>
      <c r="C167" s="1">
        <v>304.89999999999998</v>
      </c>
      <c r="D167" s="1">
        <f t="shared" si="8"/>
        <v>339.9</v>
      </c>
      <c r="E167" s="1">
        <f t="shared" si="9"/>
        <v>374.9</v>
      </c>
      <c r="F167" s="1">
        <f>C167+105</f>
        <v>409.9</v>
      </c>
      <c r="I167" s="108" t="s">
        <v>11</v>
      </c>
      <c r="J167" s="111">
        <f>'BURGERATOR ÜRÜN MALİYETİ'!E27</f>
        <v>126.24444444444444</v>
      </c>
      <c r="K167" s="111">
        <f>'BURGERATOR ÜRÜN MALİYETİ'!E100</f>
        <v>145.44444444444443</v>
      </c>
      <c r="L167" s="111">
        <f>'BURGERATOR ÜRÜN MALİYETİ'!E173</f>
        <v>187.78888888888886</v>
      </c>
      <c r="M167" s="111">
        <f>'BURGERATOR ÜRÜN MALİYETİ'!E246</f>
        <v>226.18888888888884</v>
      </c>
      <c r="N167" s="111">
        <f>'BURGERATOR ÜRÜN MALİYETİ'!E319</f>
        <v>249.33333333333331</v>
      </c>
      <c r="O167" s="113">
        <f>'BURGERATOR ÜRÜN MALİYETİ'!E392</f>
        <v>306.93333333333334</v>
      </c>
      <c r="P167" s="107"/>
      <c r="Q167" s="51"/>
      <c r="R167" s="51"/>
      <c r="S167" s="51"/>
      <c r="T167" s="51"/>
      <c r="U167" t="s">
        <v>109</v>
      </c>
    </row>
    <row r="168" spans="2:21" x14ac:dyDescent="0.25">
      <c r="B168" s="64"/>
      <c r="C168" s="1">
        <v>300</v>
      </c>
      <c r="D168" s="1">
        <v>340</v>
      </c>
      <c r="E168" s="1">
        <v>380</v>
      </c>
      <c r="F168" s="1">
        <v>420</v>
      </c>
      <c r="I168" s="109" t="s">
        <v>13</v>
      </c>
      <c r="J168" s="111">
        <f>'BURGERATOR ÜRÜN MALİYETİ'!E59</f>
        <v>129.64444444444445</v>
      </c>
      <c r="K168" s="111">
        <f>'BURGERATOR ÜRÜN MALİYETİ'!E132</f>
        <v>148.84444444444443</v>
      </c>
      <c r="L168" s="111">
        <f>'BURGERATOR ÜRÜN MALİYETİ'!E205</f>
        <v>196.08888888888887</v>
      </c>
      <c r="M168" s="111">
        <f>'BURGERATOR ÜRÜN MALİYETİ'!E278</f>
        <v>234.48888888888885</v>
      </c>
      <c r="N168" s="111">
        <f>'BURGERATOR ÜRÜN MALİYETİ'!E351</f>
        <v>262.5333333333333</v>
      </c>
      <c r="O168" s="113">
        <f>'BURGERATOR ÜRÜN MALİYETİ'!E424</f>
        <v>320.13333333333338</v>
      </c>
      <c r="P168" s="107"/>
      <c r="Q168" s="51"/>
      <c r="R168" s="51"/>
      <c r="S168" s="51"/>
      <c r="T168" s="51"/>
      <c r="U168" t="s">
        <v>109</v>
      </c>
    </row>
    <row r="169" spans="2:21" x14ac:dyDescent="0.25">
      <c r="B169" s="64" t="s">
        <v>19</v>
      </c>
      <c r="C169" s="1">
        <v>449.9</v>
      </c>
      <c r="D169" s="1">
        <f t="shared" ref="D169" si="10">C169+35</f>
        <v>484.9</v>
      </c>
      <c r="E169" s="1">
        <f t="shared" ref="E169" si="11">C169+70</f>
        <v>519.9</v>
      </c>
      <c r="F169" s="1">
        <f>C169+105</f>
        <v>554.9</v>
      </c>
      <c r="I169" s="108" t="s">
        <v>18</v>
      </c>
      <c r="J169" s="111">
        <f>'BURGERATOR ÜRÜN MALİYETİ'!E19</f>
        <v>147.97777777777776</v>
      </c>
      <c r="K169" s="111">
        <f>'BURGERATOR ÜRÜN MALİYETİ'!E92</f>
        <v>167.17777777777775</v>
      </c>
      <c r="L169" s="111">
        <f>'BURGERATOR ÜRÜN MALİYETİ'!E165</f>
        <v>200.42222222222222</v>
      </c>
      <c r="M169" s="111">
        <f>'BURGERATOR ÜRÜN MALİYETİ'!E238</f>
        <v>238.82222222222219</v>
      </c>
      <c r="N169" s="111">
        <f>'BURGERATOR ÜRÜN MALİYETİ'!E311</f>
        <v>252.86666666666667</v>
      </c>
      <c r="O169" s="113">
        <f>'BURGERATOR ÜRÜN MALİYETİ'!E384</f>
        <v>310.4666666666667</v>
      </c>
      <c r="P169" s="66"/>
      <c r="Q169" s="51"/>
      <c r="R169" s="51"/>
      <c r="S169" s="51"/>
      <c r="T169" s="51"/>
    </row>
    <row r="170" spans="2:21" ht="16.5" thickBot="1" x14ac:dyDescent="0.3">
      <c r="I170" s="110" t="s">
        <v>135</v>
      </c>
      <c r="J170" s="112">
        <f>'BURGERATOR ÜRÜN MALİYETİ'!E10</f>
        <v>131.74444444444444</v>
      </c>
      <c r="K170" s="112">
        <f>'BURGERATOR ÜRÜN MALİYETİ'!E83</f>
        <v>150.94444444444443</v>
      </c>
      <c r="L170" s="112">
        <f>'BURGERATOR ÜRÜN MALİYETİ'!E156</f>
        <v>193.28888888888886</v>
      </c>
      <c r="M170" s="112">
        <f>'BURGERATOR ÜRÜN MALİYETİ'!E229</f>
        <v>231.68888888888884</v>
      </c>
      <c r="N170" s="112">
        <f>'BURGERATOR ÜRÜN MALİYETİ'!E302</f>
        <v>254.83333333333331</v>
      </c>
      <c r="O170" s="114">
        <f>'BURGERATOR ÜRÜN MALİYETİ'!E375</f>
        <v>312.43333333333334</v>
      </c>
    </row>
    <row r="171" spans="2:21" x14ac:dyDescent="0.25">
      <c r="I171" s="225" t="s">
        <v>358</v>
      </c>
      <c r="J171" s="231">
        <f>'BURGERATOR ÜRÜN MALİYETİ'!E440</f>
        <v>98.844444444444434</v>
      </c>
      <c r="K171" s="231"/>
      <c r="L171" s="231"/>
      <c r="M171" s="231"/>
      <c r="N171" s="231"/>
      <c r="O171" s="231"/>
    </row>
    <row r="172" spans="2:21" x14ac:dyDescent="0.25">
      <c r="I172" s="225" t="s">
        <v>359</v>
      </c>
      <c r="J172" s="231">
        <f>'BURGERATOR ÜRÜN MALİYETİ'!E447</f>
        <v>106.84444444444443</v>
      </c>
      <c r="K172" s="231"/>
      <c r="L172" s="231"/>
      <c r="M172" s="231"/>
      <c r="N172" s="231"/>
      <c r="O172" s="231"/>
    </row>
    <row r="173" spans="2:21" x14ac:dyDescent="0.25">
      <c r="I173" s="225" t="s">
        <v>357</v>
      </c>
      <c r="J173" s="231">
        <f>'BURGERATOR ÜRÜN MALİYETİ'!E456</f>
        <v>104.84444444444443</v>
      </c>
      <c r="K173" s="231"/>
      <c r="L173" s="231"/>
      <c r="M173" s="231"/>
      <c r="N173" s="231"/>
      <c r="O173" s="231"/>
    </row>
    <row r="174" spans="2:21" x14ac:dyDescent="0.25">
      <c r="I174" t="s">
        <v>355</v>
      </c>
      <c r="J174" s="231">
        <f>'BURGERATOR ÜRÜN MALİYETİ'!E465</f>
        <v>105.84444444444443</v>
      </c>
      <c r="K174" s="231"/>
      <c r="L174" s="231"/>
      <c r="M174" s="231"/>
      <c r="N174" s="231"/>
      <c r="O174" s="231"/>
    </row>
    <row r="175" spans="2:21" x14ac:dyDescent="0.25">
      <c r="I175" t="s">
        <v>356</v>
      </c>
      <c r="J175" s="231">
        <f>'BURGERATOR ÜRÜN MALİYETİ'!E473</f>
        <v>104.84444444444443</v>
      </c>
      <c r="K175" s="231"/>
      <c r="L175" s="231"/>
      <c r="M175" s="231"/>
      <c r="N175" s="231"/>
      <c r="O175" s="231"/>
    </row>
    <row r="176" spans="2:21" x14ac:dyDescent="0.25">
      <c r="I176" t="s">
        <v>207</v>
      </c>
      <c r="J176">
        <v>2</v>
      </c>
    </row>
    <row r="177" spans="9:15" x14ac:dyDescent="0.25">
      <c r="I177" t="s">
        <v>206</v>
      </c>
      <c r="J177">
        <v>2</v>
      </c>
    </row>
    <row r="178" spans="9:15" x14ac:dyDescent="0.25">
      <c r="I178" t="s">
        <v>202</v>
      </c>
      <c r="J178">
        <v>2</v>
      </c>
    </row>
    <row r="179" spans="9:15" x14ac:dyDescent="0.25">
      <c r="I179" t="s">
        <v>364</v>
      </c>
      <c r="J179">
        <v>2</v>
      </c>
    </row>
    <row r="180" spans="9:15" x14ac:dyDescent="0.25">
      <c r="I180" t="s">
        <v>202</v>
      </c>
      <c r="J180">
        <v>2</v>
      </c>
    </row>
    <row r="181" spans="9:15" x14ac:dyDescent="0.25">
      <c r="I181" t="s">
        <v>289</v>
      </c>
      <c r="J181">
        <v>21</v>
      </c>
    </row>
    <row r="182" spans="9:15" x14ac:dyDescent="0.25">
      <c r="I182" t="s">
        <v>290</v>
      </c>
      <c r="J182">
        <v>5</v>
      </c>
    </row>
    <row r="183" spans="9:15" x14ac:dyDescent="0.25">
      <c r="I183" t="s">
        <v>288</v>
      </c>
      <c r="J183">
        <v>3</v>
      </c>
      <c r="N183" s="2"/>
      <c r="O183" s="2"/>
    </row>
    <row r="184" spans="9:15" x14ac:dyDescent="0.25">
      <c r="I184" t="s">
        <v>231</v>
      </c>
      <c r="J184">
        <v>2</v>
      </c>
      <c r="N184" s="2"/>
      <c r="O184" s="2"/>
    </row>
    <row r="185" spans="9:15" x14ac:dyDescent="0.25">
      <c r="I185" t="s">
        <v>287</v>
      </c>
      <c r="J185">
        <v>5</v>
      </c>
      <c r="N185" s="2"/>
      <c r="O185" s="2"/>
    </row>
    <row r="186" spans="9:15" x14ac:dyDescent="0.25">
      <c r="I186" t="s">
        <v>232</v>
      </c>
      <c r="J186">
        <v>21</v>
      </c>
      <c r="N186" s="2"/>
      <c r="O186" s="2"/>
    </row>
    <row r="187" spans="9:15" x14ac:dyDescent="0.25">
      <c r="I187" t="s">
        <v>233</v>
      </c>
      <c r="J187">
        <v>21</v>
      </c>
      <c r="N187" s="2"/>
      <c r="O187" s="2"/>
    </row>
    <row r="188" spans="9:15" x14ac:dyDescent="0.25">
      <c r="I188" t="s">
        <v>230</v>
      </c>
      <c r="J188">
        <v>32</v>
      </c>
      <c r="N188" s="2"/>
      <c r="O188" s="2"/>
    </row>
    <row r="189" spans="9:15" x14ac:dyDescent="0.25">
      <c r="I189" t="s">
        <v>12</v>
      </c>
      <c r="J189">
        <v>12</v>
      </c>
      <c r="N189" s="2"/>
      <c r="O189" s="2"/>
    </row>
    <row r="190" spans="9:15" x14ac:dyDescent="0.25">
      <c r="I190" t="s">
        <v>8</v>
      </c>
      <c r="J190">
        <v>20</v>
      </c>
      <c r="N190" s="2"/>
      <c r="O190" s="2"/>
    </row>
    <row r="191" spans="9:15" x14ac:dyDescent="0.25">
      <c r="I191" t="s">
        <v>288</v>
      </c>
      <c r="J191">
        <v>2</v>
      </c>
      <c r="N191" s="2"/>
      <c r="O191" s="2"/>
    </row>
    <row r="192" spans="9:15" x14ac:dyDescent="0.25">
      <c r="I192" t="s">
        <v>285</v>
      </c>
      <c r="J192">
        <v>2</v>
      </c>
    </row>
    <row r="193" spans="1:10" x14ac:dyDescent="0.25">
      <c r="B193" s="16"/>
      <c r="C193" s="51"/>
      <c r="D193" s="51"/>
      <c r="E193" s="51"/>
      <c r="F193" s="51"/>
      <c r="I193" t="s">
        <v>286</v>
      </c>
      <c r="J193">
        <v>4</v>
      </c>
    </row>
    <row r="194" spans="1:10" x14ac:dyDescent="0.25">
      <c r="B194" s="16"/>
      <c r="C194" s="51"/>
      <c r="D194" s="51"/>
      <c r="E194" s="51"/>
      <c r="F194" s="51"/>
    </row>
    <row r="195" spans="1:10" x14ac:dyDescent="0.25">
      <c r="B195" s="16"/>
      <c r="C195" s="51"/>
      <c r="D195" s="51"/>
      <c r="E195" s="51"/>
      <c r="F195" s="51"/>
    </row>
    <row r="196" spans="1:10" x14ac:dyDescent="0.25">
      <c r="B196" s="16"/>
      <c r="C196" s="51"/>
      <c r="D196" s="51"/>
      <c r="E196" s="51"/>
      <c r="F196" s="51"/>
    </row>
    <row r="197" spans="1:10" x14ac:dyDescent="0.25">
      <c r="A197" s="225" t="s">
        <v>345</v>
      </c>
      <c r="B197" s="225">
        <v>160</v>
      </c>
      <c r="C197" s="171" t="s">
        <v>62</v>
      </c>
      <c r="D197" s="172">
        <f>IFERROR(VLOOKUP(C197,'BURGERATOR ÜRÜN İÇERİK'!$A$1:$D$42,4,),"")</f>
        <v>11</v>
      </c>
      <c r="E197" s="177">
        <f>SUM(D197:D197)</f>
        <v>11</v>
      </c>
      <c r="F197" s="51"/>
    </row>
    <row r="198" spans="1:10" x14ac:dyDescent="0.25">
      <c r="A198" s="225" t="s">
        <v>348</v>
      </c>
      <c r="B198" s="225">
        <v>160</v>
      </c>
      <c r="C198" s="171" t="s">
        <v>62</v>
      </c>
      <c r="D198" s="172">
        <f>IFERROR(VLOOKUP(C198,'BURGERATOR ÜRÜN İÇERİK'!$A$1:$D$42,4,),"")</f>
        <v>11</v>
      </c>
      <c r="E198" s="177">
        <f>SUM(D198:D198)</f>
        <v>11</v>
      </c>
    </row>
    <row r="199" spans="1:10" x14ac:dyDescent="0.25">
      <c r="A199" s="225" t="s">
        <v>351</v>
      </c>
      <c r="B199" s="225">
        <v>160</v>
      </c>
      <c r="C199" s="171" t="s">
        <v>62</v>
      </c>
      <c r="D199" s="172">
        <f>IFERROR(VLOOKUP(C199,'BURGERATOR ÜRÜN İÇERİK'!$A$1:$D$42,4,),"")</f>
        <v>11</v>
      </c>
      <c r="E199" s="177">
        <f>SUM(D199:D199)</f>
        <v>11</v>
      </c>
    </row>
    <row r="200" spans="1:10" x14ac:dyDescent="0.25">
      <c r="A200" s="225" t="s">
        <v>353</v>
      </c>
      <c r="B200" s="225">
        <v>160</v>
      </c>
      <c r="C200" s="171" t="s">
        <v>62</v>
      </c>
      <c r="D200" s="172">
        <f>IFERROR(VLOOKUP(C200,'BURGERATOR ÜRÜN İÇERİK'!$A$1:$D$42,4,),"")</f>
        <v>11</v>
      </c>
      <c r="E200" s="177">
        <f>SUM(D200:D200)</f>
        <v>11</v>
      </c>
    </row>
    <row r="201" spans="1:10" x14ac:dyDescent="0.25">
      <c r="A201" s="225" t="s">
        <v>354</v>
      </c>
      <c r="B201" s="225">
        <v>160</v>
      </c>
      <c r="C201" s="171" t="s">
        <v>62</v>
      </c>
      <c r="D201" s="172">
        <f>IFERROR(VLOOKUP(C201,'BURGERATOR ÜRÜN İÇERİK'!$A$1:$D$42,4,),"")</f>
        <v>11</v>
      </c>
      <c r="E201" s="177">
        <f>SUM(D201:D201)</f>
        <v>11</v>
      </c>
    </row>
  </sheetData>
  <protectedRanges>
    <protectedRange algorithmName="SHA-512" hashValue="4JV879fsajUdJmWD2oA3Kv7fijDg7upzgAsMBCq+voODYfWm+XCEnDUlT/UA99wQ3dJSpLAZuePRu9PvPUoWfQ==" saltValue="lFG6bHMMuTuwTq9RfgCOmA==" spinCount="100000" sqref="I174" name="Aralık1_1"/>
    <protectedRange algorithmName="SHA-512" hashValue="4JV879fsajUdJmWD2oA3Kv7fijDg7upzgAsMBCq+voODYfWm+XCEnDUlT/UA99wQ3dJSpLAZuePRu9PvPUoWfQ==" saltValue="lFG6bHMMuTuwTq9RfgCOmA==" spinCount="100000" sqref="I175" name="Aralık1_2"/>
  </protectedRanges>
  <mergeCells count="3">
    <mergeCell ref="B133:G133"/>
    <mergeCell ref="I134:S134"/>
    <mergeCell ref="I160:O160"/>
  </mergeCells>
  <pageMargins left="0.7" right="0.7" top="0.75" bottom="0.75" header="0.3" footer="0.3"/>
  <pageSetup paperSize="9" orientation="portrait" r:id="rId1"/>
  <ignoredErrors>
    <ignoredError sqref="G8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4A4CAE-5864-4965-A52A-2D6C0DE44EEE}">
          <x14:formula1>
            <xm:f>'BURGERATOR ÜRÜN İÇERİK'!$A$2:$A$31</xm:f>
          </x14:formula1>
          <xm:sqref>C197:C201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53E9-33E1-4DB9-B847-F10C2577232A}">
  <dimension ref="A1:F883"/>
  <sheetViews>
    <sheetView workbookViewId="0">
      <selection activeCell="C3" sqref="C3"/>
    </sheetView>
  </sheetViews>
  <sheetFormatPr defaultRowHeight="15" x14ac:dyDescent="0.25"/>
  <cols>
    <col min="1" max="1" width="21.625" style="173" bestFit="1" customWidth="1"/>
    <col min="2" max="2" width="7.625" style="173" bestFit="1" customWidth="1"/>
    <col min="3" max="3" width="14.375" style="174" bestFit="1" customWidth="1"/>
    <col min="4" max="4" width="9.125" style="175" bestFit="1" customWidth="1"/>
    <col min="5" max="5" width="11.5" style="176" bestFit="1" customWidth="1"/>
    <col min="6" max="16384" width="9" style="166"/>
  </cols>
  <sheetData>
    <row r="1" spans="1:6" x14ac:dyDescent="0.25">
      <c r="A1" s="167" t="s">
        <v>293</v>
      </c>
      <c r="B1" s="167" t="s">
        <v>294</v>
      </c>
      <c r="C1" s="168" t="s">
        <v>295</v>
      </c>
      <c r="D1" s="169" t="s">
        <v>296</v>
      </c>
      <c r="E1" s="170" t="s">
        <v>73</v>
      </c>
    </row>
    <row r="2" spans="1:6" x14ac:dyDescent="0.25">
      <c r="A2" s="278" t="s">
        <v>9</v>
      </c>
      <c r="B2" s="278">
        <v>100</v>
      </c>
      <c r="C2" s="171" t="s">
        <v>62</v>
      </c>
      <c r="D2" s="172">
        <f>IFERROR(VLOOKUP(C2,'BURGERATOR ÜRÜN İÇERİK'!$A$1:$D$42,4,),"")</f>
        <v>11</v>
      </c>
      <c r="E2" s="180">
        <f>SUM(D2:D9)</f>
        <v>124.74444444444444</v>
      </c>
      <c r="F2" s="279"/>
    </row>
    <row r="3" spans="1:6" x14ac:dyDescent="0.25">
      <c r="A3" s="278"/>
      <c r="B3" s="278"/>
      <c r="C3" s="171" t="s">
        <v>154</v>
      </c>
      <c r="D3" s="172">
        <f>IFERROR(VLOOKUP(C3,'BURGERATOR ÜRÜN İÇERİK'!$A$1:$D$42,4,),"")</f>
        <v>3</v>
      </c>
      <c r="E3" s="181"/>
      <c r="F3" s="279"/>
    </row>
    <row r="4" spans="1:6" x14ac:dyDescent="0.25">
      <c r="A4" s="278"/>
      <c r="B4" s="278"/>
      <c r="C4" s="171" t="s">
        <v>65</v>
      </c>
      <c r="D4" s="172">
        <f>IFERROR(VLOOKUP(C4,'BURGERATOR ÜRÜN İÇERİK'!$A$1:$D$42,4,),"")</f>
        <v>48</v>
      </c>
      <c r="E4" s="181"/>
      <c r="F4" s="279"/>
    </row>
    <row r="5" spans="1:6" x14ac:dyDescent="0.25">
      <c r="A5" s="278"/>
      <c r="B5" s="278"/>
      <c r="C5" s="171" t="s">
        <v>60</v>
      </c>
      <c r="D5" s="172">
        <f>IFERROR(VLOOKUP(C5,'BURGERATOR ÜRÜN İÇERİK'!$A$1:$D$42,4,),"")</f>
        <v>4.4444444444444446</v>
      </c>
      <c r="E5" s="181"/>
      <c r="F5" s="279"/>
    </row>
    <row r="6" spans="1:6" x14ac:dyDescent="0.25">
      <c r="A6" s="278"/>
      <c r="B6" s="278"/>
      <c r="C6" s="171" t="s">
        <v>63</v>
      </c>
      <c r="D6" s="172">
        <f>IFERROR(VLOOKUP(C6,'BURGERATOR ÜRÜN İÇERİK'!$A$1:$D$42,4,),"")</f>
        <v>9.1</v>
      </c>
      <c r="E6" s="181"/>
      <c r="F6" s="279"/>
    </row>
    <row r="7" spans="1:6" x14ac:dyDescent="0.25">
      <c r="A7" s="278"/>
      <c r="B7" s="278"/>
      <c r="C7" s="171" t="s">
        <v>162</v>
      </c>
      <c r="D7" s="172">
        <f>IFERROR(VLOOKUP(C7,'BURGERATOR ÜRÜN İÇERİK'!$A$1:$D$42,4,),"")</f>
        <v>3</v>
      </c>
      <c r="E7" s="181"/>
      <c r="F7" s="279"/>
    </row>
    <row r="8" spans="1:6" x14ac:dyDescent="0.25">
      <c r="A8" s="278"/>
      <c r="B8" s="278"/>
      <c r="C8" s="171" t="s">
        <v>24</v>
      </c>
      <c r="D8" s="172">
        <f>IFERROR(VLOOKUP(C8,'BURGERATOR ÜRÜN İÇERİK'!$A$1:$D$42,4,),"")</f>
        <v>19.2</v>
      </c>
      <c r="E8" s="181"/>
      <c r="F8" s="279"/>
    </row>
    <row r="9" spans="1:6" x14ac:dyDescent="0.25">
      <c r="A9" s="278"/>
      <c r="B9" s="278"/>
      <c r="C9" s="171" t="s">
        <v>70</v>
      </c>
      <c r="D9" s="172">
        <f>IFERROR(VLOOKUP(C9,'BURGERATOR ÜRÜN İÇERİK'!$A$1:$D$42,4,),"")</f>
        <v>27</v>
      </c>
      <c r="E9" s="182"/>
      <c r="F9" s="279"/>
    </row>
    <row r="10" spans="1:6" x14ac:dyDescent="0.25">
      <c r="A10" s="278" t="s">
        <v>135</v>
      </c>
      <c r="B10" s="278">
        <v>100</v>
      </c>
      <c r="C10" s="171" t="s">
        <v>62</v>
      </c>
      <c r="D10" s="172">
        <f>IFERROR(VLOOKUP(C10,'BURGERATOR ÜRÜN İÇERİK'!$A$1:$D$42,4,),"")</f>
        <v>11</v>
      </c>
      <c r="E10" s="177">
        <f>SUM(D10:D18)</f>
        <v>131.74444444444444</v>
      </c>
    </row>
    <row r="11" spans="1:6" x14ac:dyDescent="0.25">
      <c r="A11" s="278"/>
      <c r="B11" s="278"/>
      <c r="C11" s="171" t="s">
        <v>163</v>
      </c>
      <c r="D11" s="172">
        <f>IFERROR(VLOOKUP(C11,'BURGERATOR ÜRÜN İÇERİK'!$A$1:$D$42,4,),"")</f>
        <v>5</v>
      </c>
      <c r="E11" s="177"/>
    </row>
    <row r="12" spans="1:6" x14ac:dyDescent="0.25">
      <c r="A12" s="278"/>
      <c r="B12" s="278"/>
      <c r="C12" s="171" t="s">
        <v>65</v>
      </c>
      <c r="D12" s="172">
        <f>IFERROR(VLOOKUP(C12,'BURGERATOR ÜRÜN İÇERİK'!$A$1:$D$42,4,),"")</f>
        <v>48</v>
      </c>
      <c r="E12" s="177"/>
    </row>
    <row r="13" spans="1:6" x14ac:dyDescent="0.25">
      <c r="A13" s="278"/>
      <c r="B13" s="278"/>
      <c r="C13" s="171" t="s">
        <v>60</v>
      </c>
      <c r="D13" s="172">
        <f>IFERROR(VLOOKUP(C13,'BURGERATOR ÜRÜN İÇERİK'!$A$1:$D$42,4,),"")</f>
        <v>4.4444444444444446</v>
      </c>
      <c r="E13" s="177"/>
    </row>
    <row r="14" spans="1:6" x14ac:dyDescent="0.25">
      <c r="A14" s="278"/>
      <c r="B14" s="278"/>
      <c r="C14" s="171" t="s">
        <v>63</v>
      </c>
      <c r="D14" s="172">
        <f>IFERROR(VLOOKUP(C14,'BURGERATOR ÜRÜN İÇERİK'!$A$1:$D$42,4,),"")</f>
        <v>9.1</v>
      </c>
      <c r="E14" s="177"/>
    </row>
    <row r="15" spans="1:6" x14ac:dyDescent="0.25">
      <c r="A15" s="278"/>
      <c r="B15" s="278"/>
      <c r="C15" s="171" t="s">
        <v>136</v>
      </c>
      <c r="D15" s="172">
        <f>IFERROR(VLOOKUP(C15,'BURGERATOR ÜRÜN İÇERİK'!$A$1:$D$42,4,),"")</f>
        <v>3</v>
      </c>
      <c r="E15" s="177"/>
    </row>
    <row r="16" spans="1:6" x14ac:dyDescent="0.25">
      <c r="A16" s="278"/>
      <c r="B16" s="278"/>
      <c r="C16" s="171" t="s">
        <v>192</v>
      </c>
      <c r="D16" s="172">
        <f>IFERROR(VLOOKUP(C16,'BURGERATOR ÜRÜN İÇERİK'!$A$1:$D$42,4,),"")</f>
        <v>5</v>
      </c>
      <c r="E16" s="177"/>
    </row>
    <row r="17" spans="1:5" x14ac:dyDescent="0.25">
      <c r="A17" s="278"/>
      <c r="B17" s="278"/>
      <c r="C17" s="171" t="s">
        <v>24</v>
      </c>
      <c r="D17" s="172">
        <f>IFERROR(VLOOKUP(C17,'BURGERATOR ÜRÜN İÇERİK'!$A$1:$D$42,4,),"")</f>
        <v>19.2</v>
      </c>
      <c r="E17" s="177"/>
    </row>
    <row r="18" spans="1:5" x14ac:dyDescent="0.25">
      <c r="A18" s="278"/>
      <c r="B18" s="278"/>
      <c r="C18" s="171" t="s">
        <v>70</v>
      </c>
      <c r="D18" s="172">
        <f>IFERROR(VLOOKUP(C18,'BURGERATOR ÜRÜN İÇERİK'!$A$1:$D$42,4,),"")</f>
        <v>27</v>
      </c>
      <c r="E18" s="177"/>
    </row>
    <row r="19" spans="1:5" x14ac:dyDescent="0.25">
      <c r="A19" s="278" t="s">
        <v>18</v>
      </c>
      <c r="B19" s="278">
        <v>100</v>
      </c>
      <c r="C19" s="171" t="s">
        <v>62</v>
      </c>
      <c r="D19" s="172">
        <f>IFERROR(VLOOKUP(C19,'BURGERATOR ÜRÜN İÇERİK'!$A$1:$D$42,4,),"")</f>
        <v>11</v>
      </c>
      <c r="E19" s="177">
        <f>SUM(D19:D26)</f>
        <v>147.97777777777776</v>
      </c>
    </row>
    <row r="20" spans="1:5" x14ac:dyDescent="0.25">
      <c r="A20" s="278"/>
      <c r="B20" s="278"/>
      <c r="C20" s="171" t="s">
        <v>163</v>
      </c>
      <c r="D20" s="172">
        <f>IFERROR(VLOOKUP(C20,'BURGERATOR ÜRÜN İÇERİK'!$A$1:$D$42,4,),"")</f>
        <v>5</v>
      </c>
      <c r="E20" s="177"/>
    </row>
    <row r="21" spans="1:5" x14ac:dyDescent="0.25">
      <c r="A21" s="278"/>
      <c r="B21" s="278"/>
      <c r="C21" s="171" t="s">
        <v>65</v>
      </c>
      <c r="D21" s="172">
        <f>IFERROR(VLOOKUP(C21,'BURGERATOR ÜRÜN İÇERİK'!$A$1:$D$42,4,),"")</f>
        <v>48</v>
      </c>
      <c r="E21" s="177"/>
    </row>
    <row r="22" spans="1:5" x14ac:dyDescent="0.25">
      <c r="A22" s="278"/>
      <c r="B22" s="278"/>
      <c r="C22" s="171" t="s">
        <v>60</v>
      </c>
      <c r="D22" s="172">
        <f>IFERROR(VLOOKUP(C22,'BURGERATOR ÜRÜN İÇERİK'!$A$1:$D$42,4,),"")</f>
        <v>4.4444444444444446</v>
      </c>
      <c r="E22" s="177"/>
    </row>
    <row r="23" spans="1:5" x14ac:dyDescent="0.25">
      <c r="A23" s="278"/>
      <c r="B23" s="278"/>
      <c r="C23" s="171" t="s">
        <v>164</v>
      </c>
      <c r="D23" s="172">
        <f>IFERROR(VLOOKUP(C23,'BURGERATOR ÜRÜN İÇERİK'!$A$1:$D$42,4,),"")</f>
        <v>30.333333333333332</v>
      </c>
      <c r="E23" s="177"/>
    </row>
    <row r="24" spans="1:5" x14ac:dyDescent="0.25">
      <c r="A24" s="278"/>
      <c r="B24" s="278"/>
      <c r="C24" s="171" t="s">
        <v>161</v>
      </c>
      <c r="D24" s="172">
        <f>IFERROR(VLOOKUP(C24,'BURGERATOR ÜRÜN İÇERİK'!$A$1:$D$42,4,),"")</f>
        <v>3</v>
      </c>
      <c r="E24" s="177"/>
    </row>
    <row r="25" spans="1:5" x14ac:dyDescent="0.25">
      <c r="A25" s="278"/>
      <c r="B25" s="278"/>
      <c r="C25" s="171" t="s">
        <v>24</v>
      </c>
      <c r="D25" s="172">
        <f>IFERROR(VLOOKUP(C25,'BURGERATOR ÜRÜN İÇERİK'!$A$1:$D$42,4,),"")</f>
        <v>19.2</v>
      </c>
      <c r="E25" s="177"/>
    </row>
    <row r="26" spans="1:5" x14ac:dyDescent="0.25">
      <c r="A26" s="278"/>
      <c r="B26" s="278"/>
      <c r="C26" s="171" t="s">
        <v>70</v>
      </c>
      <c r="D26" s="172">
        <f>IFERROR(VLOOKUP(C26,'BURGERATOR ÜRÜN İÇERİK'!$A$1:$D$42,4,),"")</f>
        <v>27</v>
      </c>
      <c r="E26" s="177"/>
    </row>
    <row r="27" spans="1:5" x14ac:dyDescent="0.25">
      <c r="A27" s="278" t="s">
        <v>11</v>
      </c>
      <c r="B27" s="278">
        <v>100</v>
      </c>
      <c r="C27" s="171" t="s">
        <v>62</v>
      </c>
      <c r="D27" s="172">
        <f>IFERROR(VLOOKUP(C27,'BURGERATOR ÜRÜN İÇERİK'!$A$1:$D$42,4,),"")</f>
        <v>11</v>
      </c>
      <c r="E27" s="177">
        <f>SUM(D27:D34)</f>
        <v>126.24444444444444</v>
      </c>
    </row>
    <row r="28" spans="1:5" x14ac:dyDescent="0.25">
      <c r="A28" s="278"/>
      <c r="B28" s="278"/>
      <c r="C28" s="171" t="s">
        <v>157</v>
      </c>
      <c r="D28" s="172">
        <f>IFERROR(VLOOKUP(C28,'BURGERATOR ÜRÜN İÇERİK'!$A$1:$D$42,4,),"")</f>
        <v>6</v>
      </c>
      <c r="E28" s="177"/>
    </row>
    <row r="29" spans="1:5" x14ac:dyDescent="0.25">
      <c r="A29" s="278"/>
      <c r="B29" s="278"/>
      <c r="C29" s="171" t="s">
        <v>65</v>
      </c>
      <c r="D29" s="172">
        <f>IFERROR(VLOOKUP(C29,'BURGERATOR ÜRÜN İÇERİK'!$A$1:$D$42,4,),"")</f>
        <v>48</v>
      </c>
      <c r="E29" s="177"/>
    </row>
    <row r="30" spans="1:5" x14ac:dyDescent="0.25">
      <c r="A30" s="278"/>
      <c r="B30" s="278"/>
      <c r="C30" s="171" t="s">
        <v>60</v>
      </c>
      <c r="D30" s="172">
        <f>IFERROR(VLOOKUP(C30,'BURGERATOR ÜRÜN İÇERİK'!$A$1:$D$42,4,),"")</f>
        <v>4.4444444444444446</v>
      </c>
      <c r="E30" s="177"/>
    </row>
    <row r="31" spans="1:5" x14ac:dyDescent="0.25">
      <c r="A31" s="278"/>
      <c r="B31" s="278"/>
      <c r="C31" s="171" t="s">
        <v>63</v>
      </c>
      <c r="D31" s="172">
        <f>IFERROR(VLOOKUP(C31,'BURGERATOR ÜRÜN İÇERİK'!$A$1:$D$42,4,),"")</f>
        <v>9.1</v>
      </c>
      <c r="E31" s="177"/>
    </row>
    <row r="32" spans="1:5" x14ac:dyDescent="0.25">
      <c r="A32" s="278"/>
      <c r="B32" s="278"/>
      <c r="C32" s="171" t="s">
        <v>57</v>
      </c>
      <c r="D32" s="172">
        <f>IFERROR(VLOOKUP(C32,'BURGERATOR ÜRÜN İÇERİK'!$A$1:$D$42,4,),"")</f>
        <v>1.5</v>
      </c>
      <c r="E32" s="177"/>
    </row>
    <row r="33" spans="1:5" x14ac:dyDescent="0.25">
      <c r="A33" s="278"/>
      <c r="B33" s="278"/>
      <c r="C33" s="171" t="s">
        <v>24</v>
      </c>
      <c r="D33" s="172">
        <f>IFERROR(VLOOKUP(C33,'BURGERATOR ÜRÜN İÇERİK'!$A$1:$D$42,4,),"")</f>
        <v>19.2</v>
      </c>
      <c r="E33" s="177"/>
    </row>
    <row r="34" spans="1:5" x14ac:dyDescent="0.25">
      <c r="A34" s="278"/>
      <c r="B34" s="278"/>
      <c r="C34" s="171" t="s">
        <v>70</v>
      </c>
      <c r="D34" s="172">
        <f>IFERROR(VLOOKUP(C34,'BURGERATOR ÜRÜN İÇERİK'!$A$1:$D$42,4,),"")</f>
        <v>27</v>
      </c>
      <c r="E34" s="177"/>
    </row>
    <row r="35" spans="1:5" ht="16.5" customHeight="1" x14ac:dyDescent="0.25">
      <c r="A35" s="278" t="s">
        <v>10</v>
      </c>
      <c r="B35" s="278">
        <v>100</v>
      </c>
      <c r="C35" s="171" t="s">
        <v>62</v>
      </c>
      <c r="D35" s="172">
        <f>IFERROR(VLOOKUP(C35,'BURGERATOR ÜRÜN İÇERİK'!$A$1:$D$42,4,),"")</f>
        <v>11</v>
      </c>
      <c r="E35" s="177">
        <f>SUM(D35:D42)</f>
        <v>123.24444444444444</v>
      </c>
    </row>
    <row r="36" spans="1:5" ht="16.5" customHeight="1" x14ac:dyDescent="0.25">
      <c r="A36" s="278"/>
      <c r="B36" s="278"/>
      <c r="C36" s="171" t="s">
        <v>152</v>
      </c>
      <c r="D36" s="172">
        <f>IFERROR(VLOOKUP(C36,'BURGERATOR ÜRÜN İÇERİK'!$A$1:$D$42,4,),"")</f>
        <v>3</v>
      </c>
      <c r="E36" s="177"/>
    </row>
    <row r="37" spans="1:5" ht="16.5" customHeight="1" x14ac:dyDescent="0.25">
      <c r="A37" s="278"/>
      <c r="B37" s="278"/>
      <c r="C37" s="171" t="s">
        <v>65</v>
      </c>
      <c r="D37" s="172">
        <f>IFERROR(VLOOKUP(C37,'BURGERATOR ÜRÜN İÇERİK'!$A$1:$D$42,4,),"")</f>
        <v>48</v>
      </c>
      <c r="E37" s="177"/>
    </row>
    <row r="38" spans="1:5" ht="16.5" customHeight="1" x14ac:dyDescent="0.25">
      <c r="A38" s="278"/>
      <c r="B38" s="278"/>
      <c r="C38" s="171" t="s">
        <v>60</v>
      </c>
      <c r="D38" s="172">
        <f>IFERROR(VLOOKUP(C38,'BURGERATOR ÜRÜN İÇERİK'!$A$1:$D$42,4,),"")</f>
        <v>4.4444444444444446</v>
      </c>
      <c r="E38" s="177"/>
    </row>
    <row r="39" spans="1:5" ht="16.5" customHeight="1" x14ac:dyDescent="0.25">
      <c r="A39" s="278"/>
      <c r="B39" s="278"/>
      <c r="C39" s="171" t="s">
        <v>63</v>
      </c>
      <c r="D39" s="172">
        <f>IFERROR(VLOOKUP(C39,'BURGERATOR ÜRÜN İÇERİK'!$A$1:$D$42,4,),"")</f>
        <v>9.1</v>
      </c>
      <c r="E39" s="177"/>
    </row>
    <row r="40" spans="1:5" ht="16.5" customHeight="1" x14ac:dyDescent="0.25">
      <c r="A40" s="278"/>
      <c r="B40" s="278"/>
      <c r="C40" s="171" t="s">
        <v>57</v>
      </c>
      <c r="D40" s="172">
        <f>IFERROR(VLOOKUP(C40,'BURGERATOR ÜRÜN İÇERİK'!$A$1:$D$42,4,),"")</f>
        <v>1.5</v>
      </c>
      <c r="E40" s="177"/>
    </row>
    <row r="41" spans="1:5" ht="16.5" customHeight="1" x14ac:dyDescent="0.25">
      <c r="A41" s="278"/>
      <c r="B41" s="278"/>
      <c r="C41" s="171" t="s">
        <v>24</v>
      </c>
      <c r="D41" s="172">
        <f>IFERROR(VLOOKUP(C41,'BURGERATOR ÜRÜN İÇERİK'!$A$1:$D$42,4,),"")</f>
        <v>19.2</v>
      </c>
      <c r="E41" s="177"/>
    </row>
    <row r="42" spans="1:5" ht="16.5" customHeight="1" x14ac:dyDescent="0.25">
      <c r="A42" s="278"/>
      <c r="B42" s="278"/>
      <c r="C42" s="171" t="s">
        <v>70</v>
      </c>
      <c r="D42" s="172">
        <f>IFERROR(VLOOKUP(C42,'BURGERATOR ÜRÜN İÇERİK'!$A$1:$D$42,4,),"")</f>
        <v>27</v>
      </c>
      <c r="E42" s="177"/>
    </row>
    <row r="43" spans="1:5" x14ac:dyDescent="0.25">
      <c r="A43" s="278" t="s">
        <v>5</v>
      </c>
      <c r="B43" s="278">
        <v>100</v>
      </c>
      <c r="C43" s="171" t="s">
        <v>62</v>
      </c>
      <c r="D43" s="172">
        <f>IFERROR(VLOOKUP(C43,'BURGERATOR ÜRÜN İÇERİK'!$A$1:$D$42,4,),"")</f>
        <v>11</v>
      </c>
      <c r="E43" s="180">
        <f>SUM(D43:D50)</f>
        <v>163.57222222222222</v>
      </c>
    </row>
    <row r="44" spans="1:5" ht="16.5" customHeight="1" x14ac:dyDescent="0.25">
      <c r="A44" s="278"/>
      <c r="B44" s="278"/>
      <c r="C44" s="171" t="s">
        <v>77</v>
      </c>
      <c r="D44" s="172">
        <f>IFERROR(VLOOKUP(C44,'BURGERATOR ÜRÜN İÇERİK'!$A$1:$D$42,4,),"")</f>
        <v>31.200000000000003</v>
      </c>
      <c r="E44" s="181"/>
    </row>
    <row r="45" spans="1:5" ht="16.5" customHeight="1" x14ac:dyDescent="0.25">
      <c r="A45" s="278"/>
      <c r="B45" s="278"/>
      <c r="C45" s="171" t="s">
        <v>65</v>
      </c>
      <c r="D45" s="172">
        <f>IFERROR(VLOOKUP(C45,'BURGERATOR ÜRÜN İÇERİK'!$A$1:$D$42,4,),"")</f>
        <v>48</v>
      </c>
      <c r="E45" s="181"/>
    </row>
    <row r="46" spans="1:5" ht="16.5" customHeight="1" x14ac:dyDescent="0.25">
      <c r="A46" s="278"/>
      <c r="B46" s="278"/>
      <c r="C46" s="171" t="s">
        <v>158</v>
      </c>
      <c r="D46" s="172">
        <f>IFERROR(VLOOKUP(C46,'BURGERATOR ÜRÜN İÇERİK'!$A$1:$D$42,4,),"")</f>
        <v>3.4722222222222223</v>
      </c>
      <c r="E46" s="181"/>
    </row>
    <row r="47" spans="1:5" ht="16.5" customHeight="1" x14ac:dyDescent="0.25">
      <c r="A47" s="278"/>
      <c r="B47" s="278"/>
      <c r="C47" s="171" t="s">
        <v>76</v>
      </c>
      <c r="D47" s="172">
        <f>IFERROR(VLOOKUP(C47,'BURGERATOR ÜRÜN İÇERİK'!$A$1:$D$42,4,),"")</f>
        <v>20.7</v>
      </c>
      <c r="E47" s="181"/>
    </row>
    <row r="48" spans="1:5" ht="16.5" customHeight="1" x14ac:dyDescent="0.25">
      <c r="A48" s="278"/>
      <c r="B48" s="278"/>
      <c r="C48" s="171" t="s">
        <v>91</v>
      </c>
      <c r="D48" s="172">
        <f>IFERROR(VLOOKUP(C48,'BURGERATOR ÜRÜN İÇERİK'!$A$1:$D$42,4,),"")</f>
        <v>3</v>
      </c>
      <c r="E48" s="181"/>
    </row>
    <row r="49" spans="1:5" ht="16.5" customHeight="1" x14ac:dyDescent="0.25">
      <c r="A49" s="278"/>
      <c r="B49" s="278"/>
      <c r="C49" s="171" t="s">
        <v>24</v>
      </c>
      <c r="D49" s="172">
        <f>IFERROR(VLOOKUP(C49,'BURGERATOR ÜRÜN İÇERİK'!$A$1:$D$42,4,),"")</f>
        <v>19.2</v>
      </c>
      <c r="E49" s="182"/>
    </row>
    <row r="50" spans="1:5" ht="16.5" customHeight="1" x14ac:dyDescent="0.25">
      <c r="A50" s="278"/>
      <c r="B50" s="278"/>
      <c r="C50" s="171" t="s">
        <v>70</v>
      </c>
      <c r="D50" s="172">
        <f>IFERROR(VLOOKUP(C50,'BURGERATOR ÜRÜN İÇERİK'!$A$1:$D$42,4,),"")</f>
        <v>27</v>
      </c>
      <c r="E50" s="177"/>
    </row>
    <row r="51" spans="1:5" x14ac:dyDescent="0.25">
      <c r="A51" s="278" t="s">
        <v>6</v>
      </c>
      <c r="B51" s="278">
        <v>100</v>
      </c>
      <c r="C51" s="171" t="s">
        <v>62</v>
      </c>
      <c r="D51" s="172">
        <f>IFERROR(VLOOKUP(C51,'BURGERATOR ÜRÜN İÇERİK'!$A$1:$D$42,4,),"")</f>
        <v>11</v>
      </c>
      <c r="E51" s="177">
        <f>SUM(D51:D58)</f>
        <v>124.74444444444444</v>
      </c>
    </row>
    <row r="52" spans="1:5" ht="16.5" customHeight="1" x14ac:dyDescent="0.25">
      <c r="A52" s="278"/>
      <c r="B52" s="278"/>
      <c r="C52" s="171" t="s">
        <v>155</v>
      </c>
      <c r="D52" s="172">
        <f>IFERROR(VLOOKUP(C52,'BURGERATOR ÜRÜN İÇERİK'!$A$1:$D$42,4,),"")</f>
        <v>3</v>
      </c>
      <c r="E52" s="177"/>
    </row>
    <row r="53" spans="1:5" ht="16.5" customHeight="1" x14ac:dyDescent="0.25">
      <c r="A53" s="278"/>
      <c r="B53" s="278"/>
      <c r="C53" s="171" t="s">
        <v>65</v>
      </c>
      <c r="D53" s="172">
        <f>IFERROR(VLOOKUP(C53,'BURGERATOR ÜRÜN İÇERİK'!$A$1:$D$42,4,),"")</f>
        <v>48</v>
      </c>
      <c r="E53" s="177"/>
    </row>
    <row r="54" spans="1:5" ht="16.5" customHeight="1" x14ac:dyDescent="0.25">
      <c r="A54" s="278"/>
      <c r="B54" s="278"/>
      <c r="C54" s="171" t="s">
        <v>60</v>
      </c>
      <c r="D54" s="172">
        <f>IFERROR(VLOOKUP(C54,'BURGERATOR ÜRÜN İÇERİK'!$A$1:$D$42,4,),"")</f>
        <v>4.4444444444444446</v>
      </c>
      <c r="E54" s="177"/>
    </row>
    <row r="55" spans="1:5" ht="16.5" customHeight="1" x14ac:dyDescent="0.25">
      <c r="A55" s="278"/>
      <c r="B55" s="278"/>
      <c r="C55" s="171" t="s">
        <v>63</v>
      </c>
      <c r="D55" s="172">
        <f>IFERROR(VLOOKUP(C55,'BURGERATOR ÜRÜN İÇERİK'!$A$1:$D$42,4,),"")</f>
        <v>9.1</v>
      </c>
      <c r="E55" s="177"/>
    </row>
    <row r="56" spans="1:5" ht="16.5" customHeight="1" x14ac:dyDescent="0.25">
      <c r="A56" s="278"/>
      <c r="B56" s="278"/>
      <c r="C56" s="171" t="s">
        <v>161</v>
      </c>
      <c r="D56" s="172">
        <f>IFERROR(VLOOKUP(C56,'BURGERATOR ÜRÜN İÇERİK'!$A$1:$D$42,4,),"")</f>
        <v>3</v>
      </c>
      <c r="E56" s="177"/>
    </row>
    <row r="57" spans="1:5" ht="16.5" customHeight="1" x14ac:dyDescent="0.25">
      <c r="A57" s="278"/>
      <c r="B57" s="278"/>
      <c r="C57" s="171" t="s">
        <v>24</v>
      </c>
      <c r="D57" s="172">
        <f>IFERROR(VLOOKUP(C57,'BURGERATOR ÜRÜN İÇERİK'!$A$1:$D$42,4,),"")</f>
        <v>19.2</v>
      </c>
      <c r="E57" s="177"/>
    </row>
    <row r="58" spans="1:5" x14ac:dyDescent="0.25">
      <c r="A58" s="278"/>
      <c r="B58" s="278"/>
      <c r="C58" s="171" t="s">
        <v>70</v>
      </c>
      <c r="D58" s="172">
        <f>IFERROR(VLOOKUP(C58,'BURGERATOR ÜRÜN İÇERİK'!$A$1:$D$42,4,),"")</f>
        <v>27</v>
      </c>
      <c r="E58" s="177"/>
    </row>
    <row r="59" spans="1:5" x14ac:dyDescent="0.25">
      <c r="A59" s="278" t="s">
        <v>13</v>
      </c>
      <c r="B59" s="278">
        <v>100</v>
      </c>
      <c r="C59" s="171" t="s">
        <v>62</v>
      </c>
      <c r="D59" s="172">
        <f>IFERROR(VLOOKUP(C59,'BURGERATOR ÜRÜN İÇERİK'!$A$1:$D$42,4,),"")</f>
        <v>11</v>
      </c>
      <c r="E59" s="177">
        <f>SUM(D59:D66)</f>
        <v>129.64444444444445</v>
      </c>
    </row>
    <row r="60" spans="1:5" ht="16.5" customHeight="1" x14ac:dyDescent="0.25">
      <c r="A60" s="278"/>
      <c r="B60" s="278"/>
      <c r="C60" s="171" t="s">
        <v>155</v>
      </c>
      <c r="D60" s="172">
        <f>IFERROR(VLOOKUP(C60,'BURGERATOR ÜRÜN İÇERİK'!$A$1:$D$42,4,),"")</f>
        <v>3</v>
      </c>
      <c r="E60" s="177"/>
    </row>
    <row r="61" spans="1:5" ht="16.5" customHeight="1" x14ac:dyDescent="0.25">
      <c r="A61" s="278"/>
      <c r="B61" s="278"/>
      <c r="C61" s="171" t="s">
        <v>65</v>
      </c>
      <c r="D61" s="172">
        <f>IFERROR(VLOOKUP(C61,'BURGERATOR ÜRÜN İÇERİK'!$A$1:$D$42,4,),"")</f>
        <v>48</v>
      </c>
      <c r="E61" s="177"/>
    </row>
    <row r="62" spans="1:5" ht="16.5" customHeight="1" x14ac:dyDescent="0.25">
      <c r="A62" s="278"/>
      <c r="B62" s="278"/>
      <c r="C62" s="171" t="s">
        <v>60</v>
      </c>
      <c r="D62" s="172">
        <f>IFERROR(VLOOKUP(C62,'BURGERATOR ÜRÜN İÇERİK'!$A$1:$D$42,4,),"")</f>
        <v>4.4444444444444446</v>
      </c>
      <c r="E62" s="177"/>
    </row>
    <row r="63" spans="1:5" ht="16.5" customHeight="1" x14ac:dyDescent="0.25">
      <c r="A63" s="278"/>
      <c r="B63" s="278"/>
      <c r="C63" s="171" t="s">
        <v>133</v>
      </c>
      <c r="D63" s="172">
        <f>IFERROR(VLOOKUP(C63,'BURGERATOR ÜRÜN İÇERİK'!$A$1:$D$42,4,),"")</f>
        <v>14</v>
      </c>
      <c r="E63" s="177"/>
    </row>
    <row r="64" spans="1:5" ht="16.5" customHeight="1" x14ac:dyDescent="0.25">
      <c r="A64" s="278"/>
      <c r="B64" s="278"/>
      <c r="C64" s="171" t="s">
        <v>91</v>
      </c>
      <c r="D64" s="172">
        <f>IFERROR(VLOOKUP(C64,'BURGERATOR ÜRÜN İÇERİK'!$A$1:$D$42,4,),"")</f>
        <v>3</v>
      </c>
      <c r="E64" s="177"/>
    </row>
    <row r="65" spans="1:5" ht="16.5" customHeight="1" x14ac:dyDescent="0.25">
      <c r="A65" s="278"/>
      <c r="B65" s="278"/>
      <c r="C65" s="171" t="s">
        <v>24</v>
      </c>
      <c r="D65" s="172">
        <f>IFERROR(VLOOKUP(C65,'BURGERATOR ÜRÜN İÇERİK'!$A$1:$D$42,4,),"")</f>
        <v>19.2</v>
      </c>
      <c r="E65" s="177"/>
    </row>
    <row r="66" spans="1:5" x14ac:dyDescent="0.25">
      <c r="A66" s="278"/>
      <c r="B66" s="278"/>
      <c r="C66" s="171" t="s">
        <v>70</v>
      </c>
      <c r="D66" s="172">
        <f>IFERROR(VLOOKUP(C66,'BURGERATOR ÜRÜN İÇERİK'!$A$1:$D$42,4,),"")</f>
        <v>27</v>
      </c>
      <c r="E66" s="177"/>
    </row>
    <row r="67" spans="1:5" x14ac:dyDescent="0.25">
      <c r="A67" s="278" t="s">
        <v>7</v>
      </c>
      <c r="B67" s="278">
        <v>100</v>
      </c>
      <c r="C67" s="171" t="s">
        <v>62</v>
      </c>
      <c r="D67" s="172">
        <f>IFERROR(VLOOKUP(C67,'BURGERATOR ÜRÜN İÇERİK'!$A$1:$D$42,4,),"")</f>
        <v>11</v>
      </c>
      <c r="E67" s="177">
        <f>SUM(D67:D74)</f>
        <v>123.24444444444444</v>
      </c>
    </row>
    <row r="68" spans="1:5" ht="16.5" customHeight="1" x14ac:dyDescent="0.25">
      <c r="A68" s="278"/>
      <c r="B68" s="278"/>
      <c r="C68" s="171" t="s">
        <v>155</v>
      </c>
      <c r="D68" s="172">
        <f>IFERROR(VLOOKUP(C68,'BURGERATOR ÜRÜN İÇERİK'!$A$1:$D$42,4,),"")</f>
        <v>3</v>
      </c>
      <c r="E68" s="177"/>
    </row>
    <row r="69" spans="1:5" ht="16.5" customHeight="1" x14ac:dyDescent="0.25">
      <c r="A69" s="278"/>
      <c r="B69" s="278"/>
      <c r="C69" s="171" t="s">
        <v>65</v>
      </c>
      <c r="D69" s="172">
        <f>IFERROR(VLOOKUP(C69,'BURGERATOR ÜRÜN İÇERİK'!$A$1:$D$42,4,),"")</f>
        <v>48</v>
      </c>
      <c r="E69" s="177"/>
    </row>
    <row r="70" spans="1:5" ht="16.5" customHeight="1" x14ac:dyDescent="0.25">
      <c r="A70" s="278"/>
      <c r="B70" s="278"/>
      <c r="C70" s="171" t="s">
        <v>60</v>
      </c>
      <c r="D70" s="172">
        <f>IFERROR(VLOOKUP(C70,'BURGERATOR ÜRÜN İÇERİK'!$A$1:$D$42,4,),"")</f>
        <v>4.4444444444444446</v>
      </c>
      <c r="E70" s="177"/>
    </row>
    <row r="71" spans="1:5" ht="16.5" customHeight="1" x14ac:dyDescent="0.25">
      <c r="A71" s="278"/>
      <c r="B71" s="278"/>
      <c r="C71" s="171" t="s">
        <v>63</v>
      </c>
      <c r="D71" s="172">
        <f>IFERROR(VLOOKUP(C71,'BURGERATOR ÜRÜN İÇERİK'!$A$1:$D$42,4,),"")</f>
        <v>9.1</v>
      </c>
      <c r="E71" s="177"/>
    </row>
    <row r="72" spans="1:5" ht="16.5" customHeight="1" x14ac:dyDescent="0.25">
      <c r="A72" s="278"/>
      <c r="B72" s="278"/>
      <c r="C72" s="171" t="s">
        <v>57</v>
      </c>
      <c r="D72" s="172">
        <f>IFERROR(VLOOKUP(C72,'BURGERATOR ÜRÜN İÇERİK'!$A$1:$D$42,4,),"")</f>
        <v>1.5</v>
      </c>
      <c r="E72" s="177"/>
    </row>
    <row r="73" spans="1:5" ht="16.5" customHeight="1" x14ac:dyDescent="0.25">
      <c r="A73" s="278"/>
      <c r="B73" s="278"/>
      <c r="C73" s="171" t="s">
        <v>24</v>
      </c>
      <c r="D73" s="172">
        <f>IFERROR(VLOOKUP(C73,'BURGERATOR ÜRÜN İÇERİK'!$A$1:$D$42,4,),"")</f>
        <v>19.2</v>
      </c>
      <c r="E73" s="177"/>
    </row>
    <row r="74" spans="1:5" x14ac:dyDescent="0.25">
      <c r="A74" s="278"/>
      <c r="B74" s="278"/>
      <c r="C74" s="171" t="s">
        <v>70</v>
      </c>
      <c r="D74" s="172">
        <f>IFERROR(VLOOKUP(C74,'BURGERATOR ÜRÜN İÇERİK'!$A$1:$D$42,4,),"")</f>
        <v>27</v>
      </c>
      <c r="E74" s="177"/>
    </row>
    <row r="75" spans="1:5" x14ac:dyDescent="0.25">
      <c r="A75" s="278" t="s">
        <v>9</v>
      </c>
      <c r="B75" s="278">
        <v>140</v>
      </c>
      <c r="C75" s="171" t="s">
        <v>62</v>
      </c>
      <c r="D75" s="172">
        <f>IFERROR(VLOOKUP(C75,'BURGERATOR ÜRÜN İÇERİK'!$A$1:$D$42,4,),"")</f>
        <v>11</v>
      </c>
      <c r="E75" s="177">
        <f>SUM(D75:D82)</f>
        <v>143.94444444444443</v>
      </c>
    </row>
    <row r="76" spans="1:5" ht="16.5" customHeight="1" x14ac:dyDescent="0.25">
      <c r="A76" s="278"/>
      <c r="B76" s="278"/>
      <c r="C76" s="171" t="s">
        <v>154</v>
      </c>
      <c r="D76" s="172">
        <f>IFERROR(VLOOKUP(C76,'BURGERATOR ÜRÜN İÇERİK'!$A$1:$D$42,4,),"")</f>
        <v>3</v>
      </c>
      <c r="E76" s="177"/>
    </row>
    <row r="77" spans="1:5" ht="16.5" customHeight="1" x14ac:dyDescent="0.25">
      <c r="A77" s="278"/>
      <c r="B77" s="278"/>
      <c r="C77" s="171" t="s">
        <v>65</v>
      </c>
      <c r="D77" s="172">
        <f>IFERROR(VLOOKUP(C77,'BURGERATOR ÜRÜN İÇERİK'!$A$1:$D$42,4,),"")*1.4</f>
        <v>67.199999999999989</v>
      </c>
      <c r="E77" s="177"/>
    </row>
    <row r="78" spans="1:5" ht="16.5" customHeight="1" x14ac:dyDescent="0.25">
      <c r="A78" s="278"/>
      <c r="B78" s="278"/>
      <c r="C78" s="171" t="s">
        <v>60</v>
      </c>
      <c r="D78" s="172">
        <f>IFERROR(VLOOKUP(C78,'BURGERATOR ÜRÜN İÇERİK'!$A$1:$D$42,4,),"")</f>
        <v>4.4444444444444446</v>
      </c>
      <c r="E78" s="177"/>
    </row>
    <row r="79" spans="1:5" ht="16.5" customHeight="1" x14ac:dyDescent="0.25">
      <c r="A79" s="278"/>
      <c r="B79" s="278"/>
      <c r="C79" s="171" t="s">
        <v>63</v>
      </c>
      <c r="D79" s="172">
        <f>IFERROR(VLOOKUP(C79,'BURGERATOR ÜRÜN İÇERİK'!$A$1:$D$42,4,),"")</f>
        <v>9.1</v>
      </c>
      <c r="E79" s="177"/>
    </row>
    <row r="80" spans="1:5" ht="16.5" customHeight="1" x14ac:dyDescent="0.25">
      <c r="A80" s="278"/>
      <c r="B80" s="278"/>
      <c r="C80" s="171" t="s">
        <v>162</v>
      </c>
      <c r="D80" s="172">
        <f>IFERROR(VLOOKUP(C80,'BURGERATOR ÜRÜN İÇERİK'!$A$1:$D$42,4,),"")</f>
        <v>3</v>
      </c>
      <c r="E80" s="177"/>
    </row>
    <row r="81" spans="1:5" ht="16.5" customHeight="1" x14ac:dyDescent="0.25">
      <c r="A81" s="278"/>
      <c r="B81" s="278"/>
      <c r="C81" s="171" t="s">
        <v>24</v>
      </c>
      <c r="D81" s="172">
        <f>IFERROR(VLOOKUP(C81,'BURGERATOR ÜRÜN İÇERİK'!$A$1:$D$42,4,),"")</f>
        <v>19.2</v>
      </c>
      <c r="E81" s="177"/>
    </row>
    <row r="82" spans="1:5" x14ac:dyDescent="0.25">
      <c r="A82" s="278"/>
      <c r="B82" s="278"/>
      <c r="C82" s="171" t="s">
        <v>70</v>
      </c>
      <c r="D82" s="172">
        <f>IFERROR(VLOOKUP(C82,'BURGERATOR ÜRÜN İÇERİK'!$A$1:$D$42,4,),"")</f>
        <v>27</v>
      </c>
      <c r="E82" s="177"/>
    </row>
    <row r="83" spans="1:5" x14ac:dyDescent="0.25">
      <c r="A83" s="278" t="s">
        <v>135</v>
      </c>
      <c r="B83" s="278">
        <v>140</v>
      </c>
      <c r="C83" s="171" t="s">
        <v>62</v>
      </c>
      <c r="D83" s="172">
        <f>IFERROR(VLOOKUP(C83,'BURGERATOR ÜRÜN İÇERİK'!$A$1:$D$42,4,),"")</f>
        <v>11</v>
      </c>
      <c r="E83" s="177">
        <f>SUM(D83:D91)</f>
        <v>150.94444444444443</v>
      </c>
    </row>
    <row r="84" spans="1:5" ht="16.5" customHeight="1" x14ac:dyDescent="0.25">
      <c r="A84" s="278"/>
      <c r="B84" s="278"/>
      <c r="C84" s="171" t="s">
        <v>163</v>
      </c>
      <c r="D84" s="172">
        <f>IFERROR(VLOOKUP(C84,'BURGERATOR ÜRÜN İÇERİK'!$A$1:$D$42,4,),"")</f>
        <v>5</v>
      </c>
      <c r="E84" s="177"/>
    </row>
    <row r="85" spans="1:5" ht="16.5" customHeight="1" x14ac:dyDescent="0.25">
      <c r="A85" s="278"/>
      <c r="B85" s="278"/>
      <c r="C85" s="171" t="s">
        <v>65</v>
      </c>
      <c r="D85" s="172">
        <f>IFERROR(VLOOKUP(C85,'BURGERATOR ÜRÜN İÇERİK'!$A$1:$D$42,4,),"")*1.4</f>
        <v>67.199999999999989</v>
      </c>
      <c r="E85" s="177"/>
    </row>
    <row r="86" spans="1:5" ht="16.5" customHeight="1" x14ac:dyDescent="0.25">
      <c r="A86" s="278"/>
      <c r="B86" s="278"/>
      <c r="C86" s="171" t="s">
        <v>60</v>
      </c>
      <c r="D86" s="172">
        <f>IFERROR(VLOOKUP(C86,'BURGERATOR ÜRÜN İÇERİK'!$A$1:$D$42,4,),"")</f>
        <v>4.4444444444444446</v>
      </c>
      <c r="E86" s="177"/>
    </row>
    <row r="87" spans="1:5" ht="16.5" customHeight="1" x14ac:dyDescent="0.25">
      <c r="A87" s="278"/>
      <c r="B87" s="278"/>
      <c r="C87" s="171" t="s">
        <v>63</v>
      </c>
      <c r="D87" s="172">
        <f>IFERROR(VLOOKUP(C87,'BURGERATOR ÜRÜN İÇERİK'!$A$1:$D$42,4,),"")</f>
        <v>9.1</v>
      </c>
      <c r="E87" s="177"/>
    </row>
    <row r="88" spans="1:5" ht="16.5" customHeight="1" x14ac:dyDescent="0.25">
      <c r="A88" s="278"/>
      <c r="B88" s="278"/>
      <c r="C88" s="171" t="s">
        <v>136</v>
      </c>
      <c r="D88" s="172">
        <f>IFERROR(VLOOKUP(C88,'BURGERATOR ÜRÜN İÇERİK'!$A$1:$D$42,4,),"")</f>
        <v>3</v>
      </c>
      <c r="E88" s="177"/>
    </row>
    <row r="89" spans="1:5" ht="16.5" customHeight="1" x14ac:dyDescent="0.25">
      <c r="A89" s="278"/>
      <c r="B89" s="278"/>
      <c r="C89" s="171" t="s">
        <v>192</v>
      </c>
      <c r="D89" s="172">
        <f>IFERROR(VLOOKUP(C89,'BURGERATOR ÜRÜN İÇERİK'!$A$1:$D$42,4,),"")</f>
        <v>5</v>
      </c>
      <c r="E89" s="177"/>
    </row>
    <row r="90" spans="1:5" x14ac:dyDescent="0.25">
      <c r="A90" s="278"/>
      <c r="B90" s="278"/>
      <c r="C90" s="171" t="s">
        <v>24</v>
      </c>
      <c r="D90" s="172">
        <f>IFERROR(VLOOKUP(C90,'BURGERATOR ÜRÜN İÇERİK'!$A$1:$D$42,4,),"")</f>
        <v>19.2</v>
      </c>
      <c r="E90" s="177"/>
    </row>
    <row r="91" spans="1:5" x14ac:dyDescent="0.25">
      <c r="A91" s="278"/>
      <c r="B91" s="278"/>
      <c r="C91" s="171" t="s">
        <v>70</v>
      </c>
      <c r="D91" s="172">
        <f>IFERROR(VLOOKUP(C91,'BURGERATOR ÜRÜN İÇERİK'!$A$1:$D$42,4,),"")</f>
        <v>27</v>
      </c>
      <c r="E91" s="177"/>
    </row>
    <row r="92" spans="1:5" x14ac:dyDescent="0.25">
      <c r="A92" s="278" t="s">
        <v>18</v>
      </c>
      <c r="B92" s="278">
        <v>140</v>
      </c>
      <c r="C92" s="171" t="s">
        <v>62</v>
      </c>
      <c r="D92" s="172">
        <f>IFERROR(VLOOKUP(C92,'BURGERATOR ÜRÜN İÇERİK'!$A$1:$D$42,4,),"")</f>
        <v>11</v>
      </c>
      <c r="E92" s="177">
        <f>SUM(D92:D99)</f>
        <v>167.17777777777775</v>
      </c>
    </row>
    <row r="93" spans="1:5" ht="16.5" customHeight="1" x14ac:dyDescent="0.25">
      <c r="A93" s="278"/>
      <c r="B93" s="278"/>
      <c r="C93" s="171" t="s">
        <v>163</v>
      </c>
      <c r="D93" s="172">
        <f>IFERROR(VLOOKUP(C93,'BURGERATOR ÜRÜN İÇERİK'!$A$1:$D$42,4,),"")</f>
        <v>5</v>
      </c>
      <c r="E93" s="177"/>
    </row>
    <row r="94" spans="1:5" ht="16.5" customHeight="1" x14ac:dyDescent="0.25">
      <c r="A94" s="278"/>
      <c r="B94" s="278"/>
      <c r="C94" s="171" t="s">
        <v>65</v>
      </c>
      <c r="D94" s="172">
        <f>IFERROR(VLOOKUP(C94,'BURGERATOR ÜRÜN İÇERİK'!$A$1:$D$42,4,),"")*1.4</f>
        <v>67.199999999999989</v>
      </c>
      <c r="E94" s="177"/>
    </row>
    <row r="95" spans="1:5" ht="16.5" customHeight="1" x14ac:dyDescent="0.25">
      <c r="A95" s="278"/>
      <c r="B95" s="278"/>
      <c r="C95" s="171" t="s">
        <v>60</v>
      </c>
      <c r="D95" s="172">
        <f>IFERROR(VLOOKUP(C95,'BURGERATOR ÜRÜN İÇERİK'!$A$1:$D$42,4,),"")</f>
        <v>4.4444444444444446</v>
      </c>
      <c r="E95" s="177"/>
    </row>
    <row r="96" spans="1:5" ht="16.5" customHeight="1" x14ac:dyDescent="0.25">
      <c r="A96" s="278"/>
      <c r="B96" s="278"/>
      <c r="C96" s="171" t="s">
        <v>164</v>
      </c>
      <c r="D96" s="172">
        <f>IFERROR(VLOOKUP(C96,'BURGERATOR ÜRÜN İÇERİK'!$A$1:$D$42,4,),"")</f>
        <v>30.333333333333332</v>
      </c>
      <c r="E96" s="177"/>
    </row>
    <row r="97" spans="1:5" ht="16.5" customHeight="1" x14ac:dyDescent="0.25">
      <c r="A97" s="278"/>
      <c r="B97" s="278"/>
      <c r="C97" s="171" t="s">
        <v>161</v>
      </c>
      <c r="D97" s="172">
        <f>IFERROR(VLOOKUP(C97,'BURGERATOR ÜRÜN İÇERİK'!$A$1:$D$42,4,),"")</f>
        <v>3</v>
      </c>
      <c r="E97" s="177"/>
    </row>
    <row r="98" spans="1:5" ht="16.5" customHeight="1" x14ac:dyDescent="0.25">
      <c r="A98" s="278"/>
      <c r="B98" s="278"/>
      <c r="C98" s="171" t="s">
        <v>24</v>
      </c>
      <c r="D98" s="172">
        <f>IFERROR(VLOOKUP(C98,'BURGERATOR ÜRÜN İÇERİK'!$A$1:$D$42,4,),"")</f>
        <v>19.2</v>
      </c>
      <c r="E98" s="177"/>
    </row>
    <row r="99" spans="1:5" x14ac:dyDescent="0.25">
      <c r="A99" s="278"/>
      <c r="B99" s="278"/>
      <c r="C99" s="171" t="s">
        <v>70</v>
      </c>
      <c r="D99" s="172">
        <f>IFERROR(VLOOKUP(C99,'BURGERATOR ÜRÜN İÇERİK'!$A$1:$D$42,4,),"")</f>
        <v>27</v>
      </c>
      <c r="E99" s="177"/>
    </row>
    <row r="100" spans="1:5" x14ac:dyDescent="0.25">
      <c r="A100" s="278" t="s">
        <v>11</v>
      </c>
      <c r="B100" s="278">
        <v>140</v>
      </c>
      <c r="C100" s="171" t="s">
        <v>62</v>
      </c>
      <c r="D100" s="172">
        <f>IFERROR(VLOOKUP(C100,'BURGERATOR ÜRÜN İÇERİK'!$A$1:$D$42,4,),"")</f>
        <v>11</v>
      </c>
      <c r="E100" s="177">
        <f>SUM(D100:D107)</f>
        <v>145.44444444444443</v>
      </c>
    </row>
    <row r="101" spans="1:5" ht="16.5" customHeight="1" x14ac:dyDescent="0.25">
      <c r="A101" s="278"/>
      <c r="B101" s="278"/>
      <c r="C101" s="171" t="s">
        <v>157</v>
      </c>
      <c r="D101" s="172">
        <f>IFERROR(VLOOKUP(C101,'BURGERATOR ÜRÜN İÇERİK'!$A$1:$D$42,4,),"")</f>
        <v>6</v>
      </c>
      <c r="E101" s="177"/>
    </row>
    <row r="102" spans="1:5" ht="16.5" customHeight="1" x14ac:dyDescent="0.25">
      <c r="A102" s="278"/>
      <c r="B102" s="278"/>
      <c r="C102" s="171" t="s">
        <v>65</v>
      </c>
      <c r="D102" s="172">
        <f>IFERROR(VLOOKUP(C102,'BURGERATOR ÜRÜN İÇERİK'!$A$1:$D$42,4,),"")*1.4</f>
        <v>67.199999999999989</v>
      </c>
      <c r="E102" s="177"/>
    </row>
    <row r="103" spans="1:5" ht="16.5" customHeight="1" x14ac:dyDescent="0.25">
      <c r="A103" s="278"/>
      <c r="B103" s="278"/>
      <c r="C103" s="171" t="s">
        <v>60</v>
      </c>
      <c r="D103" s="172">
        <f>IFERROR(VLOOKUP(C103,'BURGERATOR ÜRÜN İÇERİK'!$A$1:$D$42,4,),"")</f>
        <v>4.4444444444444446</v>
      </c>
      <c r="E103" s="177"/>
    </row>
    <row r="104" spans="1:5" ht="16.5" customHeight="1" x14ac:dyDescent="0.25">
      <c r="A104" s="278"/>
      <c r="B104" s="278"/>
      <c r="C104" s="171" t="s">
        <v>63</v>
      </c>
      <c r="D104" s="172">
        <f>IFERROR(VLOOKUP(C104,'BURGERATOR ÜRÜN İÇERİK'!$A$1:$D$42,4,),"")</f>
        <v>9.1</v>
      </c>
      <c r="E104" s="177"/>
    </row>
    <row r="105" spans="1:5" ht="16.5" customHeight="1" x14ac:dyDescent="0.25">
      <c r="A105" s="278"/>
      <c r="B105" s="278"/>
      <c r="C105" s="171" t="s">
        <v>57</v>
      </c>
      <c r="D105" s="172">
        <f>IFERROR(VLOOKUP(C105,'BURGERATOR ÜRÜN İÇERİK'!$A$1:$D$42,4,),"")</f>
        <v>1.5</v>
      </c>
      <c r="E105" s="177"/>
    </row>
    <row r="106" spans="1:5" ht="16.5" customHeight="1" x14ac:dyDescent="0.25">
      <c r="A106" s="278"/>
      <c r="B106" s="278"/>
      <c r="C106" s="171" t="s">
        <v>24</v>
      </c>
      <c r="D106" s="172">
        <f>IFERROR(VLOOKUP(C106,'BURGERATOR ÜRÜN İÇERİK'!$A$1:$D$42,4,),"")</f>
        <v>19.2</v>
      </c>
      <c r="E106" s="177"/>
    </row>
    <row r="107" spans="1:5" x14ac:dyDescent="0.25">
      <c r="A107" s="278"/>
      <c r="B107" s="278"/>
      <c r="C107" s="171" t="s">
        <v>70</v>
      </c>
      <c r="D107" s="172">
        <f>IFERROR(VLOOKUP(C107,'BURGERATOR ÜRÜN İÇERİK'!$A$1:$D$42,4,),"")</f>
        <v>27</v>
      </c>
      <c r="E107" s="177"/>
    </row>
    <row r="108" spans="1:5" x14ac:dyDescent="0.25">
      <c r="A108" s="278" t="s">
        <v>10</v>
      </c>
      <c r="B108" s="278">
        <v>140</v>
      </c>
      <c r="C108" s="171" t="s">
        <v>62</v>
      </c>
      <c r="D108" s="172">
        <f>IFERROR(VLOOKUP(C108,'BURGERATOR ÜRÜN İÇERİK'!$A$1:$D$42,4,),"")</f>
        <v>11</v>
      </c>
      <c r="E108" s="177">
        <f>SUM(D108:D115)</f>
        <v>142.44444444444443</v>
      </c>
    </row>
    <row r="109" spans="1:5" ht="16.5" customHeight="1" x14ac:dyDescent="0.25">
      <c r="A109" s="278"/>
      <c r="B109" s="278"/>
      <c r="C109" s="171" t="s">
        <v>152</v>
      </c>
      <c r="D109" s="172">
        <f>IFERROR(VLOOKUP(C109,'BURGERATOR ÜRÜN İÇERİK'!$A$1:$D$42,4,),"")</f>
        <v>3</v>
      </c>
      <c r="E109" s="177"/>
    </row>
    <row r="110" spans="1:5" ht="16.5" customHeight="1" x14ac:dyDescent="0.25">
      <c r="A110" s="278"/>
      <c r="B110" s="278"/>
      <c r="C110" s="171" t="s">
        <v>65</v>
      </c>
      <c r="D110" s="172">
        <f>IFERROR(VLOOKUP(C110,'BURGERATOR ÜRÜN İÇERİK'!$A$1:$D$42,4,),"")*1.4</f>
        <v>67.199999999999989</v>
      </c>
      <c r="E110" s="177"/>
    </row>
    <row r="111" spans="1:5" ht="16.5" customHeight="1" x14ac:dyDescent="0.25">
      <c r="A111" s="278"/>
      <c r="B111" s="278"/>
      <c r="C111" s="171" t="s">
        <v>60</v>
      </c>
      <c r="D111" s="172">
        <f>IFERROR(VLOOKUP(C111,'BURGERATOR ÜRÜN İÇERİK'!$A$1:$D$42,4,),"")</f>
        <v>4.4444444444444446</v>
      </c>
      <c r="E111" s="177"/>
    </row>
    <row r="112" spans="1:5" ht="16.5" customHeight="1" x14ac:dyDescent="0.25">
      <c r="A112" s="278"/>
      <c r="B112" s="278"/>
      <c r="C112" s="171" t="s">
        <v>63</v>
      </c>
      <c r="D112" s="172">
        <f>IFERROR(VLOOKUP(C112,'BURGERATOR ÜRÜN İÇERİK'!$A$1:$D$42,4,),"")</f>
        <v>9.1</v>
      </c>
      <c r="E112" s="177"/>
    </row>
    <row r="113" spans="1:5" ht="16.5" customHeight="1" x14ac:dyDescent="0.25">
      <c r="A113" s="278"/>
      <c r="B113" s="278"/>
      <c r="C113" s="171" t="s">
        <v>57</v>
      </c>
      <c r="D113" s="172">
        <f>IFERROR(VLOOKUP(C113,'BURGERATOR ÜRÜN İÇERİK'!$A$1:$D$42,4,),"")</f>
        <v>1.5</v>
      </c>
      <c r="E113" s="177"/>
    </row>
    <row r="114" spans="1:5" ht="16.5" customHeight="1" x14ac:dyDescent="0.25">
      <c r="A114" s="278"/>
      <c r="B114" s="278"/>
      <c r="C114" s="171" t="s">
        <v>24</v>
      </c>
      <c r="D114" s="172">
        <f>IFERROR(VLOOKUP(C114,'BURGERATOR ÜRÜN İÇERİK'!$A$1:$D$42,4,),"")</f>
        <v>19.2</v>
      </c>
      <c r="E114" s="177"/>
    </row>
    <row r="115" spans="1:5" x14ac:dyDescent="0.25">
      <c r="A115" s="278"/>
      <c r="B115" s="278"/>
      <c r="C115" s="171" t="s">
        <v>70</v>
      </c>
      <c r="D115" s="172">
        <f>IFERROR(VLOOKUP(C115,'BURGERATOR ÜRÜN İÇERİK'!$A$1:$D$42,4,),"")</f>
        <v>27</v>
      </c>
      <c r="E115" s="177"/>
    </row>
    <row r="116" spans="1:5" x14ac:dyDescent="0.25">
      <c r="A116" s="278" t="s">
        <v>5</v>
      </c>
      <c r="B116" s="278">
        <v>140</v>
      </c>
      <c r="C116" s="171" t="s">
        <v>62</v>
      </c>
      <c r="D116" s="172">
        <f>IFERROR(VLOOKUP(C116,'BURGERATOR ÜRÜN İÇERİK'!$A$1:$D$42,4,),"")</f>
        <v>11</v>
      </c>
      <c r="E116" s="177">
        <f>SUM(D116:D123)</f>
        <v>182.77222222222221</v>
      </c>
    </row>
    <row r="117" spans="1:5" ht="16.5" customHeight="1" x14ac:dyDescent="0.25">
      <c r="A117" s="278"/>
      <c r="B117" s="278"/>
      <c r="C117" s="171" t="s">
        <v>77</v>
      </c>
      <c r="D117" s="172">
        <f>IFERROR(VLOOKUP(C117,'BURGERATOR ÜRÜN İÇERİK'!$A$1:$D$42,4,),"")</f>
        <v>31.200000000000003</v>
      </c>
      <c r="E117" s="177"/>
    </row>
    <row r="118" spans="1:5" ht="16.5" customHeight="1" x14ac:dyDescent="0.25">
      <c r="A118" s="278"/>
      <c r="B118" s="278"/>
      <c r="C118" s="171" t="s">
        <v>65</v>
      </c>
      <c r="D118" s="172">
        <f>IFERROR(VLOOKUP(C118,'BURGERATOR ÜRÜN İÇERİK'!$A$1:$D$42,4,),"")*1.4</f>
        <v>67.199999999999989</v>
      </c>
      <c r="E118" s="177"/>
    </row>
    <row r="119" spans="1:5" ht="16.5" customHeight="1" x14ac:dyDescent="0.25">
      <c r="A119" s="278"/>
      <c r="B119" s="278"/>
      <c r="C119" s="171" t="s">
        <v>158</v>
      </c>
      <c r="D119" s="172">
        <f>IFERROR(VLOOKUP(C119,'BURGERATOR ÜRÜN İÇERİK'!$A$1:$D$42,4,),"")</f>
        <v>3.4722222222222223</v>
      </c>
      <c r="E119" s="177"/>
    </row>
    <row r="120" spans="1:5" ht="16.5" customHeight="1" x14ac:dyDescent="0.25">
      <c r="A120" s="278"/>
      <c r="B120" s="278"/>
      <c r="C120" s="171" t="s">
        <v>76</v>
      </c>
      <c r="D120" s="172">
        <f>IFERROR(VLOOKUP(C120,'BURGERATOR ÜRÜN İÇERİK'!$A$1:$D$42,4,),"")</f>
        <v>20.7</v>
      </c>
      <c r="E120" s="177"/>
    </row>
    <row r="121" spans="1:5" ht="16.5" customHeight="1" x14ac:dyDescent="0.25">
      <c r="A121" s="278"/>
      <c r="B121" s="278"/>
      <c r="C121" s="171" t="s">
        <v>91</v>
      </c>
      <c r="D121" s="172">
        <f>IFERROR(VLOOKUP(C121,'BURGERATOR ÜRÜN İÇERİK'!$A$1:$D$42,4,),"")</f>
        <v>3</v>
      </c>
      <c r="E121" s="177"/>
    </row>
    <row r="122" spans="1:5" ht="16.5" customHeight="1" x14ac:dyDescent="0.25">
      <c r="A122" s="278"/>
      <c r="B122" s="278"/>
      <c r="C122" s="171" t="s">
        <v>24</v>
      </c>
      <c r="D122" s="172">
        <f>IFERROR(VLOOKUP(C122,'BURGERATOR ÜRÜN İÇERİK'!$A$1:$D$42,4,),"")</f>
        <v>19.2</v>
      </c>
      <c r="E122" s="177"/>
    </row>
    <row r="123" spans="1:5" x14ac:dyDescent="0.25">
      <c r="A123" s="278"/>
      <c r="B123" s="278"/>
      <c r="C123" s="171" t="s">
        <v>70</v>
      </c>
      <c r="D123" s="172">
        <f>IFERROR(VLOOKUP(C123,'BURGERATOR ÜRÜN İÇERİK'!$A$1:$D$42,4,),"")</f>
        <v>27</v>
      </c>
      <c r="E123" s="177"/>
    </row>
    <row r="124" spans="1:5" x14ac:dyDescent="0.25">
      <c r="A124" s="278" t="s">
        <v>6</v>
      </c>
      <c r="B124" s="278">
        <v>140</v>
      </c>
      <c r="C124" s="171" t="s">
        <v>62</v>
      </c>
      <c r="D124" s="172">
        <f>IFERROR(VLOOKUP(C124,'BURGERATOR ÜRÜN İÇERİK'!$A$1:$D$42,4,),"")</f>
        <v>11</v>
      </c>
      <c r="E124" s="177">
        <f>SUM(D124:D131)</f>
        <v>143.94444444444443</v>
      </c>
    </row>
    <row r="125" spans="1:5" ht="16.5" customHeight="1" x14ac:dyDescent="0.25">
      <c r="A125" s="278"/>
      <c r="B125" s="278"/>
      <c r="C125" s="171" t="s">
        <v>155</v>
      </c>
      <c r="D125" s="172">
        <f>IFERROR(VLOOKUP(C125,'BURGERATOR ÜRÜN İÇERİK'!$A$1:$D$42,4,),"")</f>
        <v>3</v>
      </c>
      <c r="E125" s="177"/>
    </row>
    <row r="126" spans="1:5" ht="16.5" customHeight="1" x14ac:dyDescent="0.25">
      <c r="A126" s="278"/>
      <c r="B126" s="278"/>
      <c r="C126" s="171" t="s">
        <v>65</v>
      </c>
      <c r="D126" s="172">
        <f>IFERROR(VLOOKUP(C126,'BURGERATOR ÜRÜN İÇERİK'!$A$1:$D$42,4,),"")*1.4</f>
        <v>67.199999999999989</v>
      </c>
      <c r="E126" s="177"/>
    </row>
    <row r="127" spans="1:5" ht="16.5" customHeight="1" x14ac:dyDescent="0.25">
      <c r="A127" s="278"/>
      <c r="B127" s="278"/>
      <c r="C127" s="171" t="s">
        <v>60</v>
      </c>
      <c r="D127" s="172">
        <f>IFERROR(VLOOKUP(C127,'BURGERATOR ÜRÜN İÇERİK'!$A$1:$D$42,4,),"")</f>
        <v>4.4444444444444446</v>
      </c>
      <c r="E127" s="177"/>
    </row>
    <row r="128" spans="1:5" ht="16.5" customHeight="1" x14ac:dyDescent="0.25">
      <c r="A128" s="278"/>
      <c r="B128" s="278"/>
      <c r="C128" s="171" t="s">
        <v>63</v>
      </c>
      <c r="D128" s="172">
        <f>IFERROR(VLOOKUP(C128,'BURGERATOR ÜRÜN İÇERİK'!$A$1:$D$42,4,),"")</f>
        <v>9.1</v>
      </c>
      <c r="E128" s="177"/>
    </row>
    <row r="129" spans="1:5" ht="16.5" customHeight="1" x14ac:dyDescent="0.25">
      <c r="A129" s="278"/>
      <c r="B129" s="278"/>
      <c r="C129" s="171" t="s">
        <v>161</v>
      </c>
      <c r="D129" s="172">
        <f>IFERROR(VLOOKUP(C129,'BURGERATOR ÜRÜN İÇERİK'!$A$1:$D$42,4,),"")</f>
        <v>3</v>
      </c>
      <c r="E129" s="177"/>
    </row>
    <row r="130" spans="1:5" ht="16.5" customHeight="1" x14ac:dyDescent="0.25">
      <c r="A130" s="278"/>
      <c r="B130" s="278"/>
      <c r="C130" s="171" t="s">
        <v>24</v>
      </c>
      <c r="D130" s="172">
        <f>IFERROR(VLOOKUP(C130,'BURGERATOR ÜRÜN İÇERİK'!$A$1:$D$42,4,),"")</f>
        <v>19.2</v>
      </c>
      <c r="E130" s="177"/>
    </row>
    <row r="131" spans="1:5" x14ac:dyDescent="0.25">
      <c r="A131" s="278"/>
      <c r="B131" s="278"/>
      <c r="C131" s="171" t="s">
        <v>70</v>
      </c>
      <c r="D131" s="172">
        <f>IFERROR(VLOOKUP(C131,'BURGERATOR ÜRÜN İÇERİK'!$A$1:$D$42,4,),"")</f>
        <v>27</v>
      </c>
      <c r="E131" s="177"/>
    </row>
    <row r="132" spans="1:5" x14ac:dyDescent="0.25">
      <c r="A132" s="278" t="s">
        <v>13</v>
      </c>
      <c r="B132" s="278">
        <v>140</v>
      </c>
      <c r="C132" s="171" t="s">
        <v>62</v>
      </c>
      <c r="D132" s="172">
        <f>IFERROR(VLOOKUP(C132,'BURGERATOR ÜRÜN İÇERİK'!$A$1:$D$42,4,),"")</f>
        <v>11</v>
      </c>
      <c r="E132" s="177">
        <f>SUM(D132:D139)</f>
        <v>148.84444444444443</v>
      </c>
    </row>
    <row r="133" spans="1:5" ht="16.5" customHeight="1" x14ac:dyDescent="0.25">
      <c r="A133" s="278"/>
      <c r="B133" s="278"/>
      <c r="C133" s="171" t="s">
        <v>155</v>
      </c>
      <c r="D133" s="172">
        <f>IFERROR(VLOOKUP(C133,'BURGERATOR ÜRÜN İÇERİK'!$A$1:$D$42,4,),"")</f>
        <v>3</v>
      </c>
      <c r="E133" s="177"/>
    </row>
    <row r="134" spans="1:5" ht="16.5" customHeight="1" x14ac:dyDescent="0.25">
      <c r="A134" s="278"/>
      <c r="B134" s="278"/>
      <c r="C134" s="171" t="s">
        <v>65</v>
      </c>
      <c r="D134" s="172">
        <f>IFERROR(VLOOKUP(C134,'BURGERATOR ÜRÜN İÇERİK'!$A$1:$D$42,4,),"")*1.4</f>
        <v>67.199999999999989</v>
      </c>
      <c r="E134" s="177"/>
    </row>
    <row r="135" spans="1:5" ht="16.5" customHeight="1" x14ac:dyDescent="0.25">
      <c r="A135" s="278"/>
      <c r="B135" s="278"/>
      <c r="C135" s="171" t="s">
        <v>60</v>
      </c>
      <c r="D135" s="172">
        <f>IFERROR(VLOOKUP(C135,'BURGERATOR ÜRÜN İÇERİK'!$A$1:$D$42,4,),"")</f>
        <v>4.4444444444444446</v>
      </c>
      <c r="E135" s="177"/>
    </row>
    <row r="136" spans="1:5" ht="16.5" customHeight="1" x14ac:dyDescent="0.25">
      <c r="A136" s="278"/>
      <c r="B136" s="278"/>
      <c r="C136" s="171" t="s">
        <v>133</v>
      </c>
      <c r="D136" s="172">
        <f>IFERROR(VLOOKUP(C136,'BURGERATOR ÜRÜN İÇERİK'!$A$1:$D$42,4,),"")</f>
        <v>14</v>
      </c>
      <c r="E136" s="177"/>
    </row>
    <row r="137" spans="1:5" ht="16.5" customHeight="1" x14ac:dyDescent="0.25">
      <c r="A137" s="278"/>
      <c r="B137" s="278"/>
      <c r="C137" s="171" t="s">
        <v>91</v>
      </c>
      <c r="D137" s="172">
        <f>IFERROR(VLOOKUP(C137,'BURGERATOR ÜRÜN İÇERİK'!$A$1:$D$42,4,),"")</f>
        <v>3</v>
      </c>
      <c r="E137" s="177"/>
    </row>
    <row r="138" spans="1:5" ht="16.5" customHeight="1" x14ac:dyDescent="0.25">
      <c r="A138" s="278"/>
      <c r="B138" s="278"/>
      <c r="C138" s="171" t="s">
        <v>24</v>
      </c>
      <c r="D138" s="172">
        <f>IFERROR(VLOOKUP(C138,'BURGERATOR ÜRÜN İÇERİK'!$A$1:$D$42,4,),"")</f>
        <v>19.2</v>
      </c>
      <c r="E138" s="177"/>
    </row>
    <row r="139" spans="1:5" x14ac:dyDescent="0.25">
      <c r="A139" s="278"/>
      <c r="B139" s="278"/>
      <c r="C139" s="171" t="s">
        <v>70</v>
      </c>
      <c r="D139" s="172">
        <f>IFERROR(VLOOKUP(C139,'BURGERATOR ÜRÜN İÇERİK'!$A$1:$D$42,4,),"")</f>
        <v>27</v>
      </c>
      <c r="E139" s="177"/>
    </row>
    <row r="140" spans="1:5" x14ac:dyDescent="0.25">
      <c r="A140" s="278" t="s">
        <v>7</v>
      </c>
      <c r="B140" s="278">
        <v>140</v>
      </c>
      <c r="C140" s="171" t="s">
        <v>62</v>
      </c>
      <c r="D140" s="172">
        <f>IFERROR(VLOOKUP(C140,'BURGERATOR ÜRÜN İÇERİK'!$A$1:$D$42,4,),"")</f>
        <v>11</v>
      </c>
      <c r="E140" s="177">
        <f>SUM(D140:D147)</f>
        <v>142.44444444444443</v>
      </c>
    </row>
    <row r="141" spans="1:5" ht="16.5" customHeight="1" x14ac:dyDescent="0.25">
      <c r="A141" s="278"/>
      <c r="B141" s="278"/>
      <c r="C141" s="171" t="s">
        <v>155</v>
      </c>
      <c r="D141" s="172">
        <f>IFERROR(VLOOKUP(C141,'BURGERATOR ÜRÜN İÇERİK'!$A$1:$D$42,4,),"")</f>
        <v>3</v>
      </c>
      <c r="E141" s="177"/>
    </row>
    <row r="142" spans="1:5" ht="16.5" customHeight="1" x14ac:dyDescent="0.25">
      <c r="A142" s="278"/>
      <c r="B142" s="278"/>
      <c r="C142" s="171" t="s">
        <v>65</v>
      </c>
      <c r="D142" s="172">
        <f>IFERROR(VLOOKUP(C142,'BURGERATOR ÜRÜN İÇERİK'!$A$1:$D$42,4,),"")*1.4</f>
        <v>67.199999999999989</v>
      </c>
      <c r="E142" s="177"/>
    </row>
    <row r="143" spans="1:5" ht="16.5" customHeight="1" x14ac:dyDescent="0.25">
      <c r="A143" s="278"/>
      <c r="B143" s="278"/>
      <c r="C143" s="171" t="s">
        <v>60</v>
      </c>
      <c r="D143" s="172">
        <f>IFERROR(VLOOKUP(C143,'BURGERATOR ÜRÜN İÇERİK'!$A$1:$D$42,4,),"")</f>
        <v>4.4444444444444446</v>
      </c>
      <c r="E143" s="177"/>
    </row>
    <row r="144" spans="1:5" ht="16.5" customHeight="1" x14ac:dyDescent="0.25">
      <c r="A144" s="278"/>
      <c r="B144" s="278"/>
      <c r="C144" s="171" t="s">
        <v>63</v>
      </c>
      <c r="D144" s="172">
        <f>IFERROR(VLOOKUP(C144,'BURGERATOR ÜRÜN İÇERİK'!$A$1:$D$42,4,),"")</f>
        <v>9.1</v>
      </c>
      <c r="E144" s="177"/>
    </row>
    <row r="145" spans="1:5" ht="16.5" customHeight="1" x14ac:dyDescent="0.25">
      <c r="A145" s="278"/>
      <c r="B145" s="278"/>
      <c r="C145" s="171" t="s">
        <v>57</v>
      </c>
      <c r="D145" s="172">
        <f>IFERROR(VLOOKUP(C145,'BURGERATOR ÜRÜN İÇERİK'!$A$1:$D$42,4,),"")</f>
        <v>1.5</v>
      </c>
      <c r="E145" s="177"/>
    </row>
    <row r="146" spans="1:5" ht="16.5" customHeight="1" x14ac:dyDescent="0.25">
      <c r="A146" s="278"/>
      <c r="B146" s="278"/>
      <c r="C146" s="171" t="s">
        <v>24</v>
      </c>
      <c r="D146" s="172">
        <f>IFERROR(VLOOKUP(C146,'BURGERATOR ÜRÜN İÇERİK'!$A$1:$D$42,4,),"")</f>
        <v>19.2</v>
      </c>
      <c r="E146" s="177"/>
    </row>
    <row r="147" spans="1:5" x14ac:dyDescent="0.25">
      <c r="A147" s="278"/>
      <c r="B147" s="278"/>
      <c r="C147" s="171" t="s">
        <v>70</v>
      </c>
      <c r="D147" s="172">
        <f>IFERROR(VLOOKUP(C147,'BURGERATOR ÜRÜN İÇERİK'!$A$1:$D$42,4,),"")</f>
        <v>27</v>
      </c>
      <c r="E147" s="177"/>
    </row>
    <row r="148" spans="1:5" x14ac:dyDescent="0.25">
      <c r="A148" s="278" t="s">
        <v>9</v>
      </c>
      <c r="B148" s="278">
        <v>200</v>
      </c>
      <c r="C148" s="171" t="s">
        <v>62</v>
      </c>
      <c r="D148" s="172">
        <f>IFERROR(VLOOKUP(C148,'BURGERATOR ÜRÜN İÇERİK'!$A$1:$D$42,4,),"")</f>
        <v>11</v>
      </c>
      <c r="E148" s="177">
        <f>SUM(D148:D155)</f>
        <v>186.28888888888886</v>
      </c>
    </row>
    <row r="149" spans="1:5" x14ac:dyDescent="0.25">
      <c r="A149" s="278"/>
      <c r="B149" s="278"/>
      <c r="C149" s="171" t="s">
        <v>154</v>
      </c>
      <c r="D149" s="172">
        <f>IFERROR(VLOOKUP(C149,'BURGERATOR ÜRÜN İÇERİK'!$A$1:$D$42,4,),"")</f>
        <v>3</v>
      </c>
      <c r="E149" s="177"/>
    </row>
    <row r="150" spans="1:5" x14ac:dyDescent="0.25">
      <c r="A150" s="278"/>
      <c r="B150" s="278"/>
      <c r="C150" s="171" t="s">
        <v>65</v>
      </c>
      <c r="D150" s="172">
        <f>IFERROR(VLOOKUP(C150,'BURGERATOR ÜRÜN İÇERİK'!$A$1:$D$42,4,),"")*2</f>
        <v>96</v>
      </c>
      <c r="E150" s="177"/>
    </row>
    <row r="151" spans="1:5" x14ac:dyDescent="0.25">
      <c r="A151" s="278"/>
      <c r="B151" s="278"/>
      <c r="C151" s="171" t="s">
        <v>60</v>
      </c>
      <c r="D151" s="172">
        <f>IFERROR(VLOOKUP(C151,'BURGERATOR ÜRÜN İÇERİK'!$A$1:$D$42,4,),"")*2</f>
        <v>8.8888888888888893</v>
      </c>
      <c r="E151" s="177"/>
    </row>
    <row r="152" spans="1:5" x14ac:dyDescent="0.25">
      <c r="A152" s="278"/>
      <c r="B152" s="278"/>
      <c r="C152" s="171" t="s">
        <v>63</v>
      </c>
      <c r="D152" s="172">
        <f>IFERROR(VLOOKUP(C152,'BURGERATOR ÜRÜN İÇERİK'!$A$1:$D$42,4,),"")*2</f>
        <v>18.2</v>
      </c>
      <c r="E152" s="177"/>
    </row>
    <row r="153" spans="1:5" x14ac:dyDescent="0.25">
      <c r="A153" s="278"/>
      <c r="B153" s="278"/>
      <c r="C153" s="171" t="s">
        <v>162</v>
      </c>
      <c r="D153" s="172">
        <f>IFERROR(VLOOKUP(C153,'BURGERATOR ÜRÜN İÇERİK'!$A$1:$D$42,4,),"")</f>
        <v>3</v>
      </c>
      <c r="E153" s="177"/>
    </row>
    <row r="154" spans="1:5" x14ac:dyDescent="0.25">
      <c r="A154" s="278"/>
      <c r="B154" s="278"/>
      <c r="C154" s="171" t="s">
        <v>24</v>
      </c>
      <c r="D154" s="172">
        <f>IFERROR(VLOOKUP(C154,'BURGERATOR ÜRÜN İÇERİK'!$A$1:$D$42,4,),"")</f>
        <v>19.2</v>
      </c>
      <c r="E154" s="177"/>
    </row>
    <row r="155" spans="1:5" x14ac:dyDescent="0.25">
      <c r="A155" s="278"/>
      <c r="B155" s="278"/>
      <c r="C155" s="171" t="s">
        <v>70</v>
      </c>
      <c r="D155" s="172">
        <f>IFERROR(VLOOKUP(C155,'BURGERATOR ÜRÜN İÇERİK'!$A$1:$D$42,4,),"")</f>
        <v>27</v>
      </c>
      <c r="E155" s="177"/>
    </row>
    <row r="156" spans="1:5" x14ac:dyDescent="0.25">
      <c r="A156" s="278" t="s">
        <v>135</v>
      </c>
      <c r="B156" s="278">
        <v>200</v>
      </c>
      <c r="C156" s="171" t="s">
        <v>62</v>
      </c>
      <c r="D156" s="172">
        <f>IFERROR(VLOOKUP(C156,'BURGERATOR ÜRÜN İÇERİK'!$A$1:$D$42,4,),"")</f>
        <v>11</v>
      </c>
      <c r="E156" s="177">
        <f>SUM(D156:D164)</f>
        <v>193.28888888888886</v>
      </c>
    </row>
    <row r="157" spans="1:5" x14ac:dyDescent="0.25">
      <c r="A157" s="278"/>
      <c r="B157" s="278"/>
      <c r="C157" s="171" t="s">
        <v>163</v>
      </c>
      <c r="D157" s="172">
        <f>IFERROR(VLOOKUP(C157,'BURGERATOR ÜRÜN İÇERİK'!$A$1:$D$42,4,),"")</f>
        <v>5</v>
      </c>
      <c r="E157" s="177"/>
    </row>
    <row r="158" spans="1:5" x14ac:dyDescent="0.25">
      <c r="A158" s="278"/>
      <c r="B158" s="278"/>
      <c r="C158" s="171" t="s">
        <v>65</v>
      </c>
      <c r="D158" s="172">
        <f>IFERROR(VLOOKUP(C158,'BURGERATOR ÜRÜN İÇERİK'!$A$1:$D$42,4,),"")*2</f>
        <v>96</v>
      </c>
      <c r="E158" s="177"/>
    </row>
    <row r="159" spans="1:5" x14ac:dyDescent="0.25">
      <c r="A159" s="278"/>
      <c r="B159" s="278"/>
      <c r="C159" s="171" t="s">
        <v>60</v>
      </c>
      <c r="D159" s="172">
        <f>IFERROR(VLOOKUP(C159,'BURGERATOR ÜRÜN İÇERİK'!$A$1:$D$42,4,),"")*2</f>
        <v>8.8888888888888893</v>
      </c>
      <c r="E159" s="177"/>
    </row>
    <row r="160" spans="1:5" x14ac:dyDescent="0.25">
      <c r="A160" s="278"/>
      <c r="B160" s="278"/>
      <c r="C160" s="171" t="s">
        <v>63</v>
      </c>
      <c r="D160" s="172">
        <f>IFERROR(VLOOKUP(C160,'BURGERATOR ÜRÜN İÇERİK'!$A$1:$D$42,4,),"")*2</f>
        <v>18.2</v>
      </c>
      <c r="E160" s="177"/>
    </row>
    <row r="161" spans="1:5" x14ac:dyDescent="0.25">
      <c r="A161" s="278"/>
      <c r="B161" s="278"/>
      <c r="C161" s="171" t="s">
        <v>136</v>
      </c>
      <c r="D161" s="172">
        <f>IFERROR(VLOOKUP(C161,'BURGERATOR ÜRÜN İÇERİK'!$A$1:$D$42,4,),"")</f>
        <v>3</v>
      </c>
      <c r="E161" s="177"/>
    </row>
    <row r="162" spans="1:5" x14ac:dyDescent="0.25">
      <c r="A162" s="278"/>
      <c r="B162" s="278"/>
      <c r="C162" s="171" t="s">
        <v>192</v>
      </c>
      <c r="D162" s="172">
        <f>IFERROR(VLOOKUP(C162,'BURGERATOR ÜRÜN İÇERİK'!$A$1:$D$42,4,),"")</f>
        <v>5</v>
      </c>
      <c r="E162" s="177"/>
    </row>
    <row r="163" spans="1:5" x14ac:dyDescent="0.25">
      <c r="A163" s="278"/>
      <c r="B163" s="278"/>
      <c r="C163" s="171" t="s">
        <v>24</v>
      </c>
      <c r="D163" s="172">
        <f>IFERROR(VLOOKUP(C163,'BURGERATOR ÜRÜN İÇERİK'!$A$1:$D$42,4,),"")</f>
        <v>19.2</v>
      </c>
      <c r="E163" s="177"/>
    </row>
    <row r="164" spans="1:5" x14ac:dyDescent="0.25">
      <c r="A164" s="278"/>
      <c r="B164" s="278"/>
      <c r="C164" s="171" t="s">
        <v>70</v>
      </c>
      <c r="D164" s="172">
        <f>IFERROR(VLOOKUP(C164,'BURGERATOR ÜRÜN İÇERİK'!$A$1:$D$42,4,),"")</f>
        <v>27</v>
      </c>
      <c r="E164" s="177"/>
    </row>
    <row r="165" spans="1:5" x14ac:dyDescent="0.25">
      <c r="A165" s="278" t="s">
        <v>18</v>
      </c>
      <c r="B165" s="278">
        <v>200</v>
      </c>
      <c r="C165" s="171" t="s">
        <v>62</v>
      </c>
      <c r="D165" s="172">
        <f>IFERROR(VLOOKUP(C165,'BURGERATOR ÜRÜN İÇERİK'!$A$1:$D$42,4,),"")</f>
        <v>11</v>
      </c>
      <c r="E165" s="177">
        <f>SUM(D165:D172)</f>
        <v>200.42222222222222</v>
      </c>
    </row>
    <row r="166" spans="1:5" x14ac:dyDescent="0.25">
      <c r="A166" s="278"/>
      <c r="B166" s="278"/>
      <c r="C166" s="171" t="s">
        <v>163</v>
      </c>
      <c r="D166" s="172">
        <f>IFERROR(VLOOKUP(C166,'BURGERATOR ÜRÜN İÇERİK'!$A$1:$D$42,4,),"")</f>
        <v>5</v>
      </c>
      <c r="E166" s="177"/>
    </row>
    <row r="167" spans="1:5" x14ac:dyDescent="0.25">
      <c r="A167" s="278"/>
      <c r="B167" s="278"/>
      <c r="C167" s="171" t="s">
        <v>65</v>
      </c>
      <c r="D167" s="172">
        <f>IFERROR(VLOOKUP(C167,'BURGERATOR ÜRÜN İÇERİK'!$A$1:$D$42,4,),"")*2</f>
        <v>96</v>
      </c>
      <c r="E167" s="177"/>
    </row>
    <row r="168" spans="1:5" x14ac:dyDescent="0.25">
      <c r="A168" s="278"/>
      <c r="B168" s="278"/>
      <c r="C168" s="171" t="s">
        <v>60</v>
      </c>
      <c r="D168" s="172">
        <f>IFERROR(VLOOKUP(C168,'BURGERATOR ÜRÜN İÇERİK'!$A$1:$D$42,4,),"")*2</f>
        <v>8.8888888888888893</v>
      </c>
      <c r="E168" s="177"/>
    </row>
    <row r="169" spans="1:5" x14ac:dyDescent="0.25">
      <c r="A169" s="278"/>
      <c r="B169" s="278"/>
      <c r="C169" s="171" t="s">
        <v>164</v>
      </c>
      <c r="D169" s="172">
        <f>IFERROR(VLOOKUP(C169,'BURGERATOR ÜRÜN İÇERİK'!$A$1:$D$42,4,),"")</f>
        <v>30.333333333333332</v>
      </c>
      <c r="E169" s="177"/>
    </row>
    <row r="170" spans="1:5" x14ac:dyDescent="0.25">
      <c r="A170" s="278"/>
      <c r="B170" s="278"/>
      <c r="C170" s="171" t="s">
        <v>161</v>
      </c>
      <c r="D170" s="172">
        <f>IFERROR(VLOOKUP(C170,'BURGERATOR ÜRÜN İÇERİK'!$A$1:$D$42,4,),"")</f>
        <v>3</v>
      </c>
      <c r="E170" s="177"/>
    </row>
    <row r="171" spans="1:5" x14ac:dyDescent="0.25">
      <c r="A171" s="278"/>
      <c r="B171" s="278"/>
      <c r="C171" s="171" t="s">
        <v>24</v>
      </c>
      <c r="D171" s="172">
        <f>IFERROR(VLOOKUP(C171,'BURGERATOR ÜRÜN İÇERİK'!$A$1:$D$42,4,),"")</f>
        <v>19.2</v>
      </c>
      <c r="E171" s="177"/>
    </row>
    <row r="172" spans="1:5" x14ac:dyDescent="0.25">
      <c r="A172" s="278"/>
      <c r="B172" s="278"/>
      <c r="C172" s="171" t="s">
        <v>70</v>
      </c>
      <c r="D172" s="172">
        <f>IFERROR(VLOOKUP(C172,'BURGERATOR ÜRÜN İÇERİK'!$A$1:$D$42,4,),"")</f>
        <v>27</v>
      </c>
      <c r="E172" s="177"/>
    </row>
    <row r="173" spans="1:5" x14ac:dyDescent="0.25">
      <c r="A173" s="278" t="s">
        <v>11</v>
      </c>
      <c r="B173" s="278">
        <v>200</v>
      </c>
      <c r="C173" s="171" t="s">
        <v>62</v>
      </c>
      <c r="D173" s="172">
        <f>IFERROR(VLOOKUP(C173,'BURGERATOR ÜRÜN İÇERİK'!$A$1:$D$42,4,),"")</f>
        <v>11</v>
      </c>
      <c r="E173" s="177">
        <f>SUM(D173:D180)</f>
        <v>187.78888888888886</v>
      </c>
    </row>
    <row r="174" spans="1:5" x14ac:dyDescent="0.25">
      <c r="A174" s="278"/>
      <c r="B174" s="278"/>
      <c r="C174" s="171" t="s">
        <v>157</v>
      </c>
      <c r="D174" s="172">
        <f>IFERROR(VLOOKUP(C174,'BURGERATOR ÜRÜN İÇERİK'!$A$1:$D$42,4,),"")</f>
        <v>6</v>
      </c>
      <c r="E174" s="177"/>
    </row>
    <row r="175" spans="1:5" x14ac:dyDescent="0.25">
      <c r="A175" s="278"/>
      <c r="B175" s="278"/>
      <c r="C175" s="171" t="s">
        <v>65</v>
      </c>
      <c r="D175" s="172">
        <f>IFERROR(VLOOKUP(C175,'BURGERATOR ÜRÜN İÇERİK'!$A$1:$D$42,4,),"")*2</f>
        <v>96</v>
      </c>
      <c r="E175" s="177"/>
    </row>
    <row r="176" spans="1:5" x14ac:dyDescent="0.25">
      <c r="A176" s="278"/>
      <c r="B176" s="278"/>
      <c r="C176" s="171" t="s">
        <v>60</v>
      </c>
      <c r="D176" s="172">
        <f>IFERROR(VLOOKUP(C176,'BURGERATOR ÜRÜN İÇERİK'!$A$1:$D$42,4,),"")*2</f>
        <v>8.8888888888888893</v>
      </c>
      <c r="E176" s="177"/>
    </row>
    <row r="177" spans="1:5" x14ac:dyDescent="0.25">
      <c r="A177" s="278"/>
      <c r="B177" s="278"/>
      <c r="C177" s="171" t="s">
        <v>63</v>
      </c>
      <c r="D177" s="172">
        <f>IFERROR(VLOOKUP(C177,'BURGERATOR ÜRÜN İÇERİK'!$A$1:$D$42,4,),"")*2</f>
        <v>18.2</v>
      </c>
      <c r="E177" s="177"/>
    </row>
    <row r="178" spans="1:5" x14ac:dyDescent="0.25">
      <c r="A178" s="278"/>
      <c r="B178" s="278"/>
      <c r="C178" s="171" t="s">
        <v>57</v>
      </c>
      <c r="D178" s="172">
        <f>IFERROR(VLOOKUP(C178,'BURGERATOR ÜRÜN İÇERİK'!$A$1:$D$42,4,),"")</f>
        <v>1.5</v>
      </c>
      <c r="E178" s="177"/>
    </row>
    <row r="179" spans="1:5" x14ac:dyDescent="0.25">
      <c r="A179" s="278"/>
      <c r="B179" s="278"/>
      <c r="C179" s="171" t="s">
        <v>24</v>
      </c>
      <c r="D179" s="172">
        <f>IFERROR(VLOOKUP(C179,'BURGERATOR ÜRÜN İÇERİK'!$A$1:$D$42,4,),"")</f>
        <v>19.2</v>
      </c>
      <c r="E179" s="177"/>
    </row>
    <row r="180" spans="1:5" x14ac:dyDescent="0.25">
      <c r="A180" s="278"/>
      <c r="B180" s="278"/>
      <c r="C180" s="171" t="s">
        <v>70</v>
      </c>
      <c r="D180" s="172">
        <f>IFERROR(VLOOKUP(C180,'BURGERATOR ÜRÜN İÇERİK'!$A$1:$D$42,4,),"")</f>
        <v>27</v>
      </c>
      <c r="E180" s="177"/>
    </row>
    <row r="181" spans="1:5" x14ac:dyDescent="0.25">
      <c r="A181" s="278" t="s">
        <v>10</v>
      </c>
      <c r="B181" s="278">
        <v>200</v>
      </c>
      <c r="C181" s="171" t="s">
        <v>62</v>
      </c>
      <c r="D181" s="172">
        <f>IFERROR(VLOOKUP(C181,'BURGERATOR ÜRÜN İÇERİK'!$A$1:$D$42,4,),"")</f>
        <v>11</v>
      </c>
      <c r="E181" s="177">
        <f>SUM(D181:D188)</f>
        <v>184.78888888888886</v>
      </c>
    </row>
    <row r="182" spans="1:5" x14ac:dyDescent="0.25">
      <c r="A182" s="278"/>
      <c r="B182" s="278"/>
      <c r="C182" s="171" t="s">
        <v>152</v>
      </c>
      <c r="D182" s="172">
        <f>IFERROR(VLOOKUP(C182,'BURGERATOR ÜRÜN İÇERİK'!$A$1:$D$42,4,),"")</f>
        <v>3</v>
      </c>
      <c r="E182" s="177"/>
    </row>
    <row r="183" spans="1:5" x14ac:dyDescent="0.25">
      <c r="A183" s="278"/>
      <c r="B183" s="278"/>
      <c r="C183" s="171" t="s">
        <v>65</v>
      </c>
      <c r="D183" s="172">
        <f>IFERROR(VLOOKUP(C183,'BURGERATOR ÜRÜN İÇERİK'!$A$1:$D$42,4,),"")*2</f>
        <v>96</v>
      </c>
      <c r="E183" s="177"/>
    </row>
    <row r="184" spans="1:5" x14ac:dyDescent="0.25">
      <c r="A184" s="278"/>
      <c r="B184" s="278"/>
      <c r="C184" s="171" t="s">
        <v>60</v>
      </c>
      <c r="D184" s="172">
        <f>IFERROR(VLOOKUP(C184,'BURGERATOR ÜRÜN İÇERİK'!$A$1:$D$42,4,),"")*2</f>
        <v>8.8888888888888893</v>
      </c>
      <c r="E184" s="177"/>
    </row>
    <row r="185" spans="1:5" x14ac:dyDescent="0.25">
      <c r="A185" s="278"/>
      <c r="B185" s="278"/>
      <c r="C185" s="171" t="s">
        <v>63</v>
      </c>
      <c r="D185" s="172">
        <f>IFERROR(VLOOKUP(C185,'BURGERATOR ÜRÜN İÇERİK'!$A$1:$D$42,4,),"")*2</f>
        <v>18.2</v>
      </c>
      <c r="E185" s="177"/>
    </row>
    <row r="186" spans="1:5" x14ac:dyDescent="0.25">
      <c r="A186" s="278"/>
      <c r="B186" s="278"/>
      <c r="C186" s="171" t="s">
        <v>57</v>
      </c>
      <c r="D186" s="172">
        <f>IFERROR(VLOOKUP(C186,'BURGERATOR ÜRÜN İÇERİK'!$A$1:$D$42,4,),"")</f>
        <v>1.5</v>
      </c>
      <c r="E186" s="177"/>
    </row>
    <row r="187" spans="1:5" x14ac:dyDescent="0.25">
      <c r="A187" s="278"/>
      <c r="B187" s="278"/>
      <c r="C187" s="171" t="s">
        <v>24</v>
      </c>
      <c r="D187" s="172">
        <f>IFERROR(VLOOKUP(C187,'BURGERATOR ÜRÜN İÇERİK'!$A$1:$D$42,4,),"")</f>
        <v>19.2</v>
      </c>
      <c r="E187" s="177"/>
    </row>
    <row r="188" spans="1:5" x14ac:dyDescent="0.25">
      <c r="A188" s="278"/>
      <c r="B188" s="278"/>
      <c r="C188" s="171" t="s">
        <v>70</v>
      </c>
      <c r="D188" s="172">
        <f>IFERROR(VLOOKUP(C188,'BURGERATOR ÜRÜN İÇERİK'!$A$1:$D$42,4,),"")</f>
        <v>27</v>
      </c>
      <c r="E188" s="177"/>
    </row>
    <row r="189" spans="1:5" x14ac:dyDescent="0.25">
      <c r="A189" s="278" t="s">
        <v>5</v>
      </c>
      <c r="B189" s="278">
        <v>200</v>
      </c>
      <c r="C189" s="171" t="s">
        <v>62</v>
      </c>
      <c r="D189" s="172">
        <f>IFERROR(VLOOKUP(C189,'BURGERATOR ÜRÜN İÇERİK'!$A$1:$D$42,4,),"")</f>
        <v>11</v>
      </c>
      <c r="E189" s="177">
        <f>SUM(D189:D196)</f>
        <v>235.74444444444444</v>
      </c>
    </row>
    <row r="190" spans="1:5" x14ac:dyDescent="0.25">
      <c r="A190" s="278"/>
      <c r="B190" s="278"/>
      <c r="C190" s="171" t="s">
        <v>77</v>
      </c>
      <c r="D190" s="172">
        <f>IFERROR(VLOOKUP(C190,'BURGERATOR ÜRÜN İÇERİK'!$A$1:$D$42,4,),"")</f>
        <v>31.200000000000003</v>
      </c>
      <c r="E190" s="177"/>
    </row>
    <row r="191" spans="1:5" x14ac:dyDescent="0.25">
      <c r="A191" s="278"/>
      <c r="B191" s="278"/>
      <c r="C191" s="171" t="s">
        <v>65</v>
      </c>
      <c r="D191" s="172">
        <f>IFERROR(VLOOKUP(C191,'BURGERATOR ÜRÜN İÇERİK'!$A$1:$D$42,4,),"")*2</f>
        <v>96</v>
      </c>
      <c r="E191" s="177"/>
    </row>
    <row r="192" spans="1:5" x14ac:dyDescent="0.25">
      <c r="A192" s="278"/>
      <c r="B192" s="278"/>
      <c r="C192" s="171" t="s">
        <v>158</v>
      </c>
      <c r="D192" s="172">
        <f>IFERROR(VLOOKUP(C192,'BURGERATOR ÜRÜN İÇERİK'!$A$1:$D$42,4,),"")*2</f>
        <v>6.9444444444444446</v>
      </c>
      <c r="E192" s="177"/>
    </row>
    <row r="193" spans="1:5" x14ac:dyDescent="0.25">
      <c r="A193" s="278"/>
      <c r="B193" s="278"/>
      <c r="C193" s="171" t="s">
        <v>76</v>
      </c>
      <c r="D193" s="172">
        <f>IFERROR(VLOOKUP(C193,'BURGERATOR ÜRÜN İÇERİK'!$A$1:$D$42,4,),"")*2</f>
        <v>41.4</v>
      </c>
      <c r="E193" s="177"/>
    </row>
    <row r="194" spans="1:5" x14ac:dyDescent="0.25">
      <c r="A194" s="278"/>
      <c r="B194" s="278"/>
      <c r="C194" s="171" t="s">
        <v>91</v>
      </c>
      <c r="D194" s="172">
        <f>IFERROR(VLOOKUP(C194,'BURGERATOR ÜRÜN İÇERİK'!$A$1:$D$42,4,),"")</f>
        <v>3</v>
      </c>
      <c r="E194" s="177"/>
    </row>
    <row r="195" spans="1:5" x14ac:dyDescent="0.25">
      <c r="A195" s="278"/>
      <c r="B195" s="278"/>
      <c r="C195" s="171" t="s">
        <v>24</v>
      </c>
      <c r="D195" s="172">
        <f>IFERROR(VLOOKUP(C195,'BURGERATOR ÜRÜN İÇERİK'!$A$1:$D$42,4,),"")</f>
        <v>19.2</v>
      </c>
      <c r="E195" s="177"/>
    </row>
    <row r="196" spans="1:5" x14ac:dyDescent="0.25">
      <c r="A196" s="278"/>
      <c r="B196" s="278"/>
      <c r="C196" s="171" t="s">
        <v>70</v>
      </c>
      <c r="D196" s="172">
        <f>IFERROR(VLOOKUP(C196,'BURGERATOR ÜRÜN İÇERİK'!$A$1:$D$42,4,),"")</f>
        <v>27</v>
      </c>
      <c r="E196" s="177"/>
    </row>
    <row r="197" spans="1:5" x14ac:dyDescent="0.25">
      <c r="A197" s="278" t="s">
        <v>6</v>
      </c>
      <c r="B197" s="278">
        <v>200</v>
      </c>
      <c r="C197" s="171" t="s">
        <v>62</v>
      </c>
      <c r="D197" s="172">
        <f>IFERROR(VLOOKUP(C197,'BURGERATOR ÜRÜN İÇERİK'!$A$1:$D$42,4,),"")</f>
        <v>11</v>
      </c>
      <c r="E197" s="177">
        <f>SUM(D197:D204)</f>
        <v>186.28888888888886</v>
      </c>
    </row>
    <row r="198" spans="1:5" x14ac:dyDescent="0.25">
      <c r="A198" s="278"/>
      <c r="B198" s="278"/>
      <c r="C198" s="171" t="s">
        <v>155</v>
      </c>
      <c r="D198" s="172">
        <f>IFERROR(VLOOKUP(C198,'BURGERATOR ÜRÜN İÇERİK'!$A$1:$D$42,4,),"")</f>
        <v>3</v>
      </c>
      <c r="E198" s="177"/>
    </row>
    <row r="199" spans="1:5" x14ac:dyDescent="0.25">
      <c r="A199" s="278"/>
      <c r="B199" s="278"/>
      <c r="C199" s="171" t="s">
        <v>65</v>
      </c>
      <c r="D199" s="172">
        <f>IFERROR(VLOOKUP(C199,'BURGERATOR ÜRÜN İÇERİK'!$A$1:$D$42,4,),"")*2</f>
        <v>96</v>
      </c>
      <c r="E199" s="177"/>
    </row>
    <row r="200" spans="1:5" x14ac:dyDescent="0.25">
      <c r="A200" s="278"/>
      <c r="B200" s="278"/>
      <c r="C200" s="171" t="s">
        <v>60</v>
      </c>
      <c r="D200" s="172">
        <f>IFERROR(VLOOKUP(C200,'BURGERATOR ÜRÜN İÇERİK'!$A$1:$D$42,4,),"")*2</f>
        <v>8.8888888888888893</v>
      </c>
      <c r="E200" s="177"/>
    </row>
    <row r="201" spans="1:5" x14ac:dyDescent="0.25">
      <c r="A201" s="278"/>
      <c r="B201" s="278"/>
      <c r="C201" s="171" t="s">
        <v>63</v>
      </c>
      <c r="D201" s="172">
        <f>IFERROR(VLOOKUP(C201,'BURGERATOR ÜRÜN İÇERİK'!$A$1:$D$42,4,),"")*2</f>
        <v>18.2</v>
      </c>
      <c r="E201" s="177"/>
    </row>
    <row r="202" spans="1:5" x14ac:dyDescent="0.25">
      <c r="A202" s="278"/>
      <c r="B202" s="278"/>
      <c r="C202" s="171" t="s">
        <v>161</v>
      </c>
      <c r="D202" s="172">
        <f>IFERROR(VLOOKUP(C202,'BURGERATOR ÜRÜN İÇERİK'!$A$1:$D$42,4,),"")</f>
        <v>3</v>
      </c>
      <c r="E202" s="177"/>
    </row>
    <row r="203" spans="1:5" x14ac:dyDescent="0.25">
      <c r="A203" s="278"/>
      <c r="B203" s="278"/>
      <c r="C203" s="171" t="s">
        <v>24</v>
      </c>
      <c r="D203" s="172">
        <f>IFERROR(VLOOKUP(C203,'BURGERATOR ÜRÜN İÇERİK'!$A$1:$D$42,4,),"")</f>
        <v>19.2</v>
      </c>
      <c r="E203" s="177"/>
    </row>
    <row r="204" spans="1:5" x14ac:dyDescent="0.25">
      <c r="A204" s="278"/>
      <c r="B204" s="278"/>
      <c r="C204" s="171" t="s">
        <v>70</v>
      </c>
      <c r="D204" s="172">
        <f>IFERROR(VLOOKUP(C204,'BURGERATOR ÜRÜN İÇERİK'!$A$1:$D$42,4,),"")</f>
        <v>27</v>
      </c>
      <c r="E204" s="177"/>
    </row>
    <row r="205" spans="1:5" x14ac:dyDescent="0.25">
      <c r="A205" s="278" t="s">
        <v>13</v>
      </c>
      <c r="B205" s="278">
        <v>200</v>
      </c>
      <c r="C205" s="171" t="s">
        <v>62</v>
      </c>
      <c r="D205" s="172">
        <f>IFERROR(VLOOKUP(C205,'BURGERATOR ÜRÜN İÇERİK'!$A$1:$D$42,4,),"")</f>
        <v>11</v>
      </c>
      <c r="E205" s="177">
        <f>SUM(D205:D212)</f>
        <v>196.08888888888887</v>
      </c>
    </row>
    <row r="206" spans="1:5" x14ac:dyDescent="0.25">
      <c r="A206" s="278"/>
      <c r="B206" s="278"/>
      <c r="C206" s="171" t="s">
        <v>155</v>
      </c>
      <c r="D206" s="172">
        <f>IFERROR(VLOOKUP(C206,'BURGERATOR ÜRÜN İÇERİK'!$A$1:$D$42,4,),"")</f>
        <v>3</v>
      </c>
      <c r="E206" s="177"/>
    </row>
    <row r="207" spans="1:5" x14ac:dyDescent="0.25">
      <c r="A207" s="278"/>
      <c r="B207" s="278"/>
      <c r="C207" s="171" t="s">
        <v>65</v>
      </c>
      <c r="D207" s="172">
        <f>IFERROR(VLOOKUP(C207,'BURGERATOR ÜRÜN İÇERİK'!$A$1:$D$42,4,),"")*2</f>
        <v>96</v>
      </c>
      <c r="E207" s="177"/>
    </row>
    <row r="208" spans="1:5" x14ac:dyDescent="0.25">
      <c r="A208" s="278"/>
      <c r="B208" s="278"/>
      <c r="C208" s="171" t="s">
        <v>60</v>
      </c>
      <c r="D208" s="172">
        <f>IFERROR(VLOOKUP(C208,'BURGERATOR ÜRÜN İÇERİK'!$A$1:$D$42,4,),"")*2</f>
        <v>8.8888888888888893</v>
      </c>
      <c r="E208" s="177"/>
    </row>
    <row r="209" spans="1:5" x14ac:dyDescent="0.25">
      <c r="A209" s="278"/>
      <c r="B209" s="278"/>
      <c r="C209" s="171" t="s">
        <v>133</v>
      </c>
      <c r="D209" s="172">
        <f>IFERROR(VLOOKUP(C209,'BURGERATOR ÜRÜN İÇERİK'!$A$1:$D$42,4,),"")*2</f>
        <v>28</v>
      </c>
      <c r="E209" s="177"/>
    </row>
    <row r="210" spans="1:5" x14ac:dyDescent="0.25">
      <c r="A210" s="278"/>
      <c r="B210" s="278"/>
      <c r="C210" s="171" t="s">
        <v>91</v>
      </c>
      <c r="D210" s="172">
        <f>IFERROR(VLOOKUP(C210,'BURGERATOR ÜRÜN İÇERİK'!$A$1:$D$42,4,),"")</f>
        <v>3</v>
      </c>
      <c r="E210" s="177"/>
    </row>
    <row r="211" spans="1:5" x14ac:dyDescent="0.25">
      <c r="A211" s="278"/>
      <c r="B211" s="278"/>
      <c r="C211" s="171" t="s">
        <v>24</v>
      </c>
      <c r="D211" s="172">
        <f>IFERROR(VLOOKUP(C211,'BURGERATOR ÜRÜN İÇERİK'!$A$1:$D$42,4,),"")</f>
        <v>19.2</v>
      </c>
      <c r="E211" s="177"/>
    </row>
    <row r="212" spans="1:5" x14ac:dyDescent="0.25">
      <c r="A212" s="278"/>
      <c r="B212" s="278"/>
      <c r="C212" s="171" t="s">
        <v>70</v>
      </c>
      <c r="D212" s="172">
        <f>IFERROR(VLOOKUP(C212,'BURGERATOR ÜRÜN İÇERİK'!$A$1:$D$42,4,),"")</f>
        <v>27</v>
      </c>
      <c r="E212" s="177"/>
    </row>
    <row r="213" spans="1:5" x14ac:dyDescent="0.25">
      <c r="A213" s="278" t="s">
        <v>7</v>
      </c>
      <c r="B213" s="278">
        <v>200</v>
      </c>
      <c r="C213" s="171" t="s">
        <v>62</v>
      </c>
      <c r="D213" s="172">
        <f>IFERROR(VLOOKUP(C213,'BURGERATOR ÜRÜN İÇERİK'!$A$1:$D$42,4,),"")</f>
        <v>11</v>
      </c>
      <c r="E213" s="177">
        <f>SUM(D213:D220)</f>
        <v>184.78888888888886</v>
      </c>
    </row>
    <row r="214" spans="1:5" x14ac:dyDescent="0.25">
      <c r="A214" s="278"/>
      <c r="B214" s="278"/>
      <c r="C214" s="171" t="s">
        <v>155</v>
      </c>
      <c r="D214" s="172">
        <f>IFERROR(VLOOKUP(C214,'BURGERATOR ÜRÜN İÇERİK'!$A$1:$D$42,4,),"")</f>
        <v>3</v>
      </c>
      <c r="E214" s="177"/>
    </row>
    <row r="215" spans="1:5" x14ac:dyDescent="0.25">
      <c r="A215" s="278"/>
      <c r="B215" s="278"/>
      <c r="C215" s="171" t="s">
        <v>65</v>
      </c>
      <c r="D215" s="172">
        <f>IFERROR(VLOOKUP(C215,'BURGERATOR ÜRÜN İÇERİK'!$A$1:$D$42,4,),"")*2</f>
        <v>96</v>
      </c>
      <c r="E215" s="177"/>
    </row>
    <row r="216" spans="1:5" x14ac:dyDescent="0.25">
      <c r="A216" s="278"/>
      <c r="B216" s="278"/>
      <c r="C216" s="171" t="s">
        <v>60</v>
      </c>
      <c r="D216" s="172">
        <f>IFERROR(VLOOKUP(C216,'BURGERATOR ÜRÜN İÇERİK'!$A$1:$D$42,4,),"")*2</f>
        <v>8.8888888888888893</v>
      </c>
      <c r="E216" s="177"/>
    </row>
    <row r="217" spans="1:5" x14ac:dyDescent="0.25">
      <c r="A217" s="278"/>
      <c r="B217" s="278"/>
      <c r="C217" s="171" t="s">
        <v>63</v>
      </c>
      <c r="D217" s="172">
        <f>IFERROR(VLOOKUP(C217,'BURGERATOR ÜRÜN İÇERİK'!$A$1:$D$42,4,),"")*2</f>
        <v>18.2</v>
      </c>
      <c r="E217" s="177"/>
    </row>
    <row r="218" spans="1:5" x14ac:dyDescent="0.25">
      <c r="A218" s="278"/>
      <c r="B218" s="278"/>
      <c r="C218" s="171" t="s">
        <v>57</v>
      </c>
      <c r="D218" s="172">
        <f>IFERROR(VLOOKUP(C218,'BURGERATOR ÜRÜN İÇERİK'!$A$1:$D$42,4,),"")</f>
        <v>1.5</v>
      </c>
      <c r="E218" s="177"/>
    </row>
    <row r="219" spans="1:5" x14ac:dyDescent="0.25">
      <c r="A219" s="278"/>
      <c r="B219" s="278"/>
      <c r="C219" s="171" t="s">
        <v>24</v>
      </c>
      <c r="D219" s="172">
        <f>IFERROR(VLOOKUP(C219,'BURGERATOR ÜRÜN İÇERİK'!$A$1:$D$42,4,),"")</f>
        <v>19.2</v>
      </c>
      <c r="E219" s="177"/>
    </row>
    <row r="220" spans="1:5" x14ac:dyDescent="0.25">
      <c r="A220" s="278"/>
      <c r="B220" s="278"/>
      <c r="C220" s="171" t="s">
        <v>70</v>
      </c>
      <c r="D220" s="172">
        <f>IFERROR(VLOOKUP(C220,'BURGERATOR ÜRÜN İÇERİK'!$A$1:$D$42,4,),"")</f>
        <v>27</v>
      </c>
      <c r="E220" s="177"/>
    </row>
    <row r="221" spans="1:5" x14ac:dyDescent="0.25">
      <c r="A221" s="278" t="s">
        <v>9</v>
      </c>
      <c r="B221" s="278">
        <v>280</v>
      </c>
      <c r="C221" s="171" t="s">
        <v>62</v>
      </c>
      <c r="D221" s="172">
        <f>IFERROR(VLOOKUP(C221,'BURGERATOR ÜRÜN İÇERİK'!$A$1:$D$42,4,),"")</f>
        <v>11</v>
      </c>
      <c r="E221" s="177">
        <f>SUM(D221:D228)</f>
        <v>224.68888888888884</v>
      </c>
    </row>
    <row r="222" spans="1:5" x14ac:dyDescent="0.25">
      <c r="A222" s="278"/>
      <c r="B222" s="278"/>
      <c r="C222" s="171" t="s">
        <v>154</v>
      </c>
      <c r="D222" s="172">
        <f>IFERROR(VLOOKUP(C222,'BURGERATOR ÜRÜN İÇERİK'!$A$1:$D$42,4,),"")</f>
        <v>3</v>
      </c>
      <c r="E222" s="177"/>
    </row>
    <row r="223" spans="1:5" x14ac:dyDescent="0.25">
      <c r="A223" s="278"/>
      <c r="B223" s="278"/>
      <c r="C223" s="171" t="s">
        <v>65</v>
      </c>
      <c r="D223" s="172">
        <f>IFERROR(VLOOKUP(C223,'BURGERATOR ÜRÜN İÇERİK'!$A$1:$D$42,4,),"")*2.8</f>
        <v>134.39999999999998</v>
      </c>
      <c r="E223" s="177"/>
    </row>
    <row r="224" spans="1:5" x14ac:dyDescent="0.25">
      <c r="A224" s="278"/>
      <c r="B224" s="278"/>
      <c r="C224" s="171" t="s">
        <v>60</v>
      </c>
      <c r="D224" s="172">
        <f>IFERROR(VLOOKUP(C224,'BURGERATOR ÜRÜN İÇERİK'!$A$1:$D$42,4,),"")*2</f>
        <v>8.8888888888888893</v>
      </c>
      <c r="E224" s="177"/>
    </row>
    <row r="225" spans="1:5" x14ac:dyDescent="0.25">
      <c r="A225" s="278"/>
      <c r="B225" s="278"/>
      <c r="C225" s="171" t="s">
        <v>63</v>
      </c>
      <c r="D225" s="172">
        <f>IFERROR(VLOOKUP(C225,'BURGERATOR ÜRÜN İÇERİK'!$A$1:$D$42,4,),"")*2</f>
        <v>18.2</v>
      </c>
      <c r="E225" s="177"/>
    </row>
    <row r="226" spans="1:5" x14ac:dyDescent="0.25">
      <c r="A226" s="278"/>
      <c r="B226" s="278"/>
      <c r="C226" s="171" t="s">
        <v>162</v>
      </c>
      <c r="D226" s="172">
        <f>IFERROR(VLOOKUP(C226,'BURGERATOR ÜRÜN İÇERİK'!$A$1:$D$42,4,),"")</f>
        <v>3</v>
      </c>
      <c r="E226" s="177"/>
    </row>
    <row r="227" spans="1:5" x14ac:dyDescent="0.25">
      <c r="A227" s="278"/>
      <c r="B227" s="278"/>
      <c r="C227" s="171" t="s">
        <v>24</v>
      </c>
      <c r="D227" s="172">
        <f>IFERROR(VLOOKUP(C227,'BURGERATOR ÜRÜN İÇERİK'!$A$1:$D$42,4,),"")</f>
        <v>19.2</v>
      </c>
      <c r="E227" s="177"/>
    </row>
    <row r="228" spans="1:5" x14ac:dyDescent="0.25">
      <c r="A228" s="278"/>
      <c r="B228" s="278"/>
      <c r="C228" s="171" t="s">
        <v>70</v>
      </c>
      <c r="D228" s="172">
        <f>IFERROR(VLOOKUP(C228,'BURGERATOR ÜRÜN İÇERİK'!$A$1:$D$42,4,),"")</f>
        <v>27</v>
      </c>
      <c r="E228" s="177"/>
    </row>
    <row r="229" spans="1:5" x14ac:dyDescent="0.25">
      <c r="A229" s="278" t="s">
        <v>135</v>
      </c>
      <c r="B229" s="278">
        <v>280</v>
      </c>
      <c r="C229" s="171" t="s">
        <v>62</v>
      </c>
      <c r="D229" s="172">
        <f>IFERROR(VLOOKUP(C229,'BURGERATOR ÜRÜN İÇERİK'!$A$1:$D$42,4,),"")</f>
        <v>11</v>
      </c>
      <c r="E229" s="177">
        <f>SUM(D229:D237)</f>
        <v>231.68888888888884</v>
      </c>
    </row>
    <row r="230" spans="1:5" x14ac:dyDescent="0.25">
      <c r="A230" s="278"/>
      <c r="B230" s="278"/>
      <c r="C230" s="171" t="s">
        <v>163</v>
      </c>
      <c r="D230" s="172">
        <f>IFERROR(VLOOKUP(C230,'BURGERATOR ÜRÜN İÇERİK'!$A$1:$D$42,4,),"")</f>
        <v>5</v>
      </c>
      <c r="E230" s="177"/>
    </row>
    <row r="231" spans="1:5" x14ac:dyDescent="0.25">
      <c r="A231" s="278"/>
      <c r="B231" s="278"/>
      <c r="C231" s="171" t="s">
        <v>65</v>
      </c>
      <c r="D231" s="172">
        <f>IFERROR(VLOOKUP(C231,'BURGERATOR ÜRÜN İÇERİK'!$A$1:$D$42,4,),"")*2.8</f>
        <v>134.39999999999998</v>
      </c>
      <c r="E231" s="177"/>
    </row>
    <row r="232" spans="1:5" x14ac:dyDescent="0.25">
      <c r="A232" s="278"/>
      <c r="B232" s="278"/>
      <c r="C232" s="171" t="s">
        <v>60</v>
      </c>
      <c r="D232" s="172">
        <f>IFERROR(VLOOKUP(C232,'BURGERATOR ÜRÜN İÇERİK'!$A$1:$D$42,4,),"")*2</f>
        <v>8.8888888888888893</v>
      </c>
      <c r="E232" s="177"/>
    </row>
    <row r="233" spans="1:5" x14ac:dyDescent="0.25">
      <c r="A233" s="278"/>
      <c r="B233" s="278"/>
      <c r="C233" s="171" t="s">
        <v>63</v>
      </c>
      <c r="D233" s="172">
        <f>IFERROR(VLOOKUP(C233,'BURGERATOR ÜRÜN İÇERİK'!$A$1:$D$42,4,),"")*2</f>
        <v>18.2</v>
      </c>
      <c r="E233" s="177"/>
    </row>
    <row r="234" spans="1:5" x14ac:dyDescent="0.25">
      <c r="A234" s="278"/>
      <c r="B234" s="278"/>
      <c r="C234" s="171" t="s">
        <v>136</v>
      </c>
      <c r="D234" s="172">
        <f>IFERROR(VLOOKUP(C234,'BURGERATOR ÜRÜN İÇERİK'!$A$1:$D$42,4,),"")</f>
        <v>3</v>
      </c>
      <c r="E234" s="177"/>
    </row>
    <row r="235" spans="1:5" x14ac:dyDescent="0.25">
      <c r="A235" s="278"/>
      <c r="B235" s="278"/>
      <c r="C235" s="171" t="s">
        <v>192</v>
      </c>
      <c r="D235" s="172">
        <f>IFERROR(VLOOKUP(C235,'BURGERATOR ÜRÜN İÇERİK'!$A$1:$D$42,4,),"")</f>
        <v>5</v>
      </c>
      <c r="E235" s="177"/>
    </row>
    <row r="236" spans="1:5" x14ac:dyDescent="0.25">
      <c r="A236" s="278"/>
      <c r="B236" s="278"/>
      <c r="C236" s="171" t="s">
        <v>24</v>
      </c>
      <c r="D236" s="172">
        <f>IFERROR(VLOOKUP(C236,'BURGERATOR ÜRÜN İÇERİK'!$A$1:$D$42,4,),"")</f>
        <v>19.2</v>
      </c>
      <c r="E236" s="177"/>
    </row>
    <row r="237" spans="1:5" x14ac:dyDescent="0.25">
      <c r="A237" s="278"/>
      <c r="B237" s="278"/>
      <c r="C237" s="171" t="s">
        <v>70</v>
      </c>
      <c r="D237" s="172">
        <f>IFERROR(VLOOKUP(C237,'BURGERATOR ÜRÜN İÇERİK'!$A$1:$D$42,4,),"")</f>
        <v>27</v>
      </c>
      <c r="E237" s="177"/>
    </row>
    <row r="238" spans="1:5" x14ac:dyDescent="0.25">
      <c r="A238" s="278" t="s">
        <v>18</v>
      </c>
      <c r="B238" s="278">
        <v>280</v>
      </c>
      <c r="C238" s="171" t="s">
        <v>62</v>
      </c>
      <c r="D238" s="172">
        <f>IFERROR(VLOOKUP(C238,'BURGERATOR ÜRÜN İÇERİK'!$A$1:$D$42,4,),"")</f>
        <v>11</v>
      </c>
      <c r="E238" s="177">
        <f>SUM(D238:D245)</f>
        <v>238.82222222222219</v>
      </c>
    </row>
    <row r="239" spans="1:5" x14ac:dyDescent="0.25">
      <c r="A239" s="278"/>
      <c r="B239" s="278"/>
      <c r="C239" s="171" t="s">
        <v>163</v>
      </c>
      <c r="D239" s="172">
        <f>IFERROR(VLOOKUP(C239,'BURGERATOR ÜRÜN İÇERİK'!$A$1:$D$42,4,),"")</f>
        <v>5</v>
      </c>
      <c r="E239" s="177"/>
    </row>
    <row r="240" spans="1:5" x14ac:dyDescent="0.25">
      <c r="A240" s="278"/>
      <c r="B240" s="278"/>
      <c r="C240" s="171" t="s">
        <v>65</v>
      </c>
      <c r="D240" s="172">
        <f>IFERROR(VLOOKUP(C240,'BURGERATOR ÜRÜN İÇERİK'!$A$1:$D$42,4,),"")*2.8</f>
        <v>134.39999999999998</v>
      </c>
      <c r="E240" s="177"/>
    </row>
    <row r="241" spans="1:5" x14ac:dyDescent="0.25">
      <c r="A241" s="278"/>
      <c r="B241" s="278"/>
      <c r="C241" s="171" t="s">
        <v>60</v>
      </c>
      <c r="D241" s="172">
        <f>IFERROR(VLOOKUP(C241,'BURGERATOR ÜRÜN İÇERİK'!$A$1:$D$42,4,),"")*2</f>
        <v>8.8888888888888893</v>
      </c>
      <c r="E241" s="177"/>
    </row>
    <row r="242" spans="1:5" x14ac:dyDescent="0.25">
      <c r="A242" s="278"/>
      <c r="B242" s="278"/>
      <c r="C242" s="171" t="s">
        <v>164</v>
      </c>
      <c r="D242" s="172">
        <f>IFERROR(VLOOKUP(C242,'BURGERATOR ÜRÜN İÇERİK'!$A$1:$D$42,4,),"")</f>
        <v>30.333333333333332</v>
      </c>
      <c r="E242" s="177"/>
    </row>
    <row r="243" spans="1:5" x14ac:dyDescent="0.25">
      <c r="A243" s="278"/>
      <c r="B243" s="278"/>
      <c r="C243" s="171" t="s">
        <v>161</v>
      </c>
      <c r="D243" s="172">
        <f>IFERROR(VLOOKUP(C243,'BURGERATOR ÜRÜN İÇERİK'!$A$1:$D$42,4,),"")</f>
        <v>3</v>
      </c>
      <c r="E243" s="177"/>
    </row>
    <row r="244" spans="1:5" x14ac:dyDescent="0.25">
      <c r="A244" s="278"/>
      <c r="B244" s="278"/>
      <c r="C244" s="171" t="s">
        <v>24</v>
      </c>
      <c r="D244" s="172">
        <f>IFERROR(VLOOKUP(C244,'BURGERATOR ÜRÜN İÇERİK'!$A$1:$D$42,4,),"")</f>
        <v>19.2</v>
      </c>
      <c r="E244" s="177"/>
    </row>
    <row r="245" spans="1:5" x14ac:dyDescent="0.25">
      <c r="A245" s="278"/>
      <c r="B245" s="278"/>
      <c r="C245" s="171" t="s">
        <v>70</v>
      </c>
      <c r="D245" s="172">
        <f>IFERROR(VLOOKUP(C245,'BURGERATOR ÜRÜN İÇERİK'!$A$1:$D$42,4,),"")</f>
        <v>27</v>
      </c>
      <c r="E245" s="177"/>
    </row>
    <row r="246" spans="1:5" x14ac:dyDescent="0.25">
      <c r="A246" s="278" t="s">
        <v>11</v>
      </c>
      <c r="B246" s="278">
        <v>280</v>
      </c>
      <c r="C246" s="171" t="s">
        <v>62</v>
      </c>
      <c r="D246" s="172">
        <f>IFERROR(VLOOKUP(C246,'BURGERATOR ÜRÜN İÇERİK'!$A$1:$D$42,4,),"")</f>
        <v>11</v>
      </c>
      <c r="E246" s="177">
        <f>SUM(D246:D253)</f>
        <v>226.18888888888884</v>
      </c>
    </row>
    <row r="247" spans="1:5" x14ac:dyDescent="0.25">
      <c r="A247" s="278"/>
      <c r="B247" s="278"/>
      <c r="C247" s="171" t="s">
        <v>157</v>
      </c>
      <c r="D247" s="172">
        <f>IFERROR(VLOOKUP(C247,'BURGERATOR ÜRÜN İÇERİK'!$A$1:$D$42,4,),"")</f>
        <v>6</v>
      </c>
      <c r="E247" s="177"/>
    </row>
    <row r="248" spans="1:5" x14ac:dyDescent="0.25">
      <c r="A248" s="278"/>
      <c r="B248" s="278"/>
      <c r="C248" s="171" t="s">
        <v>65</v>
      </c>
      <c r="D248" s="172">
        <f>IFERROR(VLOOKUP(C248,'BURGERATOR ÜRÜN İÇERİK'!$A$1:$D$42,4,),"")*2.8</f>
        <v>134.39999999999998</v>
      </c>
      <c r="E248" s="177"/>
    </row>
    <row r="249" spans="1:5" x14ac:dyDescent="0.25">
      <c r="A249" s="278"/>
      <c r="B249" s="278"/>
      <c r="C249" s="171" t="s">
        <v>60</v>
      </c>
      <c r="D249" s="172">
        <f>IFERROR(VLOOKUP(C249,'BURGERATOR ÜRÜN İÇERİK'!$A$1:$D$42,4,),"")*2</f>
        <v>8.8888888888888893</v>
      </c>
      <c r="E249" s="177"/>
    </row>
    <row r="250" spans="1:5" x14ac:dyDescent="0.25">
      <c r="A250" s="278"/>
      <c r="B250" s="278"/>
      <c r="C250" s="171" t="s">
        <v>63</v>
      </c>
      <c r="D250" s="172">
        <f>IFERROR(VLOOKUP(C250,'BURGERATOR ÜRÜN İÇERİK'!$A$1:$D$42,4,),"")*2</f>
        <v>18.2</v>
      </c>
      <c r="E250" s="177"/>
    </row>
    <row r="251" spans="1:5" x14ac:dyDescent="0.25">
      <c r="A251" s="278"/>
      <c r="B251" s="278"/>
      <c r="C251" s="171" t="s">
        <v>57</v>
      </c>
      <c r="D251" s="172">
        <f>IFERROR(VLOOKUP(C251,'BURGERATOR ÜRÜN İÇERİK'!$A$1:$D$42,4,),"")</f>
        <v>1.5</v>
      </c>
      <c r="E251" s="177"/>
    </row>
    <row r="252" spans="1:5" x14ac:dyDescent="0.25">
      <c r="A252" s="278"/>
      <c r="B252" s="278"/>
      <c r="C252" s="171" t="s">
        <v>24</v>
      </c>
      <c r="D252" s="172">
        <f>IFERROR(VLOOKUP(C252,'BURGERATOR ÜRÜN İÇERİK'!$A$1:$D$42,4,),"")</f>
        <v>19.2</v>
      </c>
      <c r="E252" s="177"/>
    </row>
    <row r="253" spans="1:5" x14ac:dyDescent="0.25">
      <c r="A253" s="278"/>
      <c r="B253" s="278"/>
      <c r="C253" s="171" t="s">
        <v>70</v>
      </c>
      <c r="D253" s="172">
        <f>IFERROR(VLOOKUP(C253,'BURGERATOR ÜRÜN İÇERİK'!$A$1:$D$42,4,),"")</f>
        <v>27</v>
      </c>
      <c r="E253" s="177"/>
    </row>
    <row r="254" spans="1:5" x14ac:dyDescent="0.25">
      <c r="A254" s="278" t="s">
        <v>10</v>
      </c>
      <c r="B254" s="278">
        <v>280</v>
      </c>
      <c r="C254" s="171" t="s">
        <v>62</v>
      </c>
      <c r="D254" s="172">
        <f>IFERROR(VLOOKUP(C254,'BURGERATOR ÜRÜN İÇERİK'!$A$1:$D$42,4,),"")</f>
        <v>11</v>
      </c>
      <c r="E254" s="177">
        <f>SUM(D254:D261)</f>
        <v>223.18888888888884</v>
      </c>
    </row>
    <row r="255" spans="1:5" x14ac:dyDescent="0.25">
      <c r="A255" s="278"/>
      <c r="B255" s="278"/>
      <c r="C255" s="171" t="s">
        <v>152</v>
      </c>
      <c r="D255" s="172">
        <f>IFERROR(VLOOKUP(C255,'BURGERATOR ÜRÜN İÇERİK'!$A$1:$D$42,4,),"")</f>
        <v>3</v>
      </c>
      <c r="E255" s="177"/>
    </row>
    <row r="256" spans="1:5" x14ac:dyDescent="0.25">
      <c r="A256" s="278"/>
      <c r="B256" s="278"/>
      <c r="C256" s="171" t="s">
        <v>65</v>
      </c>
      <c r="D256" s="172">
        <f>IFERROR(VLOOKUP(C256,'BURGERATOR ÜRÜN İÇERİK'!$A$1:$D$42,4,),"")*2.8</f>
        <v>134.39999999999998</v>
      </c>
      <c r="E256" s="177"/>
    </row>
    <row r="257" spans="1:5" x14ac:dyDescent="0.25">
      <c r="A257" s="278"/>
      <c r="B257" s="278"/>
      <c r="C257" s="171" t="s">
        <v>60</v>
      </c>
      <c r="D257" s="172">
        <f>IFERROR(VLOOKUP(C257,'BURGERATOR ÜRÜN İÇERİK'!$A$1:$D$42,4,),"")*2</f>
        <v>8.8888888888888893</v>
      </c>
      <c r="E257" s="177"/>
    </row>
    <row r="258" spans="1:5" x14ac:dyDescent="0.25">
      <c r="A258" s="278"/>
      <c r="B258" s="278"/>
      <c r="C258" s="171" t="s">
        <v>63</v>
      </c>
      <c r="D258" s="172">
        <f>IFERROR(VLOOKUP(C258,'BURGERATOR ÜRÜN İÇERİK'!$A$1:$D$42,4,),"")*2</f>
        <v>18.2</v>
      </c>
      <c r="E258" s="177"/>
    </row>
    <row r="259" spans="1:5" x14ac:dyDescent="0.25">
      <c r="A259" s="278"/>
      <c r="B259" s="278"/>
      <c r="C259" s="171" t="s">
        <v>57</v>
      </c>
      <c r="D259" s="172">
        <f>IFERROR(VLOOKUP(C259,'BURGERATOR ÜRÜN İÇERİK'!$A$1:$D$42,4,),"")</f>
        <v>1.5</v>
      </c>
      <c r="E259" s="177"/>
    </row>
    <row r="260" spans="1:5" x14ac:dyDescent="0.25">
      <c r="A260" s="278"/>
      <c r="B260" s="278"/>
      <c r="C260" s="171" t="s">
        <v>24</v>
      </c>
      <c r="D260" s="172">
        <f>IFERROR(VLOOKUP(C260,'BURGERATOR ÜRÜN İÇERİK'!$A$1:$D$42,4,),"")</f>
        <v>19.2</v>
      </c>
      <c r="E260" s="177"/>
    </row>
    <row r="261" spans="1:5" x14ac:dyDescent="0.25">
      <c r="A261" s="278"/>
      <c r="B261" s="278"/>
      <c r="C261" s="171" t="s">
        <v>70</v>
      </c>
      <c r="D261" s="172">
        <f>IFERROR(VLOOKUP(C261,'BURGERATOR ÜRÜN İÇERİK'!$A$1:$D$42,4,),"")</f>
        <v>27</v>
      </c>
      <c r="E261" s="177"/>
    </row>
    <row r="262" spans="1:5" x14ac:dyDescent="0.25">
      <c r="A262" s="278" t="s">
        <v>5</v>
      </c>
      <c r="B262" s="278">
        <v>280</v>
      </c>
      <c r="C262" s="171" t="s">
        <v>62</v>
      </c>
      <c r="D262" s="172">
        <f>IFERROR(VLOOKUP(C262,'BURGERATOR ÜRÜN İÇERİK'!$A$1:$D$42,4,),"")</f>
        <v>11</v>
      </c>
      <c r="E262" s="177">
        <f>SUM(D262:D269)</f>
        <v>274.14444444444439</v>
      </c>
    </row>
    <row r="263" spans="1:5" x14ac:dyDescent="0.25">
      <c r="A263" s="278"/>
      <c r="B263" s="278"/>
      <c r="C263" s="171" t="s">
        <v>77</v>
      </c>
      <c r="D263" s="172">
        <f>IFERROR(VLOOKUP(C263,'BURGERATOR ÜRÜN İÇERİK'!$A$1:$D$42,4,),"")</f>
        <v>31.200000000000003</v>
      </c>
      <c r="E263" s="177"/>
    </row>
    <row r="264" spans="1:5" x14ac:dyDescent="0.25">
      <c r="A264" s="278"/>
      <c r="B264" s="278"/>
      <c r="C264" s="171" t="s">
        <v>65</v>
      </c>
      <c r="D264" s="172">
        <f>IFERROR(VLOOKUP(C264,'BURGERATOR ÜRÜN İÇERİK'!$A$1:$D$42,4,),"")*2.8</f>
        <v>134.39999999999998</v>
      </c>
      <c r="E264" s="177"/>
    </row>
    <row r="265" spans="1:5" x14ac:dyDescent="0.25">
      <c r="A265" s="278"/>
      <c r="B265" s="278"/>
      <c r="C265" s="171" t="s">
        <v>158</v>
      </c>
      <c r="D265" s="172">
        <f>IFERROR(VLOOKUP(C265,'BURGERATOR ÜRÜN İÇERİK'!$A$1:$D$42,4,),"")*2</f>
        <v>6.9444444444444446</v>
      </c>
      <c r="E265" s="177"/>
    </row>
    <row r="266" spans="1:5" x14ac:dyDescent="0.25">
      <c r="A266" s="278"/>
      <c r="B266" s="278"/>
      <c r="C266" s="171" t="s">
        <v>76</v>
      </c>
      <c r="D266" s="172">
        <f>IFERROR(VLOOKUP(C266,'BURGERATOR ÜRÜN İÇERİK'!$A$1:$D$42,4,),"")*2</f>
        <v>41.4</v>
      </c>
      <c r="E266" s="177"/>
    </row>
    <row r="267" spans="1:5" x14ac:dyDescent="0.25">
      <c r="A267" s="278"/>
      <c r="B267" s="278"/>
      <c r="C267" s="171" t="s">
        <v>91</v>
      </c>
      <c r="D267" s="172">
        <f>IFERROR(VLOOKUP(C267,'BURGERATOR ÜRÜN İÇERİK'!$A$1:$D$42,4,),"")</f>
        <v>3</v>
      </c>
      <c r="E267" s="177"/>
    </row>
    <row r="268" spans="1:5" x14ac:dyDescent="0.25">
      <c r="A268" s="278"/>
      <c r="B268" s="278"/>
      <c r="C268" s="171" t="s">
        <v>24</v>
      </c>
      <c r="D268" s="172">
        <f>IFERROR(VLOOKUP(C268,'BURGERATOR ÜRÜN İÇERİK'!$A$1:$D$42,4,),"")</f>
        <v>19.2</v>
      </c>
      <c r="E268" s="177"/>
    </row>
    <row r="269" spans="1:5" x14ac:dyDescent="0.25">
      <c r="A269" s="278"/>
      <c r="B269" s="278"/>
      <c r="C269" s="171" t="s">
        <v>70</v>
      </c>
      <c r="D269" s="172">
        <f>IFERROR(VLOOKUP(C269,'BURGERATOR ÜRÜN İÇERİK'!$A$1:$D$42,4,),"")</f>
        <v>27</v>
      </c>
      <c r="E269" s="177"/>
    </row>
    <row r="270" spans="1:5" x14ac:dyDescent="0.25">
      <c r="A270" s="278" t="s">
        <v>6</v>
      </c>
      <c r="B270" s="278">
        <v>280</v>
      </c>
      <c r="C270" s="171" t="s">
        <v>62</v>
      </c>
      <c r="D270" s="172">
        <f>IFERROR(VLOOKUP(C270,'BURGERATOR ÜRÜN İÇERİK'!$A$1:$D$42,4,),"")</f>
        <v>11</v>
      </c>
      <c r="E270" s="177">
        <f>SUM(D270:D277)</f>
        <v>224.68888888888884</v>
      </c>
    </row>
    <row r="271" spans="1:5" x14ac:dyDescent="0.25">
      <c r="A271" s="278"/>
      <c r="B271" s="278"/>
      <c r="C271" s="171" t="s">
        <v>155</v>
      </c>
      <c r="D271" s="172">
        <f>IFERROR(VLOOKUP(C271,'BURGERATOR ÜRÜN İÇERİK'!$A$1:$D$42,4,),"")</f>
        <v>3</v>
      </c>
      <c r="E271" s="177"/>
    </row>
    <row r="272" spans="1:5" x14ac:dyDescent="0.25">
      <c r="A272" s="278"/>
      <c r="B272" s="278"/>
      <c r="C272" s="171" t="s">
        <v>65</v>
      </c>
      <c r="D272" s="172">
        <f>IFERROR(VLOOKUP(C272,'BURGERATOR ÜRÜN İÇERİK'!$A$1:$D$42,4,),"")*2.8</f>
        <v>134.39999999999998</v>
      </c>
      <c r="E272" s="177"/>
    </row>
    <row r="273" spans="1:5" x14ac:dyDescent="0.25">
      <c r="A273" s="278"/>
      <c r="B273" s="278"/>
      <c r="C273" s="171" t="s">
        <v>60</v>
      </c>
      <c r="D273" s="172">
        <f>IFERROR(VLOOKUP(C273,'BURGERATOR ÜRÜN İÇERİK'!$A$1:$D$42,4,),"")*2</f>
        <v>8.8888888888888893</v>
      </c>
      <c r="E273" s="177"/>
    </row>
    <row r="274" spans="1:5" x14ac:dyDescent="0.25">
      <c r="A274" s="278"/>
      <c r="B274" s="278"/>
      <c r="C274" s="171" t="s">
        <v>63</v>
      </c>
      <c r="D274" s="172">
        <f>IFERROR(VLOOKUP(C274,'BURGERATOR ÜRÜN İÇERİK'!$A$1:$D$42,4,),"")*2</f>
        <v>18.2</v>
      </c>
      <c r="E274" s="177"/>
    </row>
    <row r="275" spans="1:5" x14ac:dyDescent="0.25">
      <c r="A275" s="278"/>
      <c r="B275" s="278"/>
      <c r="C275" s="171" t="s">
        <v>161</v>
      </c>
      <c r="D275" s="172">
        <f>IFERROR(VLOOKUP(C275,'BURGERATOR ÜRÜN İÇERİK'!$A$1:$D$42,4,),"")</f>
        <v>3</v>
      </c>
      <c r="E275" s="177"/>
    </row>
    <row r="276" spans="1:5" x14ac:dyDescent="0.25">
      <c r="A276" s="278"/>
      <c r="B276" s="278"/>
      <c r="C276" s="171" t="s">
        <v>24</v>
      </c>
      <c r="D276" s="172">
        <f>IFERROR(VLOOKUP(C276,'BURGERATOR ÜRÜN İÇERİK'!$A$1:$D$42,4,),"")</f>
        <v>19.2</v>
      </c>
      <c r="E276" s="177"/>
    </row>
    <row r="277" spans="1:5" x14ac:dyDescent="0.25">
      <c r="A277" s="278"/>
      <c r="B277" s="278"/>
      <c r="C277" s="171" t="s">
        <v>70</v>
      </c>
      <c r="D277" s="172">
        <f>IFERROR(VLOOKUP(C277,'BURGERATOR ÜRÜN İÇERİK'!$A$1:$D$42,4,),"")</f>
        <v>27</v>
      </c>
      <c r="E277" s="177"/>
    </row>
    <row r="278" spans="1:5" x14ac:dyDescent="0.25">
      <c r="A278" s="278" t="s">
        <v>13</v>
      </c>
      <c r="B278" s="278">
        <v>280</v>
      </c>
      <c r="C278" s="171" t="s">
        <v>62</v>
      </c>
      <c r="D278" s="172">
        <f>IFERROR(VLOOKUP(C278,'BURGERATOR ÜRÜN İÇERİK'!$A$1:$D$42,4,),"")</f>
        <v>11</v>
      </c>
      <c r="E278" s="177">
        <f>SUM(D278:D285)</f>
        <v>234.48888888888885</v>
      </c>
    </row>
    <row r="279" spans="1:5" x14ac:dyDescent="0.25">
      <c r="A279" s="278"/>
      <c r="B279" s="278"/>
      <c r="C279" s="171" t="s">
        <v>155</v>
      </c>
      <c r="D279" s="172">
        <f>IFERROR(VLOOKUP(C279,'BURGERATOR ÜRÜN İÇERİK'!$A$1:$D$42,4,),"")</f>
        <v>3</v>
      </c>
      <c r="E279" s="177"/>
    </row>
    <row r="280" spans="1:5" x14ac:dyDescent="0.25">
      <c r="A280" s="278"/>
      <c r="B280" s="278"/>
      <c r="C280" s="171" t="s">
        <v>65</v>
      </c>
      <c r="D280" s="172">
        <f>IFERROR(VLOOKUP(C280,'BURGERATOR ÜRÜN İÇERİK'!$A$1:$D$42,4,),"")*2.8</f>
        <v>134.39999999999998</v>
      </c>
      <c r="E280" s="177"/>
    </row>
    <row r="281" spans="1:5" x14ac:dyDescent="0.25">
      <c r="A281" s="278"/>
      <c r="B281" s="278"/>
      <c r="C281" s="171" t="s">
        <v>60</v>
      </c>
      <c r="D281" s="172">
        <f>IFERROR(VLOOKUP(C281,'BURGERATOR ÜRÜN İÇERİK'!$A$1:$D$42,4,),"")*2</f>
        <v>8.8888888888888893</v>
      </c>
      <c r="E281" s="177"/>
    </row>
    <row r="282" spans="1:5" x14ac:dyDescent="0.25">
      <c r="A282" s="278"/>
      <c r="B282" s="278"/>
      <c r="C282" s="171" t="s">
        <v>133</v>
      </c>
      <c r="D282" s="172">
        <f>IFERROR(VLOOKUP(C282,'BURGERATOR ÜRÜN İÇERİK'!$A$1:$D$42,4,),"")*2</f>
        <v>28</v>
      </c>
      <c r="E282" s="177"/>
    </row>
    <row r="283" spans="1:5" x14ac:dyDescent="0.25">
      <c r="A283" s="278"/>
      <c r="B283" s="278"/>
      <c r="C283" s="171" t="s">
        <v>91</v>
      </c>
      <c r="D283" s="172">
        <f>IFERROR(VLOOKUP(C283,'BURGERATOR ÜRÜN İÇERİK'!$A$1:$D$42,4,),"")</f>
        <v>3</v>
      </c>
      <c r="E283" s="177"/>
    </row>
    <row r="284" spans="1:5" x14ac:dyDescent="0.25">
      <c r="A284" s="278"/>
      <c r="B284" s="278"/>
      <c r="C284" s="171" t="s">
        <v>24</v>
      </c>
      <c r="D284" s="172">
        <f>IFERROR(VLOOKUP(C284,'BURGERATOR ÜRÜN İÇERİK'!$A$1:$D$42,4,),"")</f>
        <v>19.2</v>
      </c>
      <c r="E284" s="177"/>
    </row>
    <row r="285" spans="1:5" x14ac:dyDescent="0.25">
      <c r="A285" s="278"/>
      <c r="B285" s="278"/>
      <c r="C285" s="171" t="s">
        <v>70</v>
      </c>
      <c r="D285" s="172">
        <f>IFERROR(VLOOKUP(C285,'BURGERATOR ÜRÜN İÇERİK'!$A$1:$D$42,4,),"")</f>
        <v>27</v>
      </c>
      <c r="E285" s="177"/>
    </row>
    <row r="286" spans="1:5" x14ac:dyDescent="0.25">
      <c r="A286" s="278" t="s">
        <v>7</v>
      </c>
      <c r="B286" s="278">
        <v>280</v>
      </c>
      <c r="C286" s="171" t="s">
        <v>62</v>
      </c>
      <c r="D286" s="172">
        <f>IFERROR(VLOOKUP(C286,'BURGERATOR ÜRÜN İÇERİK'!$A$1:$D$42,4,),"")</f>
        <v>11</v>
      </c>
      <c r="E286" s="177">
        <f>SUM(D286:D293)</f>
        <v>223.18888888888884</v>
      </c>
    </row>
    <row r="287" spans="1:5" x14ac:dyDescent="0.25">
      <c r="A287" s="278"/>
      <c r="B287" s="278"/>
      <c r="C287" s="171" t="s">
        <v>155</v>
      </c>
      <c r="D287" s="172">
        <f>IFERROR(VLOOKUP(C287,'BURGERATOR ÜRÜN İÇERİK'!$A$1:$D$42,4,),"")</f>
        <v>3</v>
      </c>
      <c r="E287" s="177"/>
    </row>
    <row r="288" spans="1:5" x14ac:dyDescent="0.25">
      <c r="A288" s="278"/>
      <c r="B288" s="278"/>
      <c r="C288" s="171" t="s">
        <v>65</v>
      </c>
      <c r="D288" s="172">
        <f>IFERROR(VLOOKUP(C288,'BURGERATOR ÜRÜN İÇERİK'!$A$1:$D$42,4,),"")*2.8</f>
        <v>134.39999999999998</v>
      </c>
      <c r="E288" s="177"/>
    </row>
    <row r="289" spans="1:5" x14ac:dyDescent="0.25">
      <c r="A289" s="278"/>
      <c r="B289" s="278"/>
      <c r="C289" s="171" t="s">
        <v>60</v>
      </c>
      <c r="D289" s="172">
        <f>IFERROR(VLOOKUP(C289,'BURGERATOR ÜRÜN İÇERİK'!$A$1:$D$42,4,),"")*2</f>
        <v>8.8888888888888893</v>
      </c>
      <c r="E289" s="177"/>
    </row>
    <row r="290" spans="1:5" x14ac:dyDescent="0.25">
      <c r="A290" s="278"/>
      <c r="B290" s="278"/>
      <c r="C290" s="171" t="s">
        <v>63</v>
      </c>
      <c r="D290" s="172">
        <f>IFERROR(VLOOKUP(C290,'BURGERATOR ÜRÜN İÇERİK'!$A$1:$D$42,4,),"")*2</f>
        <v>18.2</v>
      </c>
      <c r="E290" s="177"/>
    </row>
    <row r="291" spans="1:5" x14ac:dyDescent="0.25">
      <c r="A291" s="278"/>
      <c r="B291" s="278"/>
      <c r="C291" s="171" t="s">
        <v>57</v>
      </c>
      <c r="D291" s="172">
        <f>IFERROR(VLOOKUP(C291,'BURGERATOR ÜRÜN İÇERİK'!$A$1:$D$42,4,),"")</f>
        <v>1.5</v>
      </c>
      <c r="E291" s="177"/>
    </row>
    <row r="292" spans="1:5" x14ac:dyDescent="0.25">
      <c r="A292" s="278"/>
      <c r="B292" s="278"/>
      <c r="C292" s="171" t="s">
        <v>24</v>
      </c>
      <c r="D292" s="172">
        <f>IFERROR(VLOOKUP(C292,'BURGERATOR ÜRÜN İÇERİK'!$A$1:$D$42,4,),"")</f>
        <v>19.2</v>
      </c>
      <c r="E292" s="177"/>
    </row>
    <row r="293" spans="1:5" x14ac:dyDescent="0.25">
      <c r="A293" s="278"/>
      <c r="B293" s="278"/>
      <c r="C293" s="171" t="s">
        <v>70</v>
      </c>
      <c r="D293" s="172">
        <f>IFERROR(VLOOKUP(C293,'BURGERATOR ÜRÜN İÇERİK'!$A$1:$D$42,4,),"")</f>
        <v>27</v>
      </c>
      <c r="E293" s="177"/>
    </row>
    <row r="294" spans="1:5" x14ac:dyDescent="0.25">
      <c r="A294" s="278" t="s">
        <v>9</v>
      </c>
      <c r="B294" s="278">
        <v>300</v>
      </c>
      <c r="C294" s="171" t="s">
        <v>62</v>
      </c>
      <c r="D294" s="172">
        <f>IFERROR(VLOOKUP(C294,'BURGERATOR ÜRÜN İÇERİK'!$A$1:$D$42,4,),"")</f>
        <v>11</v>
      </c>
      <c r="E294" s="177">
        <f>SUM(D294:D301)</f>
        <v>247.83333333333331</v>
      </c>
    </row>
    <row r="295" spans="1:5" x14ac:dyDescent="0.25">
      <c r="A295" s="278"/>
      <c r="B295" s="278"/>
      <c r="C295" s="171" t="s">
        <v>154</v>
      </c>
      <c r="D295" s="172">
        <f>IFERROR(VLOOKUP(C295,'BURGERATOR ÜRÜN İÇERİK'!$A$1:$D$42,4,),"")</f>
        <v>3</v>
      </c>
      <c r="E295" s="177"/>
    </row>
    <row r="296" spans="1:5" x14ac:dyDescent="0.25">
      <c r="A296" s="278"/>
      <c r="B296" s="278"/>
      <c r="C296" s="171" t="s">
        <v>65</v>
      </c>
      <c r="D296" s="172">
        <f>IFERROR(VLOOKUP(C296,'BURGERATOR ÜRÜN İÇERİK'!$A$1:$D$42,4,),"")*3</f>
        <v>144</v>
      </c>
      <c r="E296" s="177"/>
    </row>
    <row r="297" spans="1:5" x14ac:dyDescent="0.25">
      <c r="A297" s="278"/>
      <c r="B297" s="278"/>
      <c r="C297" s="171" t="s">
        <v>60</v>
      </c>
      <c r="D297" s="172">
        <f>IFERROR(VLOOKUP(C297,'BURGERATOR ÜRÜN İÇERİK'!$A$1:$D$42,4,),"")*3</f>
        <v>13.333333333333334</v>
      </c>
      <c r="E297" s="177"/>
    </row>
    <row r="298" spans="1:5" x14ac:dyDescent="0.25">
      <c r="A298" s="278"/>
      <c r="B298" s="278"/>
      <c r="C298" s="171" t="s">
        <v>63</v>
      </c>
      <c r="D298" s="172">
        <f>IFERROR(VLOOKUP(C298,'BURGERATOR ÜRÜN İÇERİK'!$A$1:$D$42,4,),"")*3</f>
        <v>27.299999999999997</v>
      </c>
      <c r="E298" s="177"/>
    </row>
    <row r="299" spans="1:5" x14ac:dyDescent="0.25">
      <c r="A299" s="278"/>
      <c r="B299" s="278"/>
      <c r="C299" s="171" t="s">
        <v>162</v>
      </c>
      <c r="D299" s="172">
        <f>IFERROR(VLOOKUP(C299,'BURGERATOR ÜRÜN İÇERİK'!$A$1:$D$42,4,),"")</f>
        <v>3</v>
      </c>
      <c r="E299" s="177"/>
    </row>
    <row r="300" spans="1:5" x14ac:dyDescent="0.25">
      <c r="A300" s="278"/>
      <c r="B300" s="278"/>
      <c r="C300" s="171" t="s">
        <v>24</v>
      </c>
      <c r="D300" s="172">
        <f>IFERROR(VLOOKUP(C300,'BURGERATOR ÜRÜN İÇERİK'!$A$1:$D$42,4,),"")</f>
        <v>19.2</v>
      </c>
      <c r="E300" s="177"/>
    </row>
    <row r="301" spans="1:5" x14ac:dyDescent="0.25">
      <c r="A301" s="278"/>
      <c r="B301" s="278"/>
      <c r="C301" s="171" t="s">
        <v>70</v>
      </c>
      <c r="D301" s="172">
        <f>IFERROR(VLOOKUP(C301,'BURGERATOR ÜRÜN İÇERİK'!$A$1:$D$42,4,),"")</f>
        <v>27</v>
      </c>
      <c r="E301" s="177"/>
    </row>
    <row r="302" spans="1:5" x14ac:dyDescent="0.25">
      <c r="A302" s="278" t="s">
        <v>135</v>
      </c>
      <c r="B302" s="278">
        <v>300</v>
      </c>
      <c r="C302" s="171" t="s">
        <v>62</v>
      </c>
      <c r="D302" s="172">
        <f>IFERROR(VLOOKUP(C302,'BURGERATOR ÜRÜN İÇERİK'!$A$1:$D$42,4,),"")</f>
        <v>11</v>
      </c>
      <c r="E302" s="177">
        <f>SUM(D302:D310)</f>
        <v>254.83333333333331</v>
      </c>
    </row>
    <row r="303" spans="1:5" x14ac:dyDescent="0.25">
      <c r="A303" s="278"/>
      <c r="B303" s="278"/>
      <c r="C303" s="171" t="s">
        <v>163</v>
      </c>
      <c r="D303" s="172">
        <f>IFERROR(VLOOKUP(C303,'BURGERATOR ÜRÜN İÇERİK'!$A$1:$D$42,4,),"")</f>
        <v>5</v>
      </c>
      <c r="E303" s="177"/>
    </row>
    <row r="304" spans="1:5" x14ac:dyDescent="0.25">
      <c r="A304" s="278"/>
      <c r="B304" s="278"/>
      <c r="C304" s="171" t="s">
        <v>65</v>
      </c>
      <c r="D304" s="172">
        <f>IFERROR(VLOOKUP(C304,'BURGERATOR ÜRÜN İÇERİK'!$A$1:$D$42,4,),"")*3</f>
        <v>144</v>
      </c>
      <c r="E304" s="177"/>
    </row>
    <row r="305" spans="1:5" x14ac:dyDescent="0.25">
      <c r="A305" s="278"/>
      <c r="B305" s="278"/>
      <c r="C305" s="171" t="s">
        <v>60</v>
      </c>
      <c r="D305" s="172">
        <f>IFERROR(VLOOKUP(C305,'BURGERATOR ÜRÜN İÇERİK'!$A$1:$D$42,4,),"")*3</f>
        <v>13.333333333333334</v>
      </c>
      <c r="E305" s="177"/>
    </row>
    <row r="306" spans="1:5" x14ac:dyDescent="0.25">
      <c r="A306" s="278"/>
      <c r="B306" s="278"/>
      <c r="C306" s="171" t="s">
        <v>63</v>
      </c>
      <c r="D306" s="172">
        <f>IFERROR(VLOOKUP(C306,'BURGERATOR ÜRÜN İÇERİK'!$A$1:$D$42,4,),"")*3</f>
        <v>27.299999999999997</v>
      </c>
      <c r="E306" s="177"/>
    </row>
    <row r="307" spans="1:5" x14ac:dyDescent="0.25">
      <c r="A307" s="278"/>
      <c r="B307" s="278"/>
      <c r="C307" s="171" t="s">
        <v>136</v>
      </c>
      <c r="D307" s="172">
        <f>IFERROR(VLOOKUP(C307,'BURGERATOR ÜRÜN İÇERİK'!$A$1:$D$42,4,),"")</f>
        <v>3</v>
      </c>
      <c r="E307" s="177"/>
    </row>
    <row r="308" spans="1:5" x14ac:dyDescent="0.25">
      <c r="A308" s="278"/>
      <c r="B308" s="278"/>
      <c r="C308" s="171" t="s">
        <v>192</v>
      </c>
      <c r="D308" s="172">
        <f>IFERROR(VLOOKUP(C308,'BURGERATOR ÜRÜN İÇERİK'!$A$1:$D$42,4,),"")</f>
        <v>5</v>
      </c>
      <c r="E308" s="177"/>
    </row>
    <row r="309" spans="1:5" x14ac:dyDescent="0.25">
      <c r="A309" s="278"/>
      <c r="B309" s="278"/>
      <c r="C309" s="171" t="s">
        <v>24</v>
      </c>
      <c r="D309" s="172">
        <f>IFERROR(VLOOKUP(C309,'BURGERATOR ÜRÜN İÇERİK'!$A$1:$D$42,4,),"")</f>
        <v>19.2</v>
      </c>
      <c r="E309" s="177"/>
    </row>
    <row r="310" spans="1:5" x14ac:dyDescent="0.25">
      <c r="A310" s="278"/>
      <c r="B310" s="278"/>
      <c r="C310" s="171" t="s">
        <v>70</v>
      </c>
      <c r="D310" s="172">
        <f>IFERROR(VLOOKUP(C310,'BURGERATOR ÜRÜN İÇERİK'!$A$1:$D$42,4,),"")</f>
        <v>27</v>
      </c>
      <c r="E310" s="177"/>
    </row>
    <row r="311" spans="1:5" x14ac:dyDescent="0.25">
      <c r="A311" s="278" t="s">
        <v>18</v>
      </c>
      <c r="B311" s="278">
        <v>300</v>
      </c>
      <c r="C311" s="171" t="s">
        <v>62</v>
      </c>
      <c r="D311" s="172">
        <f>IFERROR(VLOOKUP(C311,'BURGERATOR ÜRÜN İÇERİK'!$A$1:$D$42,4,),"")</f>
        <v>11</v>
      </c>
      <c r="E311" s="177">
        <f>SUM(D311:D318)</f>
        <v>252.86666666666667</v>
      </c>
    </row>
    <row r="312" spans="1:5" x14ac:dyDescent="0.25">
      <c r="A312" s="278"/>
      <c r="B312" s="278"/>
      <c r="C312" s="171" t="s">
        <v>163</v>
      </c>
      <c r="D312" s="172">
        <f>IFERROR(VLOOKUP(C312,'BURGERATOR ÜRÜN İÇERİK'!$A$1:$D$42,4,),"")</f>
        <v>5</v>
      </c>
      <c r="E312" s="177"/>
    </row>
    <row r="313" spans="1:5" x14ac:dyDescent="0.25">
      <c r="A313" s="278"/>
      <c r="B313" s="278"/>
      <c r="C313" s="171" t="s">
        <v>65</v>
      </c>
      <c r="D313" s="172">
        <f>IFERROR(VLOOKUP(C313,'BURGERATOR ÜRÜN İÇERİK'!$A$1:$D$42,4,),"")*3</f>
        <v>144</v>
      </c>
      <c r="E313" s="177"/>
    </row>
    <row r="314" spans="1:5" x14ac:dyDescent="0.25">
      <c r="A314" s="278"/>
      <c r="B314" s="278"/>
      <c r="C314" s="171" t="s">
        <v>60</v>
      </c>
      <c r="D314" s="172">
        <f>IFERROR(VLOOKUP(C314,'BURGERATOR ÜRÜN İÇERİK'!$A$1:$D$42,4,),"")*3</f>
        <v>13.333333333333334</v>
      </c>
      <c r="E314" s="177"/>
    </row>
    <row r="315" spans="1:5" x14ac:dyDescent="0.25">
      <c r="A315" s="278"/>
      <c r="B315" s="278"/>
      <c r="C315" s="171" t="s">
        <v>164</v>
      </c>
      <c r="D315" s="172">
        <f>IFERROR(VLOOKUP(C315,'BURGERATOR ÜRÜN İÇERİK'!$A$1:$D$42,4,),"")</f>
        <v>30.333333333333332</v>
      </c>
      <c r="E315" s="177"/>
    </row>
    <row r="316" spans="1:5" x14ac:dyDescent="0.25">
      <c r="A316" s="278"/>
      <c r="B316" s="278"/>
      <c r="C316" s="171" t="s">
        <v>161</v>
      </c>
      <c r="D316" s="172">
        <f>IFERROR(VLOOKUP(C316,'BURGERATOR ÜRÜN İÇERİK'!$A$1:$D$42,4,),"")</f>
        <v>3</v>
      </c>
      <c r="E316" s="177"/>
    </row>
    <row r="317" spans="1:5" x14ac:dyDescent="0.25">
      <c r="A317" s="278"/>
      <c r="B317" s="278"/>
      <c r="C317" s="171" t="s">
        <v>24</v>
      </c>
      <c r="D317" s="172">
        <f>IFERROR(VLOOKUP(C317,'BURGERATOR ÜRÜN İÇERİK'!$A$1:$D$42,4,),"")</f>
        <v>19.2</v>
      </c>
      <c r="E317" s="177"/>
    </row>
    <row r="318" spans="1:5" x14ac:dyDescent="0.25">
      <c r="A318" s="278"/>
      <c r="B318" s="278"/>
      <c r="C318" s="171" t="s">
        <v>70</v>
      </c>
      <c r="D318" s="172">
        <f>IFERROR(VLOOKUP(C318,'BURGERATOR ÜRÜN İÇERİK'!$A$1:$D$42,4,),"")</f>
        <v>27</v>
      </c>
      <c r="E318" s="177"/>
    </row>
    <row r="319" spans="1:5" x14ac:dyDescent="0.25">
      <c r="A319" s="278" t="s">
        <v>11</v>
      </c>
      <c r="B319" s="278">
        <v>300</v>
      </c>
      <c r="C319" s="171" t="s">
        <v>62</v>
      </c>
      <c r="D319" s="172">
        <f>IFERROR(VLOOKUP(C319,'BURGERATOR ÜRÜN İÇERİK'!$A$1:$D$42,4,),"")</f>
        <v>11</v>
      </c>
      <c r="E319" s="177">
        <f>SUM(D319:D326)</f>
        <v>249.33333333333331</v>
      </c>
    </row>
    <row r="320" spans="1:5" x14ac:dyDescent="0.25">
      <c r="A320" s="278"/>
      <c r="B320" s="278"/>
      <c r="C320" s="171" t="s">
        <v>157</v>
      </c>
      <c r="D320" s="172">
        <f>IFERROR(VLOOKUP(C320,'BURGERATOR ÜRÜN İÇERİK'!$A$1:$D$42,4,),"")</f>
        <v>6</v>
      </c>
      <c r="E320" s="177"/>
    </row>
    <row r="321" spans="1:5" x14ac:dyDescent="0.25">
      <c r="A321" s="278"/>
      <c r="B321" s="278"/>
      <c r="C321" s="171" t="s">
        <v>65</v>
      </c>
      <c r="D321" s="172">
        <f>IFERROR(VLOOKUP(C321,'BURGERATOR ÜRÜN İÇERİK'!$A$1:$D$42,4,),"")*3</f>
        <v>144</v>
      </c>
      <c r="E321" s="177"/>
    </row>
    <row r="322" spans="1:5" x14ac:dyDescent="0.25">
      <c r="A322" s="278"/>
      <c r="B322" s="278"/>
      <c r="C322" s="171" t="s">
        <v>60</v>
      </c>
      <c r="D322" s="172">
        <f>IFERROR(VLOOKUP(C322,'BURGERATOR ÜRÜN İÇERİK'!$A$1:$D$42,4,),"")*3</f>
        <v>13.333333333333334</v>
      </c>
      <c r="E322" s="177"/>
    </row>
    <row r="323" spans="1:5" x14ac:dyDescent="0.25">
      <c r="A323" s="278"/>
      <c r="B323" s="278"/>
      <c r="C323" s="171" t="s">
        <v>63</v>
      </c>
      <c r="D323" s="172">
        <f>IFERROR(VLOOKUP(C323,'BURGERATOR ÜRÜN İÇERİK'!$A$1:$D$42,4,),"")*3</f>
        <v>27.299999999999997</v>
      </c>
      <c r="E323" s="177"/>
    </row>
    <row r="324" spans="1:5" x14ac:dyDescent="0.25">
      <c r="A324" s="278"/>
      <c r="B324" s="278"/>
      <c r="C324" s="171" t="s">
        <v>57</v>
      </c>
      <c r="D324" s="172">
        <f>IFERROR(VLOOKUP(C324,'BURGERATOR ÜRÜN İÇERİK'!$A$1:$D$42,4,),"")</f>
        <v>1.5</v>
      </c>
      <c r="E324" s="177"/>
    </row>
    <row r="325" spans="1:5" x14ac:dyDescent="0.25">
      <c r="A325" s="278"/>
      <c r="B325" s="278"/>
      <c r="C325" s="171" t="s">
        <v>24</v>
      </c>
      <c r="D325" s="172">
        <f>IFERROR(VLOOKUP(C325,'BURGERATOR ÜRÜN İÇERİK'!$A$1:$D$42,4,),"")</f>
        <v>19.2</v>
      </c>
      <c r="E325" s="177"/>
    </row>
    <row r="326" spans="1:5" x14ac:dyDescent="0.25">
      <c r="A326" s="278"/>
      <c r="B326" s="278"/>
      <c r="C326" s="171" t="s">
        <v>70</v>
      </c>
      <c r="D326" s="172">
        <f>IFERROR(VLOOKUP(C326,'BURGERATOR ÜRÜN İÇERİK'!$A$1:$D$42,4,),"")</f>
        <v>27</v>
      </c>
      <c r="E326" s="177"/>
    </row>
    <row r="327" spans="1:5" x14ac:dyDescent="0.25">
      <c r="A327" s="278" t="s">
        <v>10</v>
      </c>
      <c r="B327" s="278">
        <v>300</v>
      </c>
      <c r="C327" s="171" t="s">
        <v>62</v>
      </c>
      <c r="D327" s="172">
        <f>IFERROR(VLOOKUP(C327,'BURGERATOR ÜRÜN İÇERİK'!$A$1:$D$42,4,),"")</f>
        <v>11</v>
      </c>
      <c r="E327" s="177">
        <f>SUM(D327:D334)</f>
        <v>246.33333333333331</v>
      </c>
    </row>
    <row r="328" spans="1:5" x14ac:dyDescent="0.25">
      <c r="A328" s="278"/>
      <c r="B328" s="278"/>
      <c r="C328" s="171" t="s">
        <v>152</v>
      </c>
      <c r="D328" s="172">
        <f>IFERROR(VLOOKUP(C328,'BURGERATOR ÜRÜN İÇERİK'!$A$1:$D$42,4,),"")</f>
        <v>3</v>
      </c>
      <c r="E328" s="177"/>
    </row>
    <row r="329" spans="1:5" x14ac:dyDescent="0.25">
      <c r="A329" s="278"/>
      <c r="B329" s="278"/>
      <c r="C329" s="171" t="s">
        <v>65</v>
      </c>
      <c r="D329" s="172">
        <f>IFERROR(VLOOKUP(C329,'BURGERATOR ÜRÜN İÇERİK'!$A$1:$D$42,4,),"")*3</f>
        <v>144</v>
      </c>
      <c r="E329" s="177"/>
    </row>
    <row r="330" spans="1:5" x14ac:dyDescent="0.25">
      <c r="A330" s="278"/>
      <c r="B330" s="278"/>
      <c r="C330" s="171" t="s">
        <v>60</v>
      </c>
      <c r="D330" s="172">
        <f>IFERROR(VLOOKUP(C330,'BURGERATOR ÜRÜN İÇERİK'!$A$1:$D$42,4,),"")*3</f>
        <v>13.333333333333334</v>
      </c>
      <c r="E330" s="177"/>
    </row>
    <row r="331" spans="1:5" x14ac:dyDescent="0.25">
      <c r="A331" s="278"/>
      <c r="B331" s="278"/>
      <c r="C331" s="171" t="s">
        <v>63</v>
      </c>
      <c r="D331" s="172">
        <f>IFERROR(VLOOKUP(C331,'BURGERATOR ÜRÜN İÇERİK'!$A$1:$D$42,4,),"")*3</f>
        <v>27.299999999999997</v>
      </c>
      <c r="E331" s="177"/>
    </row>
    <row r="332" spans="1:5" x14ac:dyDescent="0.25">
      <c r="A332" s="278"/>
      <c r="B332" s="278"/>
      <c r="C332" s="171" t="s">
        <v>57</v>
      </c>
      <c r="D332" s="172">
        <f>IFERROR(VLOOKUP(C332,'BURGERATOR ÜRÜN İÇERİK'!$A$1:$D$42,4,),"")</f>
        <v>1.5</v>
      </c>
      <c r="E332" s="177"/>
    </row>
    <row r="333" spans="1:5" x14ac:dyDescent="0.25">
      <c r="A333" s="278"/>
      <c r="B333" s="278"/>
      <c r="C333" s="171" t="s">
        <v>24</v>
      </c>
      <c r="D333" s="172">
        <f>IFERROR(VLOOKUP(C333,'BURGERATOR ÜRÜN İÇERİK'!$A$1:$D$42,4,),"")</f>
        <v>19.2</v>
      </c>
      <c r="E333" s="177"/>
    </row>
    <row r="334" spans="1:5" x14ac:dyDescent="0.25">
      <c r="A334" s="278"/>
      <c r="B334" s="278"/>
      <c r="C334" s="171" t="s">
        <v>70</v>
      </c>
      <c r="D334" s="172">
        <f>IFERROR(VLOOKUP(C334,'BURGERATOR ÜRÜN İÇERİK'!$A$1:$D$42,4,),"")</f>
        <v>27</v>
      </c>
      <c r="E334" s="177"/>
    </row>
    <row r="335" spans="1:5" x14ac:dyDescent="0.25">
      <c r="A335" s="278" t="s">
        <v>5</v>
      </c>
      <c r="B335" s="278">
        <v>300</v>
      </c>
      <c r="C335" s="171" t="s">
        <v>62</v>
      </c>
      <c r="D335" s="172">
        <f>IFERROR(VLOOKUP(C335,'BURGERATOR ÜRÜN İÇERİK'!$A$1:$D$42,4,),"")</f>
        <v>11</v>
      </c>
      <c r="E335" s="177">
        <f>SUM(D335:D342)</f>
        <v>307.91666666666663</v>
      </c>
    </row>
    <row r="336" spans="1:5" x14ac:dyDescent="0.25">
      <c r="A336" s="278"/>
      <c r="B336" s="278"/>
      <c r="C336" s="171" t="s">
        <v>77</v>
      </c>
      <c r="D336" s="172">
        <f>IFERROR(VLOOKUP(C336,'BURGERATOR ÜRÜN İÇERİK'!$A$1:$D$42,4,),"")</f>
        <v>31.200000000000003</v>
      </c>
      <c r="E336" s="177"/>
    </row>
    <row r="337" spans="1:5" x14ac:dyDescent="0.25">
      <c r="A337" s="278"/>
      <c r="B337" s="278"/>
      <c r="C337" s="171" t="s">
        <v>65</v>
      </c>
      <c r="D337" s="172">
        <f>IFERROR(VLOOKUP(C337,'BURGERATOR ÜRÜN İÇERİK'!$A$1:$D$42,4,),"")*3</f>
        <v>144</v>
      </c>
      <c r="E337" s="177"/>
    </row>
    <row r="338" spans="1:5" x14ac:dyDescent="0.25">
      <c r="A338" s="278"/>
      <c r="B338" s="278"/>
      <c r="C338" s="171" t="s">
        <v>158</v>
      </c>
      <c r="D338" s="172">
        <f>IFERROR(VLOOKUP(C338,'BURGERATOR ÜRÜN İÇERİK'!$A$1:$D$42,4,),"")*3</f>
        <v>10.416666666666668</v>
      </c>
      <c r="E338" s="177"/>
    </row>
    <row r="339" spans="1:5" x14ac:dyDescent="0.25">
      <c r="A339" s="278"/>
      <c r="B339" s="278"/>
      <c r="C339" s="171" t="s">
        <v>76</v>
      </c>
      <c r="D339" s="172">
        <f>IFERROR(VLOOKUP(C339,'BURGERATOR ÜRÜN İÇERİK'!$A$1:$D$42,4,),"")*3</f>
        <v>62.099999999999994</v>
      </c>
      <c r="E339" s="177"/>
    </row>
    <row r="340" spans="1:5" x14ac:dyDescent="0.25">
      <c r="A340" s="278"/>
      <c r="B340" s="278"/>
      <c r="C340" s="171" t="s">
        <v>91</v>
      </c>
      <c r="D340" s="172">
        <f>IFERROR(VLOOKUP(C340,'BURGERATOR ÜRÜN İÇERİK'!$A$1:$D$42,4,),"")</f>
        <v>3</v>
      </c>
      <c r="E340" s="177"/>
    </row>
    <row r="341" spans="1:5" x14ac:dyDescent="0.25">
      <c r="A341" s="278"/>
      <c r="B341" s="278"/>
      <c r="C341" s="171" t="s">
        <v>24</v>
      </c>
      <c r="D341" s="172">
        <f>IFERROR(VLOOKUP(C341,'BURGERATOR ÜRÜN İÇERİK'!$A$1:$D$42,4,),"")</f>
        <v>19.2</v>
      </c>
      <c r="E341" s="177"/>
    </row>
    <row r="342" spans="1:5" x14ac:dyDescent="0.25">
      <c r="A342" s="278"/>
      <c r="B342" s="278"/>
      <c r="C342" s="171" t="s">
        <v>70</v>
      </c>
      <c r="D342" s="172">
        <f>IFERROR(VLOOKUP(C342,'BURGERATOR ÜRÜN İÇERİK'!$A$1:$D$42,4,),"")</f>
        <v>27</v>
      </c>
      <c r="E342" s="177"/>
    </row>
    <row r="343" spans="1:5" x14ac:dyDescent="0.25">
      <c r="A343" s="278" t="s">
        <v>6</v>
      </c>
      <c r="B343" s="278">
        <v>300</v>
      </c>
      <c r="C343" s="171" t="s">
        <v>62</v>
      </c>
      <c r="D343" s="172">
        <f>IFERROR(VLOOKUP(C343,'BURGERATOR ÜRÜN İÇERİK'!$A$1:$D$42,4,),"")</f>
        <v>11</v>
      </c>
      <c r="E343" s="177">
        <f>SUM(D343:D350)</f>
        <v>247.83333333333331</v>
      </c>
    </row>
    <row r="344" spans="1:5" x14ac:dyDescent="0.25">
      <c r="A344" s="278"/>
      <c r="B344" s="278"/>
      <c r="C344" s="171" t="s">
        <v>155</v>
      </c>
      <c r="D344" s="172">
        <f>IFERROR(VLOOKUP(C344,'BURGERATOR ÜRÜN İÇERİK'!$A$1:$D$42,4,),"")</f>
        <v>3</v>
      </c>
      <c r="E344" s="177"/>
    </row>
    <row r="345" spans="1:5" x14ac:dyDescent="0.25">
      <c r="A345" s="278"/>
      <c r="B345" s="278"/>
      <c r="C345" s="171" t="s">
        <v>65</v>
      </c>
      <c r="D345" s="172">
        <f>IFERROR(VLOOKUP(C345,'BURGERATOR ÜRÜN İÇERİK'!$A$1:$D$42,4,),"")*3</f>
        <v>144</v>
      </c>
      <c r="E345" s="177"/>
    </row>
    <row r="346" spans="1:5" x14ac:dyDescent="0.25">
      <c r="A346" s="278"/>
      <c r="B346" s="278"/>
      <c r="C346" s="171" t="s">
        <v>60</v>
      </c>
      <c r="D346" s="172">
        <f>IFERROR(VLOOKUP(C346,'BURGERATOR ÜRÜN İÇERİK'!$A$1:$D$42,4,),"")*3</f>
        <v>13.333333333333334</v>
      </c>
      <c r="E346" s="177"/>
    </row>
    <row r="347" spans="1:5" x14ac:dyDescent="0.25">
      <c r="A347" s="278"/>
      <c r="B347" s="278"/>
      <c r="C347" s="171" t="s">
        <v>63</v>
      </c>
      <c r="D347" s="172">
        <f>IFERROR(VLOOKUP(C347,'BURGERATOR ÜRÜN İÇERİK'!$A$1:$D$42,4,),"")*3</f>
        <v>27.299999999999997</v>
      </c>
      <c r="E347" s="177"/>
    </row>
    <row r="348" spans="1:5" x14ac:dyDescent="0.25">
      <c r="A348" s="278"/>
      <c r="B348" s="278"/>
      <c r="C348" s="171" t="s">
        <v>161</v>
      </c>
      <c r="D348" s="172">
        <f>IFERROR(VLOOKUP(C348,'BURGERATOR ÜRÜN İÇERİK'!$A$1:$D$42,4,),"")</f>
        <v>3</v>
      </c>
      <c r="E348" s="177"/>
    </row>
    <row r="349" spans="1:5" x14ac:dyDescent="0.25">
      <c r="A349" s="278"/>
      <c r="B349" s="278"/>
      <c r="C349" s="171" t="s">
        <v>24</v>
      </c>
      <c r="D349" s="172">
        <f>IFERROR(VLOOKUP(C349,'BURGERATOR ÜRÜN İÇERİK'!$A$1:$D$42,4,),"")</f>
        <v>19.2</v>
      </c>
      <c r="E349" s="177"/>
    </row>
    <row r="350" spans="1:5" x14ac:dyDescent="0.25">
      <c r="A350" s="278"/>
      <c r="B350" s="278"/>
      <c r="C350" s="171" t="s">
        <v>70</v>
      </c>
      <c r="D350" s="172">
        <f>IFERROR(VLOOKUP(C350,'BURGERATOR ÜRÜN İÇERİK'!$A$1:$D$42,4,),"")</f>
        <v>27</v>
      </c>
      <c r="E350" s="177"/>
    </row>
    <row r="351" spans="1:5" x14ac:dyDescent="0.25">
      <c r="A351" s="278" t="s">
        <v>13</v>
      </c>
      <c r="B351" s="278">
        <v>300</v>
      </c>
      <c r="C351" s="171" t="s">
        <v>62</v>
      </c>
      <c r="D351" s="172">
        <f>IFERROR(VLOOKUP(C351,'BURGERATOR ÜRÜN İÇERİK'!$A$1:$D$42,4,),"")</f>
        <v>11</v>
      </c>
      <c r="E351" s="177">
        <f>SUM(D351:D358)</f>
        <v>262.5333333333333</v>
      </c>
    </row>
    <row r="352" spans="1:5" x14ac:dyDescent="0.25">
      <c r="A352" s="278"/>
      <c r="B352" s="278"/>
      <c r="C352" s="171" t="s">
        <v>155</v>
      </c>
      <c r="D352" s="172">
        <f>IFERROR(VLOOKUP(C352,'BURGERATOR ÜRÜN İÇERİK'!$A$1:$D$42,4,),"")</f>
        <v>3</v>
      </c>
      <c r="E352" s="177"/>
    </row>
    <row r="353" spans="1:5" x14ac:dyDescent="0.25">
      <c r="A353" s="278"/>
      <c r="B353" s="278"/>
      <c r="C353" s="171" t="s">
        <v>65</v>
      </c>
      <c r="D353" s="172">
        <f>IFERROR(VLOOKUP(C353,'BURGERATOR ÜRÜN İÇERİK'!$A$1:$D$42,4,),"")*3</f>
        <v>144</v>
      </c>
      <c r="E353" s="177"/>
    </row>
    <row r="354" spans="1:5" x14ac:dyDescent="0.25">
      <c r="A354" s="278"/>
      <c r="B354" s="278"/>
      <c r="C354" s="171" t="s">
        <v>60</v>
      </c>
      <c r="D354" s="172">
        <f>IFERROR(VLOOKUP(C354,'BURGERATOR ÜRÜN İÇERİK'!$A$1:$D$42,4,),"")*3</f>
        <v>13.333333333333334</v>
      </c>
      <c r="E354" s="177"/>
    </row>
    <row r="355" spans="1:5" x14ac:dyDescent="0.25">
      <c r="A355" s="278"/>
      <c r="B355" s="278"/>
      <c r="C355" s="171" t="s">
        <v>133</v>
      </c>
      <c r="D355" s="172">
        <f>IFERROR(VLOOKUP(C355,'BURGERATOR ÜRÜN İÇERİK'!$A$1:$D$42,4,),"")*3</f>
        <v>42</v>
      </c>
      <c r="E355" s="177"/>
    </row>
    <row r="356" spans="1:5" x14ac:dyDescent="0.25">
      <c r="A356" s="278"/>
      <c r="B356" s="278"/>
      <c r="C356" s="171" t="s">
        <v>91</v>
      </c>
      <c r="D356" s="172">
        <f>IFERROR(VLOOKUP(C356,'BURGERATOR ÜRÜN İÇERİK'!$A$1:$D$42,4,),"")</f>
        <v>3</v>
      </c>
      <c r="E356" s="177"/>
    </row>
    <row r="357" spans="1:5" x14ac:dyDescent="0.25">
      <c r="A357" s="278"/>
      <c r="B357" s="278"/>
      <c r="C357" s="171" t="s">
        <v>24</v>
      </c>
      <c r="D357" s="172">
        <f>IFERROR(VLOOKUP(C357,'BURGERATOR ÜRÜN İÇERİK'!$A$1:$D$42,4,),"")</f>
        <v>19.2</v>
      </c>
      <c r="E357" s="177"/>
    </row>
    <row r="358" spans="1:5" x14ac:dyDescent="0.25">
      <c r="A358" s="278"/>
      <c r="B358" s="278"/>
      <c r="C358" s="171" t="s">
        <v>70</v>
      </c>
      <c r="D358" s="172">
        <f>IFERROR(VLOOKUP(C358,'BURGERATOR ÜRÜN İÇERİK'!$A$1:$D$42,4,),"")</f>
        <v>27</v>
      </c>
      <c r="E358" s="177"/>
    </row>
    <row r="359" spans="1:5" x14ac:dyDescent="0.25">
      <c r="A359" s="278" t="s">
        <v>7</v>
      </c>
      <c r="B359" s="278">
        <v>300</v>
      </c>
      <c r="C359" s="171" t="s">
        <v>62</v>
      </c>
      <c r="D359" s="172">
        <f>IFERROR(VLOOKUP(C359,'BURGERATOR ÜRÜN İÇERİK'!$A$1:$D$42,4,),"")</f>
        <v>11</v>
      </c>
      <c r="E359" s="177">
        <f>SUM(D359:D366)</f>
        <v>246.33333333333331</v>
      </c>
    </row>
    <row r="360" spans="1:5" x14ac:dyDescent="0.25">
      <c r="A360" s="278"/>
      <c r="B360" s="278"/>
      <c r="C360" s="171" t="s">
        <v>155</v>
      </c>
      <c r="D360" s="172">
        <f>IFERROR(VLOOKUP(C360,'BURGERATOR ÜRÜN İÇERİK'!$A$1:$D$42,4,),"")</f>
        <v>3</v>
      </c>
      <c r="E360" s="177"/>
    </row>
    <row r="361" spans="1:5" x14ac:dyDescent="0.25">
      <c r="A361" s="278"/>
      <c r="B361" s="278"/>
      <c r="C361" s="171" t="s">
        <v>65</v>
      </c>
      <c r="D361" s="172">
        <f>IFERROR(VLOOKUP(C361,'BURGERATOR ÜRÜN İÇERİK'!$A$1:$D$42,4,),"")*3</f>
        <v>144</v>
      </c>
      <c r="E361" s="177"/>
    </row>
    <row r="362" spans="1:5" x14ac:dyDescent="0.25">
      <c r="A362" s="278"/>
      <c r="B362" s="278"/>
      <c r="C362" s="171" t="s">
        <v>60</v>
      </c>
      <c r="D362" s="172">
        <f>IFERROR(VLOOKUP(C362,'BURGERATOR ÜRÜN İÇERİK'!$A$1:$D$42,4,),"")*3</f>
        <v>13.333333333333334</v>
      </c>
      <c r="E362" s="177"/>
    </row>
    <row r="363" spans="1:5" x14ac:dyDescent="0.25">
      <c r="A363" s="278"/>
      <c r="B363" s="278"/>
      <c r="C363" s="171" t="s">
        <v>63</v>
      </c>
      <c r="D363" s="172">
        <f>IFERROR(VLOOKUP(C363,'BURGERATOR ÜRÜN İÇERİK'!$A$1:$D$42,4,),"")*3</f>
        <v>27.299999999999997</v>
      </c>
      <c r="E363" s="177"/>
    </row>
    <row r="364" spans="1:5" x14ac:dyDescent="0.25">
      <c r="A364" s="278"/>
      <c r="B364" s="278"/>
      <c r="C364" s="171" t="s">
        <v>57</v>
      </c>
      <c r="D364" s="172">
        <f>IFERROR(VLOOKUP(C364,'BURGERATOR ÜRÜN İÇERİK'!$A$1:$D$42,4,),"")</f>
        <v>1.5</v>
      </c>
      <c r="E364" s="177"/>
    </row>
    <row r="365" spans="1:5" x14ac:dyDescent="0.25">
      <c r="A365" s="278"/>
      <c r="B365" s="278"/>
      <c r="C365" s="171" t="s">
        <v>24</v>
      </c>
      <c r="D365" s="172">
        <f>IFERROR(VLOOKUP(C365,'BURGERATOR ÜRÜN İÇERİK'!$A$1:$D$42,4,),"")</f>
        <v>19.2</v>
      </c>
      <c r="E365" s="177"/>
    </row>
    <row r="366" spans="1:5" x14ac:dyDescent="0.25">
      <c r="A366" s="278"/>
      <c r="B366" s="278"/>
      <c r="C366" s="171" t="s">
        <v>70</v>
      </c>
      <c r="D366" s="172">
        <f>IFERROR(VLOOKUP(C366,'BURGERATOR ÜRÜN İÇERİK'!$A$1:$D$42,4,),"")</f>
        <v>27</v>
      </c>
      <c r="E366" s="177"/>
    </row>
    <row r="367" spans="1:5" x14ac:dyDescent="0.25">
      <c r="A367" s="278" t="s">
        <v>9</v>
      </c>
      <c r="B367" s="278">
        <v>420</v>
      </c>
      <c r="C367" s="171" t="s">
        <v>62</v>
      </c>
      <c r="D367" s="172">
        <f>IFERROR(VLOOKUP(C367,'BURGERATOR ÜRÜN İÇERİK'!$A$1:$D$42,4,),"")</f>
        <v>11</v>
      </c>
      <c r="E367" s="177">
        <f>SUM(D367:D374)</f>
        <v>305.43333333333334</v>
      </c>
    </row>
    <row r="368" spans="1:5" x14ac:dyDescent="0.25">
      <c r="A368" s="278"/>
      <c r="B368" s="278"/>
      <c r="C368" s="171" t="s">
        <v>154</v>
      </c>
      <c r="D368" s="172">
        <f>IFERROR(VLOOKUP(C368,'BURGERATOR ÜRÜN İÇERİK'!$A$1:$D$42,4,),"")</f>
        <v>3</v>
      </c>
      <c r="E368" s="177"/>
    </row>
    <row r="369" spans="1:5" x14ac:dyDescent="0.25">
      <c r="A369" s="278"/>
      <c r="B369" s="278"/>
      <c r="C369" s="171" t="s">
        <v>65</v>
      </c>
      <c r="D369" s="172">
        <f>IFERROR(VLOOKUP(C369,'BURGERATOR ÜRÜN İÇERİK'!$A$1:$D$42,4,),"")*4.2</f>
        <v>201.60000000000002</v>
      </c>
      <c r="E369" s="177"/>
    </row>
    <row r="370" spans="1:5" x14ac:dyDescent="0.25">
      <c r="A370" s="278"/>
      <c r="B370" s="278"/>
      <c r="C370" s="171" t="s">
        <v>60</v>
      </c>
      <c r="D370" s="172">
        <f>IFERROR(VLOOKUP(C370,'BURGERATOR ÜRÜN İÇERİK'!$A$1:$D$42,4,),"")*3</f>
        <v>13.333333333333334</v>
      </c>
      <c r="E370" s="177"/>
    </row>
    <row r="371" spans="1:5" x14ac:dyDescent="0.25">
      <c r="A371" s="278"/>
      <c r="B371" s="278"/>
      <c r="C371" s="171" t="s">
        <v>63</v>
      </c>
      <c r="D371" s="172">
        <f>IFERROR(VLOOKUP(C371,'BURGERATOR ÜRÜN İÇERİK'!$A$1:$D$42,4,),"")*3</f>
        <v>27.299999999999997</v>
      </c>
      <c r="E371" s="177"/>
    </row>
    <row r="372" spans="1:5" x14ac:dyDescent="0.25">
      <c r="A372" s="278"/>
      <c r="B372" s="278"/>
      <c r="C372" s="171" t="s">
        <v>162</v>
      </c>
      <c r="D372" s="172">
        <f>IFERROR(VLOOKUP(C372,'BURGERATOR ÜRÜN İÇERİK'!$A$1:$D$42,4,),"")</f>
        <v>3</v>
      </c>
      <c r="E372" s="177"/>
    </row>
    <row r="373" spans="1:5" x14ac:dyDescent="0.25">
      <c r="A373" s="278"/>
      <c r="B373" s="278"/>
      <c r="C373" s="171" t="s">
        <v>24</v>
      </c>
      <c r="D373" s="172">
        <f>IFERROR(VLOOKUP(C373,'BURGERATOR ÜRÜN İÇERİK'!$A$1:$D$42,4,),"")</f>
        <v>19.2</v>
      </c>
      <c r="E373" s="177"/>
    </row>
    <row r="374" spans="1:5" x14ac:dyDescent="0.25">
      <c r="A374" s="278"/>
      <c r="B374" s="278"/>
      <c r="C374" s="171" t="s">
        <v>70</v>
      </c>
      <c r="D374" s="172">
        <f>IFERROR(VLOOKUP(C374,'BURGERATOR ÜRÜN İÇERİK'!$A$1:$D$42,4,),"")</f>
        <v>27</v>
      </c>
      <c r="E374" s="177"/>
    </row>
    <row r="375" spans="1:5" x14ac:dyDescent="0.25">
      <c r="A375" s="278" t="s">
        <v>135</v>
      </c>
      <c r="B375" s="278">
        <v>420</v>
      </c>
      <c r="C375" s="171" t="s">
        <v>62</v>
      </c>
      <c r="D375" s="172">
        <f>IFERROR(VLOOKUP(C375,'BURGERATOR ÜRÜN İÇERİK'!$A$1:$D$42,4,),"")</f>
        <v>11</v>
      </c>
      <c r="E375" s="177">
        <f>SUM(D375:D383)</f>
        <v>312.43333333333334</v>
      </c>
    </row>
    <row r="376" spans="1:5" x14ac:dyDescent="0.25">
      <c r="A376" s="278"/>
      <c r="B376" s="278"/>
      <c r="C376" s="171" t="s">
        <v>163</v>
      </c>
      <c r="D376" s="172">
        <f>IFERROR(VLOOKUP(C376,'BURGERATOR ÜRÜN İÇERİK'!$A$1:$D$42,4,),"")</f>
        <v>5</v>
      </c>
      <c r="E376" s="177"/>
    </row>
    <row r="377" spans="1:5" x14ac:dyDescent="0.25">
      <c r="A377" s="278"/>
      <c r="B377" s="278"/>
      <c r="C377" s="171" t="s">
        <v>65</v>
      </c>
      <c r="D377" s="172">
        <f>IFERROR(VLOOKUP(C377,'BURGERATOR ÜRÜN İÇERİK'!$A$1:$D$42,4,),"")*4.2</f>
        <v>201.60000000000002</v>
      </c>
      <c r="E377" s="177"/>
    </row>
    <row r="378" spans="1:5" x14ac:dyDescent="0.25">
      <c r="A378" s="278"/>
      <c r="B378" s="278"/>
      <c r="C378" s="171" t="s">
        <v>60</v>
      </c>
      <c r="D378" s="172">
        <f>IFERROR(VLOOKUP(C378,'BURGERATOR ÜRÜN İÇERİK'!$A$1:$D$42,4,),"")*3</f>
        <v>13.333333333333334</v>
      </c>
      <c r="E378" s="177"/>
    </row>
    <row r="379" spans="1:5" x14ac:dyDescent="0.25">
      <c r="A379" s="278"/>
      <c r="B379" s="278"/>
      <c r="C379" s="171" t="s">
        <v>63</v>
      </c>
      <c r="D379" s="172">
        <f>IFERROR(VLOOKUP(C379,'BURGERATOR ÜRÜN İÇERİK'!$A$1:$D$42,4,),"")*3</f>
        <v>27.299999999999997</v>
      </c>
      <c r="E379" s="177"/>
    </row>
    <row r="380" spans="1:5" x14ac:dyDescent="0.25">
      <c r="A380" s="278"/>
      <c r="B380" s="278"/>
      <c r="C380" s="171" t="s">
        <v>136</v>
      </c>
      <c r="D380" s="172">
        <f>IFERROR(VLOOKUP(C380,'BURGERATOR ÜRÜN İÇERİK'!$A$1:$D$42,4,),"")</f>
        <v>3</v>
      </c>
      <c r="E380" s="177"/>
    </row>
    <row r="381" spans="1:5" x14ac:dyDescent="0.25">
      <c r="A381" s="278"/>
      <c r="B381" s="278"/>
      <c r="C381" s="171" t="s">
        <v>192</v>
      </c>
      <c r="D381" s="172">
        <f>IFERROR(VLOOKUP(C381,'BURGERATOR ÜRÜN İÇERİK'!$A$1:$D$42,4,),"")</f>
        <v>5</v>
      </c>
      <c r="E381" s="177"/>
    </row>
    <row r="382" spans="1:5" x14ac:dyDescent="0.25">
      <c r="A382" s="278"/>
      <c r="B382" s="278"/>
      <c r="C382" s="171" t="s">
        <v>24</v>
      </c>
      <c r="D382" s="172">
        <f>IFERROR(VLOOKUP(C382,'BURGERATOR ÜRÜN İÇERİK'!$A$1:$D$42,4,),"")</f>
        <v>19.2</v>
      </c>
      <c r="E382" s="177"/>
    </row>
    <row r="383" spans="1:5" x14ac:dyDescent="0.25">
      <c r="A383" s="278"/>
      <c r="B383" s="278"/>
      <c r="C383" s="171" t="s">
        <v>70</v>
      </c>
      <c r="D383" s="172">
        <f>IFERROR(VLOOKUP(C383,'BURGERATOR ÜRÜN İÇERİK'!$A$1:$D$42,4,),"")</f>
        <v>27</v>
      </c>
      <c r="E383" s="177"/>
    </row>
    <row r="384" spans="1:5" x14ac:dyDescent="0.25">
      <c r="A384" s="278" t="s">
        <v>18</v>
      </c>
      <c r="B384" s="278">
        <v>420</v>
      </c>
      <c r="C384" s="171" t="s">
        <v>62</v>
      </c>
      <c r="D384" s="172">
        <f>IFERROR(VLOOKUP(C384,'BURGERATOR ÜRÜN İÇERİK'!$A$1:$D$42,4,),"")</f>
        <v>11</v>
      </c>
      <c r="E384" s="177">
        <f>SUM(D384:D391)</f>
        <v>310.4666666666667</v>
      </c>
    </row>
    <row r="385" spans="1:5" x14ac:dyDescent="0.25">
      <c r="A385" s="278"/>
      <c r="B385" s="278"/>
      <c r="C385" s="171" t="s">
        <v>163</v>
      </c>
      <c r="D385" s="172">
        <f>IFERROR(VLOOKUP(C385,'BURGERATOR ÜRÜN İÇERİK'!$A$1:$D$42,4,),"")</f>
        <v>5</v>
      </c>
      <c r="E385" s="177"/>
    </row>
    <row r="386" spans="1:5" x14ac:dyDescent="0.25">
      <c r="A386" s="278"/>
      <c r="B386" s="278"/>
      <c r="C386" s="171" t="s">
        <v>65</v>
      </c>
      <c r="D386" s="172">
        <f>IFERROR(VLOOKUP(C386,'BURGERATOR ÜRÜN İÇERİK'!$A$1:$D$42,4,),"")*4.2</f>
        <v>201.60000000000002</v>
      </c>
      <c r="E386" s="177"/>
    </row>
    <row r="387" spans="1:5" x14ac:dyDescent="0.25">
      <c r="A387" s="278"/>
      <c r="B387" s="278"/>
      <c r="C387" s="171" t="s">
        <v>60</v>
      </c>
      <c r="D387" s="172">
        <f>IFERROR(VLOOKUP(C387,'BURGERATOR ÜRÜN İÇERİK'!$A$1:$D$42,4,),"")*3</f>
        <v>13.333333333333334</v>
      </c>
      <c r="E387" s="177"/>
    </row>
    <row r="388" spans="1:5" x14ac:dyDescent="0.25">
      <c r="A388" s="278"/>
      <c r="B388" s="278"/>
      <c r="C388" s="171" t="s">
        <v>164</v>
      </c>
      <c r="D388" s="172">
        <f>IFERROR(VLOOKUP(C388,'BURGERATOR ÜRÜN İÇERİK'!$A$1:$D$42,4,),"")</f>
        <v>30.333333333333332</v>
      </c>
      <c r="E388" s="177"/>
    </row>
    <row r="389" spans="1:5" x14ac:dyDescent="0.25">
      <c r="A389" s="278"/>
      <c r="B389" s="278"/>
      <c r="C389" s="171" t="s">
        <v>161</v>
      </c>
      <c r="D389" s="172">
        <f>IFERROR(VLOOKUP(C389,'BURGERATOR ÜRÜN İÇERİK'!$A$1:$D$42,4,),"")</f>
        <v>3</v>
      </c>
      <c r="E389" s="177"/>
    </row>
    <row r="390" spans="1:5" x14ac:dyDescent="0.25">
      <c r="A390" s="278"/>
      <c r="B390" s="278"/>
      <c r="C390" s="171" t="s">
        <v>24</v>
      </c>
      <c r="D390" s="172">
        <f>IFERROR(VLOOKUP(C390,'BURGERATOR ÜRÜN İÇERİK'!$A$1:$D$42,4,),"")</f>
        <v>19.2</v>
      </c>
      <c r="E390" s="177"/>
    </row>
    <row r="391" spans="1:5" x14ac:dyDescent="0.25">
      <c r="A391" s="278"/>
      <c r="B391" s="278"/>
      <c r="C391" s="171" t="s">
        <v>70</v>
      </c>
      <c r="D391" s="172">
        <f>IFERROR(VLOOKUP(C391,'BURGERATOR ÜRÜN İÇERİK'!$A$1:$D$42,4,),"")</f>
        <v>27</v>
      </c>
      <c r="E391" s="177"/>
    </row>
    <row r="392" spans="1:5" x14ac:dyDescent="0.25">
      <c r="A392" s="278" t="s">
        <v>11</v>
      </c>
      <c r="B392" s="278">
        <v>420</v>
      </c>
      <c r="C392" s="171" t="s">
        <v>62</v>
      </c>
      <c r="D392" s="172">
        <f>IFERROR(VLOOKUP(C392,'BURGERATOR ÜRÜN İÇERİK'!$A$1:$D$42,4,),"")</f>
        <v>11</v>
      </c>
      <c r="E392" s="177">
        <f>SUM(D392:D399)</f>
        <v>306.93333333333334</v>
      </c>
    </row>
    <row r="393" spans="1:5" x14ac:dyDescent="0.25">
      <c r="A393" s="278"/>
      <c r="B393" s="278"/>
      <c r="C393" s="171" t="s">
        <v>157</v>
      </c>
      <c r="D393" s="172">
        <f>IFERROR(VLOOKUP(C393,'BURGERATOR ÜRÜN İÇERİK'!$A$1:$D$42,4,),"")</f>
        <v>6</v>
      </c>
      <c r="E393" s="177"/>
    </row>
    <row r="394" spans="1:5" x14ac:dyDescent="0.25">
      <c r="A394" s="278"/>
      <c r="B394" s="278"/>
      <c r="C394" s="171" t="s">
        <v>65</v>
      </c>
      <c r="D394" s="172">
        <f>IFERROR(VLOOKUP(C394,'BURGERATOR ÜRÜN İÇERİK'!$A$1:$D$42,4,),"")*4.2</f>
        <v>201.60000000000002</v>
      </c>
      <c r="E394" s="177"/>
    </row>
    <row r="395" spans="1:5" x14ac:dyDescent="0.25">
      <c r="A395" s="278"/>
      <c r="B395" s="278"/>
      <c r="C395" s="171" t="s">
        <v>60</v>
      </c>
      <c r="D395" s="172">
        <f>IFERROR(VLOOKUP(C395,'BURGERATOR ÜRÜN İÇERİK'!$A$1:$D$42,4,),"")*3</f>
        <v>13.333333333333334</v>
      </c>
      <c r="E395" s="177"/>
    </row>
    <row r="396" spans="1:5" x14ac:dyDescent="0.25">
      <c r="A396" s="278"/>
      <c r="B396" s="278"/>
      <c r="C396" s="171" t="s">
        <v>63</v>
      </c>
      <c r="D396" s="172">
        <f>IFERROR(VLOOKUP(C396,'BURGERATOR ÜRÜN İÇERİK'!$A$1:$D$42,4,),"")*3</f>
        <v>27.299999999999997</v>
      </c>
      <c r="E396" s="177"/>
    </row>
    <row r="397" spans="1:5" x14ac:dyDescent="0.25">
      <c r="A397" s="278"/>
      <c r="B397" s="278"/>
      <c r="C397" s="171" t="s">
        <v>57</v>
      </c>
      <c r="D397" s="172">
        <f>IFERROR(VLOOKUP(C397,'BURGERATOR ÜRÜN İÇERİK'!$A$1:$D$42,4,),"")</f>
        <v>1.5</v>
      </c>
      <c r="E397" s="177"/>
    </row>
    <row r="398" spans="1:5" x14ac:dyDescent="0.25">
      <c r="A398" s="278"/>
      <c r="B398" s="278"/>
      <c r="C398" s="171" t="s">
        <v>24</v>
      </c>
      <c r="D398" s="172">
        <f>IFERROR(VLOOKUP(C398,'BURGERATOR ÜRÜN İÇERİK'!$A$1:$D$42,4,),"")</f>
        <v>19.2</v>
      </c>
      <c r="E398" s="177"/>
    </row>
    <row r="399" spans="1:5" x14ac:dyDescent="0.25">
      <c r="A399" s="278"/>
      <c r="B399" s="278"/>
      <c r="C399" s="171" t="s">
        <v>70</v>
      </c>
      <c r="D399" s="172">
        <f>IFERROR(VLOOKUP(C399,'BURGERATOR ÜRÜN İÇERİK'!$A$1:$D$42,4,),"")</f>
        <v>27</v>
      </c>
      <c r="E399" s="177"/>
    </row>
    <row r="400" spans="1:5" x14ac:dyDescent="0.25">
      <c r="A400" s="278" t="s">
        <v>10</v>
      </c>
      <c r="B400" s="278">
        <v>420</v>
      </c>
      <c r="C400" s="171" t="s">
        <v>62</v>
      </c>
      <c r="D400" s="172">
        <f>IFERROR(VLOOKUP(C400,'BURGERATOR ÜRÜN İÇERİK'!$A$1:$D$42,4,),"")</f>
        <v>11</v>
      </c>
      <c r="E400" s="177">
        <f>SUM(D400:D407)</f>
        <v>303.93333333333334</v>
      </c>
    </row>
    <row r="401" spans="1:5" x14ac:dyDescent="0.25">
      <c r="A401" s="278"/>
      <c r="B401" s="278"/>
      <c r="C401" s="171" t="s">
        <v>152</v>
      </c>
      <c r="D401" s="172">
        <f>IFERROR(VLOOKUP(C401,'BURGERATOR ÜRÜN İÇERİK'!$A$1:$D$42,4,),"")</f>
        <v>3</v>
      </c>
      <c r="E401" s="177"/>
    </row>
    <row r="402" spans="1:5" x14ac:dyDescent="0.25">
      <c r="A402" s="278"/>
      <c r="B402" s="278"/>
      <c r="C402" s="171" t="s">
        <v>65</v>
      </c>
      <c r="D402" s="172">
        <f>IFERROR(VLOOKUP(C402,'BURGERATOR ÜRÜN İÇERİK'!$A$1:$D$42,4,),"")*4.2</f>
        <v>201.60000000000002</v>
      </c>
      <c r="E402" s="177"/>
    </row>
    <row r="403" spans="1:5" x14ac:dyDescent="0.25">
      <c r="A403" s="278"/>
      <c r="B403" s="278"/>
      <c r="C403" s="171" t="s">
        <v>60</v>
      </c>
      <c r="D403" s="172">
        <f>IFERROR(VLOOKUP(C403,'BURGERATOR ÜRÜN İÇERİK'!$A$1:$D$42,4,),"")*3</f>
        <v>13.333333333333334</v>
      </c>
      <c r="E403" s="177"/>
    </row>
    <row r="404" spans="1:5" x14ac:dyDescent="0.25">
      <c r="A404" s="278"/>
      <c r="B404" s="278"/>
      <c r="C404" s="171" t="s">
        <v>63</v>
      </c>
      <c r="D404" s="172">
        <f>IFERROR(VLOOKUP(C404,'BURGERATOR ÜRÜN İÇERİK'!$A$1:$D$42,4,),"")*3</f>
        <v>27.299999999999997</v>
      </c>
      <c r="E404" s="177"/>
    </row>
    <row r="405" spans="1:5" x14ac:dyDescent="0.25">
      <c r="A405" s="278"/>
      <c r="B405" s="278"/>
      <c r="C405" s="171" t="s">
        <v>57</v>
      </c>
      <c r="D405" s="172">
        <f>IFERROR(VLOOKUP(C405,'BURGERATOR ÜRÜN İÇERİK'!$A$1:$D$42,4,),"")</f>
        <v>1.5</v>
      </c>
      <c r="E405" s="177"/>
    </row>
    <row r="406" spans="1:5" x14ac:dyDescent="0.25">
      <c r="A406" s="278"/>
      <c r="B406" s="278"/>
      <c r="C406" s="171" t="s">
        <v>24</v>
      </c>
      <c r="D406" s="172">
        <f>IFERROR(VLOOKUP(C406,'BURGERATOR ÜRÜN İÇERİK'!$A$1:$D$42,4,),"")</f>
        <v>19.2</v>
      </c>
      <c r="E406" s="177"/>
    </row>
    <row r="407" spans="1:5" x14ac:dyDescent="0.25">
      <c r="A407" s="278"/>
      <c r="B407" s="278"/>
      <c r="C407" s="171" t="s">
        <v>70</v>
      </c>
      <c r="D407" s="172">
        <f>IFERROR(VLOOKUP(C407,'BURGERATOR ÜRÜN İÇERİK'!$A$1:$D$42,4,),"")</f>
        <v>27</v>
      </c>
      <c r="E407" s="177"/>
    </row>
    <row r="408" spans="1:5" x14ac:dyDescent="0.25">
      <c r="A408" s="278" t="s">
        <v>5</v>
      </c>
      <c r="B408" s="278">
        <v>420</v>
      </c>
      <c r="C408" s="171" t="s">
        <v>62</v>
      </c>
      <c r="D408" s="172">
        <f>IFERROR(VLOOKUP(C408,'BURGERATOR ÜRÜN İÇERİK'!$A$1:$D$42,4,),"")</f>
        <v>11</v>
      </c>
      <c r="E408" s="177">
        <f>SUM(D408:D415)</f>
        <v>365.51666666666665</v>
      </c>
    </row>
    <row r="409" spans="1:5" x14ac:dyDescent="0.25">
      <c r="A409" s="278"/>
      <c r="B409" s="278"/>
      <c r="C409" s="171" t="s">
        <v>77</v>
      </c>
      <c r="D409" s="172">
        <f>IFERROR(VLOOKUP(C409,'BURGERATOR ÜRÜN İÇERİK'!$A$1:$D$42,4,),"")</f>
        <v>31.200000000000003</v>
      </c>
      <c r="E409" s="177"/>
    </row>
    <row r="410" spans="1:5" x14ac:dyDescent="0.25">
      <c r="A410" s="278"/>
      <c r="B410" s="278"/>
      <c r="C410" s="171" t="s">
        <v>65</v>
      </c>
      <c r="D410" s="172">
        <f>IFERROR(VLOOKUP(C410,'BURGERATOR ÜRÜN İÇERİK'!$A$1:$D$42,4,),"")*4.2</f>
        <v>201.60000000000002</v>
      </c>
      <c r="E410" s="177"/>
    </row>
    <row r="411" spans="1:5" x14ac:dyDescent="0.25">
      <c r="A411" s="278"/>
      <c r="B411" s="278"/>
      <c r="C411" s="171" t="s">
        <v>158</v>
      </c>
      <c r="D411" s="172">
        <f>IFERROR(VLOOKUP(C411,'BURGERATOR ÜRÜN İÇERİK'!$A$1:$D$42,4,),"")*3</f>
        <v>10.416666666666668</v>
      </c>
      <c r="E411" s="177"/>
    </row>
    <row r="412" spans="1:5" x14ac:dyDescent="0.25">
      <c r="A412" s="278"/>
      <c r="B412" s="278"/>
      <c r="C412" s="171" t="s">
        <v>76</v>
      </c>
      <c r="D412" s="172">
        <f>IFERROR(VLOOKUP(C412,'BURGERATOR ÜRÜN İÇERİK'!$A$1:$D$42,4,),"")*3</f>
        <v>62.099999999999994</v>
      </c>
      <c r="E412" s="177"/>
    </row>
    <row r="413" spans="1:5" x14ac:dyDescent="0.25">
      <c r="A413" s="278"/>
      <c r="B413" s="278"/>
      <c r="C413" s="171" t="s">
        <v>91</v>
      </c>
      <c r="D413" s="172">
        <f>IFERROR(VLOOKUP(C413,'BURGERATOR ÜRÜN İÇERİK'!$A$1:$D$42,4,),"")</f>
        <v>3</v>
      </c>
      <c r="E413" s="177"/>
    </row>
    <row r="414" spans="1:5" x14ac:dyDescent="0.25">
      <c r="A414" s="278"/>
      <c r="B414" s="278"/>
      <c r="C414" s="171" t="s">
        <v>24</v>
      </c>
      <c r="D414" s="172">
        <f>IFERROR(VLOOKUP(C414,'BURGERATOR ÜRÜN İÇERİK'!$A$1:$D$42,4,),"")</f>
        <v>19.2</v>
      </c>
      <c r="E414" s="177"/>
    </row>
    <row r="415" spans="1:5" x14ac:dyDescent="0.25">
      <c r="A415" s="278"/>
      <c r="B415" s="278"/>
      <c r="C415" s="171" t="s">
        <v>70</v>
      </c>
      <c r="D415" s="172">
        <f>IFERROR(VLOOKUP(C415,'BURGERATOR ÜRÜN İÇERİK'!$A$1:$D$42,4,),"")</f>
        <v>27</v>
      </c>
      <c r="E415" s="177"/>
    </row>
    <row r="416" spans="1:5" x14ac:dyDescent="0.25">
      <c r="A416" s="278" t="s">
        <v>6</v>
      </c>
      <c r="B416" s="278">
        <v>420</v>
      </c>
      <c r="C416" s="171" t="s">
        <v>62</v>
      </c>
      <c r="D416" s="172">
        <f>IFERROR(VLOOKUP(C416,'BURGERATOR ÜRÜN İÇERİK'!$A$1:$D$42,4,),"")</f>
        <v>11</v>
      </c>
      <c r="E416" s="177">
        <f>SUM(D416:D423)</f>
        <v>305.43333333333334</v>
      </c>
    </row>
    <row r="417" spans="1:5" x14ac:dyDescent="0.25">
      <c r="A417" s="278"/>
      <c r="B417" s="278"/>
      <c r="C417" s="171" t="s">
        <v>155</v>
      </c>
      <c r="D417" s="172">
        <f>IFERROR(VLOOKUP(C417,'BURGERATOR ÜRÜN İÇERİK'!$A$1:$D$42,4,),"")</f>
        <v>3</v>
      </c>
      <c r="E417" s="177"/>
    </row>
    <row r="418" spans="1:5" x14ac:dyDescent="0.25">
      <c r="A418" s="278"/>
      <c r="B418" s="278"/>
      <c r="C418" s="171" t="s">
        <v>65</v>
      </c>
      <c r="D418" s="172">
        <f>IFERROR(VLOOKUP(C418,'BURGERATOR ÜRÜN İÇERİK'!$A$1:$D$42,4,),"")*4.2</f>
        <v>201.60000000000002</v>
      </c>
      <c r="E418" s="177"/>
    </row>
    <row r="419" spans="1:5" x14ac:dyDescent="0.25">
      <c r="A419" s="278"/>
      <c r="B419" s="278"/>
      <c r="C419" s="171" t="s">
        <v>60</v>
      </c>
      <c r="D419" s="172">
        <f>IFERROR(VLOOKUP(C419,'BURGERATOR ÜRÜN İÇERİK'!$A$1:$D$42,4,),"")*3</f>
        <v>13.333333333333334</v>
      </c>
      <c r="E419" s="177"/>
    </row>
    <row r="420" spans="1:5" x14ac:dyDescent="0.25">
      <c r="A420" s="278"/>
      <c r="B420" s="278"/>
      <c r="C420" s="171" t="s">
        <v>63</v>
      </c>
      <c r="D420" s="172">
        <f>IFERROR(VLOOKUP(C420,'BURGERATOR ÜRÜN İÇERİK'!$A$1:$D$42,4,),"")*3</f>
        <v>27.299999999999997</v>
      </c>
      <c r="E420" s="177"/>
    </row>
    <row r="421" spans="1:5" x14ac:dyDescent="0.25">
      <c r="A421" s="278"/>
      <c r="B421" s="278"/>
      <c r="C421" s="171" t="s">
        <v>161</v>
      </c>
      <c r="D421" s="172">
        <f>IFERROR(VLOOKUP(C421,'BURGERATOR ÜRÜN İÇERİK'!$A$1:$D$42,4,),"")</f>
        <v>3</v>
      </c>
      <c r="E421" s="177"/>
    </row>
    <row r="422" spans="1:5" x14ac:dyDescent="0.25">
      <c r="A422" s="278"/>
      <c r="B422" s="278"/>
      <c r="C422" s="171" t="s">
        <v>24</v>
      </c>
      <c r="D422" s="172">
        <f>IFERROR(VLOOKUP(C422,'BURGERATOR ÜRÜN İÇERİK'!$A$1:$D$42,4,),"")</f>
        <v>19.2</v>
      </c>
      <c r="E422" s="177"/>
    </row>
    <row r="423" spans="1:5" x14ac:dyDescent="0.25">
      <c r="A423" s="278"/>
      <c r="B423" s="278"/>
      <c r="C423" s="171" t="s">
        <v>70</v>
      </c>
      <c r="D423" s="172">
        <f>IFERROR(VLOOKUP(C423,'BURGERATOR ÜRÜN İÇERİK'!$A$1:$D$42,4,),"")</f>
        <v>27</v>
      </c>
      <c r="E423" s="177"/>
    </row>
    <row r="424" spans="1:5" x14ac:dyDescent="0.25">
      <c r="A424" s="278" t="s">
        <v>13</v>
      </c>
      <c r="B424" s="278">
        <v>420</v>
      </c>
      <c r="C424" s="171" t="s">
        <v>62</v>
      </c>
      <c r="D424" s="172">
        <f>IFERROR(VLOOKUP(C424,'BURGERATOR ÜRÜN İÇERİK'!$A$1:$D$42,4,),"")</f>
        <v>11</v>
      </c>
      <c r="E424" s="177">
        <f>SUM(D424:D431)</f>
        <v>320.13333333333338</v>
      </c>
    </row>
    <row r="425" spans="1:5" x14ac:dyDescent="0.25">
      <c r="A425" s="278"/>
      <c r="B425" s="278"/>
      <c r="C425" s="171" t="s">
        <v>155</v>
      </c>
      <c r="D425" s="172">
        <f>IFERROR(VLOOKUP(C425,'BURGERATOR ÜRÜN İÇERİK'!$A$1:$D$42,4,),"")</f>
        <v>3</v>
      </c>
      <c r="E425" s="177"/>
    </row>
    <row r="426" spans="1:5" x14ac:dyDescent="0.25">
      <c r="A426" s="278"/>
      <c r="B426" s="278"/>
      <c r="C426" s="171" t="s">
        <v>65</v>
      </c>
      <c r="D426" s="172">
        <f>IFERROR(VLOOKUP(C426,'BURGERATOR ÜRÜN İÇERİK'!$A$1:$D$42,4,),"")*4.2</f>
        <v>201.60000000000002</v>
      </c>
      <c r="E426" s="177"/>
    </row>
    <row r="427" spans="1:5" x14ac:dyDescent="0.25">
      <c r="A427" s="278"/>
      <c r="B427" s="278"/>
      <c r="C427" s="171" t="s">
        <v>60</v>
      </c>
      <c r="D427" s="172">
        <f>IFERROR(VLOOKUP(C427,'BURGERATOR ÜRÜN İÇERİK'!$A$1:$D$42,4,),"")*3</f>
        <v>13.333333333333334</v>
      </c>
      <c r="E427" s="177"/>
    </row>
    <row r="428" spans="1:5" x14ac:dyDescent="0.25">
      <c r="A428" s="278"/>
      <c r="B428" s="278"/>
      <c r="C428" s="171" t="s">
        <v>133</v>
      </c>
      <c r="D428" s="172">
        <f>IFERROR(VLOOKUP(C428,'BURGERATOR ÜRÜN İÇERİK'!$A$1:$D$42,4,),"")*3</f>
        <v>42</v>
      </c>
      <c r="E428" s="177"/>
    </row>
    <row r="429" spans="1:5" x14ac:dyDescent="0.25">
      <c r="A429" s="278"/>
      <c r="B429" s="278"/>
      <c r="C429" s="171" t="s">
        <v>91</v>
      </c>
      <c r="D429" s="172">
        <f>IFERROR(VLOOKUP(C429,'BURGERATOR ÜRÜN İÇERİK'!$A$1:$D$42,4,),"")</f>
        <v>3</v>
      </c>
      <c r="E429" s="177"/>
    </row>
    <row r="430" spans="1:5" x14ac:dyDescent="0.25">
      <c r="A430" s="278"/>
      <c r="B430" s="278"/>
      <c r="C430" s="171" t="s">
        <v>24</v>
      </c>
      <c r="D430" s="172">
        <f>IFERROR(VLOOKUP(C430,'BURGERATOR ÜRÜN İÇERİK'!$A$1:$D$42,4,),"")</f>
        <v>19.2</v>
      </c>
      <c r="E430" s="177"/>
    </row>
    <row r="431" spans="1:5" x14ac:dyDescent="0.25">
      <c r="A431" s="278"/>
      <c r="B431" s="278"/>
      <c r="C431" s="171" t="s">
        <v>70</v>
      </c>
      <c r="D431" s="172">
        <f>IFERROR(VLOOKUP(C431,'BURGERATOR ÜRÜN İÇERİK'!$A$1:$D$42,4,),"")</f>
        <v>27</v>
      </c>
      <c r="E431" s="177"/>
    </row>
    <row r="432" spans="1:5" x14ac:dyDescent="0.25">
      <c r="A432" s="278" t="s">
        <v>7</v>
      </c>
      <c r="B432" s="278">
        <v>420</v>
      </c>
      <c r="C432" s="171" t="s">
        <v>62</v>
      </c>
      <c r="D432" s="172">
        <f>IFERROR(VLOOKUP(C432,'BURGERATOR ÜRÜN İÇERİK'!$A$1:$D$42,4,),"")</f>
        <v>11</v>
      </c>
      <c r="E432" s="177">
        <f>SUM(D432:D439)</f>
        <v>303.93333333333334</v>
      </c>
    </row>
    <row r="433" spans="1:5" x14ac:dyDescent="0.25">
      <c r="A433" s="278"/>
      <c r="B433" s="278"/>
      <c r="C433" s="171" t="s">
        <v>155</v>
      </c>
      <c r="D433" s="172">
        <f>IFERROR(VLOOKUP(C433,'BURGERATOR ÜRÜN İÇERİK'!$A$1:$D$42,4,),"")</f>
        <v>3</v>
      </c>
      <c r="E433" s="177"/>
    </row>
    <row r="434" spans="1:5" x14ac:dyDescent="0.25">
      <c r="A434" s="278"/>
      <c r="B434" s="278"/>
      <c r="C434" s="171" t="s">
        <v>65</v>
      </c>
      <c r="D434" s="172">
        <f>IFERROR(VLOOKUP(C434,'BURGERATOR ÜRÜN İÇERİK'!$A$1:$D$42,4,),"")*4.2</f>
        <v>201.60000000000002</v>
      </c>
      <c r="E434" s="177"/>
    </row>
    <row r="435" spans="1:5" x14ac:dyDescent="0.25">
      <c r="A435" s="278"/>
      <c r="B435" s="278"/>
      <c r="C435" s="171" t="s">
        <v>60</v>
      </c>
      <c r="D435" s="172">
        <f>IFERROR(VLOOKUP(C435,'BURGERATOR ÜRÜN İÇERİK'!$A$1:$D$42,4,),"")*3</f>
        <v>13.333333333333334</v>
      </c>
      <c r="E435" s="177"/>
    </row>
    <row r="436" spans="1:5" x14ac:dyDescent="0.25">
      <c r="A436" s="278"/>
      <c r="B436" s="278"/>
      <c r="C436" s="171" t="s">
        <v>63</v>
      </c>
      <c r="D436" s="172">
        <f>IFERROR(VLOOKUP(C436,'BURGERATOR ÜRÜN İÇERİK'!$A$1:$D$42,4,),"")*3</f>
        <v>27.299999999999997</v>
      </c>
      <c r="E436" s="177"/>
    </row>
    <row r="437" spans="1:5" x14ac:dyDescent="0.25">
      <c r="A437" s="278"/>
      <c r="B437" s="278"/>
      <c r="C437" s="171" t="s">
        <v>57</v>
      </c>
      <c r="D437" s="172">
        <f>IFERROR(VLOOKUP(C437,'BURGERATOR ÜRÜN İÇERİK'!$A$1:$D$42,4,),"")</f>
        <v>1.5</v>
      </c>
      <c r="E437" s="177"/>
    </row>
    <row r="438" spans="1:5" x14ac:dyDescent="0.25">
      <c r="A438" s="278"/>
      <c r="B438" s="278"/>
      <c r="C438" s="171" t="s">
        <v>24</v>
      </c>
      <c r="D438" s="172">
        <f>IFERROR(VLOOKUP(C438,'BURGERATOR ÜRÜN İÇERİK'!$A$1:$D$42,4,),"")</f>
        <v>19.2</v>
      </c>
      <c r="E438" s="177"/>
    </row>
    <row r="439" spans="1:5" x14ac:dyDescent="0.25">
      <c r="A439" s="278"/>
      <c r="B439" s="278"/>
      <c r="C439" s="171" t="s">
        <v>70</v>
      </c>
      <c r="D439" s="172">
        <f>IFERROR(VLOOKUP(C439,'BURGERATOR ÜRÜN İÇERİK'!$A$1:$D$42,4,),"")</f>
        <v>27</v>
      </c>
      <c r="E439" s="177"/>
    </row>
    <row r="440" spans="1:5" x14ac:dyDescent="0.25">
      <c r="A440" s="278" t="s">
        <v>345</v>
      </c>
      <c r="B440" s="278">
        <v>100</v>
      </c>
      <c r="C440" s="171" t="s">
        <v>62</v>
      </c>
      <c r="D440" s="172">
        <f>IFERROR(VLOOKUP(C440,'BURGERATOR ÜRÜN İÇERİK'!$A$1:$D$42,4,),"")</f>
        <v>11</v>
      </c>
      <c r="E440" s="177">
        <f>SUM(D440:D446)</f>
        <v>98.844444444444434</v>
      </c>
    </row>
    <row r="441" spans="1:5" x14ac:dyDescent="0.25">
      <c r="A441" s="278"/>
      <c r="B441" s="278"/>
      <c r="C441" s="171" t="s">
        <v>155</v>
      </c>
      <c r="D441" s="172">
        <f>IFERROR(VLOOKUP(C441,'BURGERATOR ÜRÜN İÇERİK'!$A$1:$D$42,4,),"")</f>
        <v>3</v>
      </c>
      <c r="E441" s="177"/>
    </row>
    <row r="442" spans="1:5" x14ac:dyDescent="0.25">
      <c r="A442" s="278"/>
      <c r="B442" s="278"/>
      <c r="C442" s="171" t="s">
        <v>342</v>
      </c>
      <c r="D442" s="172">
        <f>IFERROR(VLOOKUP(C442,'BURGERATOR ÜRÜN İÇERİK'!$A$1:$D$42,4,),"")</f>
        <v>34.4</v>
      </c>
      <c r="E442" s="177"/>
    </row>
    <row r="443" spans="1:5" x14ac:dyDescent="0.25">
      <c r="A443" s="278"/>
      <c r="B443" s="278"/>
      <c r="C443" s="171" t="s">
        <v>60</v>
      </c>
      <c r="D443" s="172">
        <f>IFERROR(VLOOKUP(C443,'BURGERATOR ÜRÜN İÇERİK'!$A$1:$D$42,4,),"")</f>
        <v>4.4444444444444446</v>
      </c>
      <c r="E443" s="177"/>
    </row>
    <row r="444" spans="1:5" x14ac:dyDescent="0.25">
      <c r="A444" s="278"/>
      <c r="B444" s="278"/>
      <c r="C444" s="171" t="s">
        <v>347</v>
      </c>
      <c r="D444" s="172">
        <f>IFERROR(VLOOKUP(C444,'BURGERATOR ÜRÜN İÇERİK'!$A$1:$D$42,4,),"")</f>
        <v>3</v>
      </c>
      <c r="E444" s="177"/>
    </row>
    <row r="445" spans="1:5" x14ac:dyDescent="0.25">
      <c r="A445" s="278"/>
      <c r="B445" s="278"/>
      <c r="C445" s="171" t="s">
        <v>346</v>
      </c>
      <c r="D445" s="172">
        <f>IFERROR(VLOOKUP(C445,'BURGERATOR ÜRÜN İÇERİK'!$A$1:$D$42,4,),"")</f>
        <v>16</v>
      </c>
      <c r="E445" s="177"/>
    </row>
    <row r="446" spans="1:5" x14ac:dyDescent="0.25">
      <c r="A446" s="278"/>
      <c r="B446" s="278"/>
      <c r="C446" s="171" t="s">
        <v>70</v>
      </c>
      <c r="D446" s="172">
        <f>IFERROR(VLOOKUP(C446,'BURGERATOR ÜRÜN İÇERİK'!$A$1:$D$42,4,),"")</f>
        <v>27</v>
      </c>
      <c r="E446" s="177"/>
    </row>
    <row r="447" spans="1:5" x14ac:dyDescent="0.25">
      <c r="A447" s="278" t="s">
        <v>348</v>
      </c>
      <c r="B447" s="278">
        <v>100</v>
      </c>
      <c r="C447" s="171" t="s">
        <v>62</v>
      </c>
      <c r="D447" s="172">
        <f>IFERROR(VLOOKUP(C447,'BURGERATOR ÜRÜN İÇERİK'!$A$1:$D$42,4,),"")</f>
        <v>11</v>
      </c>
      <c r="E447" s="177">
        <f>SUM(D447:D455)</f>
        <v>106.84444444444443</v>
      </c>
    </row>
    <row r="448" spans="1:5" x14ac:dyDescent="0.25">
      <c r="A448" s="278"/>
      <c r="B448" s="278"/>
      <c r="C448" s="171" t="s">
        <v>162</v>
      </c>
      <c r="D448" s="172">
        <f>IFERROR(VLOOKUP(C448,'BURGERATOR ÜRÜN İÇERİK'!$A$1:$D$42,4,),"")</f>
        <v>3</v>
      </c>
      <c r="E448" s="177"/>
    </row>
    <row r="449" spans="1:5" x14ac:dyDescent="0.25">
      <c r="A449" s="278"/>
      <c r="B449" s="278"/>
      <c r="C449" s="171" t="s">
        <v>342</v>
      </c>
      <c r="D449" s="172">
        <f>IFERROR(VLOOKUP(C449,'BURGERATOR ÜRÜN İÇERİK'!$A$1:$D$42,4,),"")</f>
        <v>34.4</v>
      </c>
      <c r="E449" s="177"/>
    </row>
    <row r="450" spans="1:5" x14ac:dyDescent="0.25">
      <c r="A450" s="278"/>
      <c r="B450" s="278"/>
      <c r="C450" s="171" t="s">
        <v>344</v>
      </c>
      <c r="D450" s="172">
        <f>IFERROR(VLOOKUP(C450,'BURGERATOR ÜRÜN İÇERİK'!$A$1:$D$42,4,),"")</f>
        <v>3</v>
      </c>
      <c r="E450" s="177"/>
    </row>
    <row r="451" spans="1:5" x14ac:dyDescent="0.25">
      <c r="A451" s="278"/>
      <c r="B451" s="278"/>
      <c r="C451" s="171" t="s">
        <v>60</v>
      </c>
      <c r="D451" s="172">
        <f>IFERROR(VLOOKUP(C451,'BURGERATOR ÜRÜN İÇERİK'!$A$1:$D$42,4,),"")</f>
        <v>4.4444444444444446</v>
      </c>
      <c r="E451" s="177"/>
    </row>
    <row r="452" spans="1:5" x14ac:dyDescent="0.25">
      <c r="A452" s="278"/>
      <c r="B452" s="278"/>
      <c r="C452" s="171" t="s">
        <v>349</v>
      </c>
      <c r="D452" s="172">
        <f>IFERROR(VLOOKUP(C452,'BURGERATOR ÜRÜN İÇERİK'!$A$1:$D$42,4,),"")</f>
        <v>5</v>
      </c>
      <c r="E452" s="177"/>
    </row>
    <row r="453" spans="1:5" x14ac:dyDescent="0.25">
      <c r="A453" s="278"/>
      <c r="B453" s="278"/>
      <c r="C453" s="171" t="s">
        <v>350</v>
      </c>
      <c r="D453" s="172">
        <f>IFERROR(VLOOKUP(C453,'BURGERATOR ÜRÜN İÇERİK'!$A$1:$D$42,4,),"")</f>
        <v>3</v>
      </c>
      <c r="E453" s="177"/>
    </row>
    <row r="454" spans="1:5" x14ac:dyDescent="0.25">
      <c r="A454" s="278"/>
      <c r="B454" s="278"/>
      <c r="C454" s="171" t="s">
        <v>346</v>
      </c>
      <c r="D454" s="172">
        <f>IFERROR(VLOOKUP(C454,'BURGERATOR ÜRÜN İÇERİK'!$A$1:$D$42,4,),"")</f>
        <v>16</v>
      </c>
      <c r="E454" s="177"/>
    </row>
    <row r="455" spans="1:5" x14ac:dyDescent="0.25">
      <c r="A455" s="278"/>
      <c r="B455" s="278"/>
      <c r="C455" s="171" t="s">
        <v>70</v>
      </c>
      <c r="D455" s="172">
        <f>IFERROR(VLOOKUP(C455,'BURGERATOR ÜRÜN İÇERİK'!$A$1:$D$42,4,),"")</f>
        <v>27</v>
      </c>
      <c r="E455" s="177"/>
    </row>
    <row r="456" spans="1:5" x14ac:dyDescent="0.25">
      <c r="A456" s="278" t="s">
        <v>351</v>
      </c>
      <c r="B456" s="278">
        <v>100</v>
      </c>
      <c r="C456" s="171" t="s">
        <v>62</v>
      </c>
      <c r="D456" s="172">
        <f>IFERROR(VLOOKUP(C456,'BURGERATOR ÜRÜN İÇERİK'!$A$1:$D$42,4,),"")</f>
        <v>11</v>
      </c>
      <c r="E456" s="177">
        <f>SUM(D456:D464)</f>
        <v>104.84444444444443</v>
      </c>
    </row>
    <row r="457" spans="1:5" x14ac:dyDescent="0.25">
      <c r="A457" s="278"/>
      <c r="B457" s="278"/>
      <c r="C457" s="171" t="s">
        <v>352</v>
      </c>
      <c r="D457" s="172">
        <f>IFERROR(VLOOKUP(C457,'BURGERATOR ÜRÜN İÇERİK'!$A$1:$D$42,4,),"")</f>
        <v>3</v>
      </c>
      <c r="E457" s="177"/>
    </row>
    <row r="458" spans="1:5" x14ac:dyDescent="0.25">
      <c r="A458" s="278"/>
      <c r="B458" s="278"/>
      <c r="C458" s="171" t="s">
        <v>342</v>
      </c>
      <c r="D458" s="172">
        <f>IFERROR(VLOOKUP(C458,'BURGERATOR ÜRÜN İÇERİK'!$A$1:$D$42,4,),"")</f>
        <v>34.4</v>
      </c>
      <c r="E458" s="177"/>
    </row>
    <row r="459" spans="1:5" x14ac:dyDescent="0.25">
      <c r="A459" s="278"/>
      <c r="B459" s="278"/>
      <c r="C459" s="171" t="s">
        <v>344</v>
      </c>
      <c r="D459" s="172">
        <f>IFERROR(VLOOKUP(C459,'BURGERATOR ÜRÜN İÇERİK'!$A$1:$D$42,4,),"")</f>
        <v>3</v>
      </c>
      <c r="E459" s="177"/>
    </row>
    <row r="460" spans="1:5" x14ac:dyDescent="0.25">
      <c r="A460" s="278"/>
      <c r="B460" s="278"/>
      <c r="C460" s="171" t="s">
        <v>161</v>
      </c>
      <c r="D460" s="172">
        <f>IFERROR(VLOOKUP(C460,'BURGERATOR ÜRÜN İÇERİK'!$A$1:$D$42,4,),"")</f>
        <v>3</v>
      </c>
      <c r="E460" s="177"/>
    </row>
    <row r="461" spans="1:5" x14ac:dyDescent="0.25">
      <c r="A461" s="278"/>
      <c r="B461" s="278"/>
      <c r="C461" s="171" t="s">
        <v>60</v>
      </c>
      <c r="D461" s="172">
        <f>IFERROR(VLOOKUP(C461,'BURGERATOR ÜRÜN İÇERİK'!$A$1:$D$42,4,),"")</f>
        <v>4.4444444444444446</v>
      </c>
      <c r="E461" s="177"/>
    </row>
    <row r="462" spans="1:5" x14ac:dyDescent="0.25">
      <c r="A462" s="278"/>
      <c r="B462" s="278"/>
      <c r="C462" s="171" t="s">
        <v>343</v>
      </c>
      <c r="D462" s="172">
        <f>IFERROR(VLOOKUP(C462,'BURGERATOR ÜRÜN İÇERİK'!$A$1:$D$42,4,),"")</f>
        <v>3</v>
      </c>
      <c r="E462" s="177"/>
    </row>
    <row r="463" spans="1:5" x14ac:dyDescent="0.25">
      <c r="A463" s="278"/>
      <c r="B463" s="278"/>
      <c r="C463" s="171" t="s">
        <v>346</v>
      </c>
      <c r="D463" s="172">
        <f>IFERROR(VLOOKUP(C463,'BURGERATOR ÜRÜN İÇERİK'!$A$1:$D$42,4,),"")</f>
        <v>16</v>
      </c>
      <c r="E463" s="177"/>
    </row>
    <row r="464" spans="1:5" x14ac:dyDescent="0.25">
      <c r="A464" s="278"/>
      <c r="B464" s="278"/>
      <c r="C464" s="171" t="s">
        <v>70</v>
      </c>
      <c r="D464" s="172">
        <f>IFERROR(VLOOKUP(C464,'BURGERATOR ÜRÜN İÇERİK'!$A$1:$D$42,4,),"")</f>
        <v>27</v>
      </c>
      <c r="E464" s="177"/>
    </row>
    <row r="465" spans="1:5" x14ac:dyDescent="0.25">
      <c r="A465" s="278" t="s">
        <v>353</v>
      </c>
      <c r="B465" s="278">
        <v>100</v>
      </c>
      <c r="C465" s="171" t="s">
        <v>62</v>
      </c>
      <c r="D465" s="172">
        <f>IFERROR(VLOOKUP(C465,'BURGERATOR ÜRÜN İÇERİK'!$A$1:$D$42,4,),"")</f>
        <v>11</v>
      </c>
      <c r="E465" s="177">
        <f>SUM(D465:D472)</f>
        <v>105.84444444444443</v>
      </c>
    </row>
    <row r="466" spans="1:5" x14ac:dyDescent="0.25">
      <c r="A466" s="278"/>
      <c r="B466" s="278"/>
      <c r="C466" s="171" t="s">
        <v>163</v>
      </c>
      <c r="D466" s="172">
        <f>IFERROR(VLOOKUP(C466,'BURGERATOR ÜRÜN İÇERİK'!$A$1:$D$42,4,),"")</f>
        <v>5</v>
      </c>
      <c r="E466" s="177"/>
    </row>
    <row r="467" spans="1:5" x14ac:dyDescent="0.25">
      <c r="A467" s="278"/>
      <c r="B467" s="278"/>
      <c r="C467" s="171" t="s">
        <v>342</v>
      </c>
      <c r="D467" s="172">
        <f>IFERROR(VLOOKUP(C467,'BURGERATOR ÜRÜN İÇERİK'!$A$1:$D$42,4,),"")</f>
        <v>34.4</v>
      </c>
      <c r="E467" s="177"/>
    </row>
    <row r="468" spans="1:5" x14ac:dyDescent="0.25">
      <c r="A468" s="278"/>
      <c r="B468" s="278"/>
      <c r="C468" s="171" t="s">
        <v>60</v>
      </c>
      <c r="D468" s="172">
        <f>IFERROR(VLOOKUP(C468,'BURGERATOR ÜRÜN İÇERİK'!$A$1:$D$42,4,),"")</f>
        <v>4.4444444444444446</v>
      </c>
      <c r="E468" s="177"/>
    </row>
    <row r="469" spans="1:5" x14ac:dyDescent="0.25">
      <c r="A469" s="278"/>
      <c r="B469" s="278"/>
      <c r="C469" s="171" t="s">
        <v>343</v>
      </c>
      <c r="D469" s="172">
        <f>IFERROR(VLOOKUP(C469,'BURGERATOR ÜRÜN İÇERİK'!$A$1:$D$42,4,),"")</f>
        <v>3</v>
      </c>
      <c r="E469" s="177"/>
    </row>
    <row r="470" spans="1:5" x14ac:dyDescent="0.25">
      <c r="A470" s="278"/>
      <c r="B470" s="278"/>
      <c r="C470" s="171" t="s">
        <v>192</v>
      </c>
      <c r="D470" s="172">
        <f>IFERROR(VLOOKUP(C470,'BURGERATOR ÜRÜN İÇERİK'!$A$1:$D$42,4,),"")</f>
        <v>5</v>
      </c>
      <c r="E470" s="177"/>
    </row>
    <row r="471" spans="1:5" x14ac:dyDescent="0.25">
      <c r="A471" s="278"/>
      <c r="B471" s="278"/>
      <c r="C471" s="171" t="s">
        <v>346</v>
      </c>
      <c r="D471" s="172">
        <f>IFERROR(VLOOKUP(C471,'BURGERATOR ÜRÜN İÇERİK'!$A$1:$D$42,4,),"")</f>
        <v>16</v>
      </c>
      <c r="E471" s="177"/>
    </row>
    <row r="472" spans="1:5" x14ac:dyDescent="0.25">
      <c r="A472" s="278"/>
      <c r="B472" s="278"/>
      <c r="C472" s="171" t="s">
        <v>70</v>
      </c>
      <c r="D472" s="172">
        <f>IFERROR(VLOOKUP(C472,'BURGERATOR ÜRÜN İÇERİK'!$A$1:$D$42,4,),"")</f>
        <v>27</v>
      </c>
      <c r="E472" s="177"/>
    </row>
    <row r="473" spans="1:5" x14ac:dyDescent="0.25">
      <c r="A473" s="278" t="s">
        <v>354</v>
      </c>
      <c r="B473" s="278">
        <v>100</v>
      </c>
      <c r="C473" s="171" t="s">
        <v>62</v>
      </c>
      <c r="D473" s="172">
        <f>IFERROR(VLOOKUP(C473,'BURGERATOR ÜRÜN İÇERİK'!$A$1:$D$42,4,),"")</f>
        <v>11</v>
      </c>
      <c r="E473" s="177">
        <f>SUM(D473:D481)</f>
        <v>104.84444444444443</v>
      </c>
    </row>
    <row r="474" spans="1:5" x14ac:dyDescent="0.25">
      <c r="A474" s="278"/>
      <c r="B474" s="278"/>
      <c r="C474" s="171" t="s">
        <v>352</v>
      </c>
      <c r="D474" s="172">
        <f>IFERROR(VLOOKUP(C474,'BURGERATOR ÜRÜN İÇERİK'!$A$1:$D$42,4,),"")</f>
        <v>3</v>
      </c>
      <c r="E474" s="177"/>
    </row>
    <row r="475" spans="1:5" x14ac:dyDescent="0.25">
      <c r="A475" s="278"/>
      <c r="B475" s="278"/>
      <c r="C475" s="171" t="s">
        <v>344</v>
      </c>
      <c r="D475" s="172">
        <f>IFERROR(VLOOKUP(C475,'BURGERATOR ÜRÜN İÇERİK'!$A$1:$D$42,4,),"")</f>
        <v>3</v>
      </c>
      <c r="E475" s="177"/>
    </row>
    <row r="476" spans="1:5" x14ac:dyDescent="0.25">
      <c r="A476" s="278"/>
      <c r="B476" s="278"/>
      <c r="C476" s="171" t="s">
        <v>342</v>
      </c>
      <c r="D476" s="172">
        <f>IFERROR(VLOOKUP(C476,'BURGERATOR ÜRÜN İÇERİK'!$A$1:$D$42,4,),"")</f>
        <v>34.4</v>
      </c>
      <c r="E476" s="177"/>
    </row>
    <row r="477" spans="1:5" x14ac:dyDescent="0.25">
      <c r="A477" s="278"/>
      <c r="B477" s="278"/>
      <c r="C477" s="171" t="s">
        <v>60</v>
      </c>
      <c r="D477" s="172">
        <f>IFERROR(VLOOKUP(C477,'BURGERATOR ÜRÜN İÇERİK'!$A$1:$D$42,4,),"")</f>
        <v>4.4444444444444446</v>
      </c>
      <c r="E477" s="177"/>
    </row>
    <row r="478" spans="1:5" x14ac:dyDescent="0.25">
      <c r="A478" s="278"/>
      <c r="B478" s="278"/>
      <c r="C478" s="171" t="s">
        <v>343</v>
      </c>
      <c r="D478" s="172">
        <f>IFERROR(VLOOKUP(C478,'BURGERATOR ÜRÜN İÇERİK'!$A$1:$D$42,4,),"")</f>
        <v>3</v>
      </c>
      <c r="E478" s="177"/>
    </row>
    <row r="479" spans="1:5" x14ac:dyDescent="0.25">
      <c r="A479" s="278"/>
      <c r="B479" s="278"/>
      <c r="C479" s="171" t="s">
        <v>347</v>
      </c>
      <c r="D479" s="172">
        <f>IFERROR(VLOOKUP(C479,'BURGERATOR ÜRÜN İÇERİK'!$A$1:$D$42,4,),"")</f>
        <v>3</v>
      </c>
      <c r="E479" s="177"/>
    </row>
    <row r="480" spans="1:5" x14ac:dyDescent="0.25">
      <c r="A480" s="278"/>
      <c r="B480" s="278"/>
      <c r="C480" s="171" t="s">
        <v>346</v>
      </c>
      <c r="D480" s="172">
        <f>IFERROR(VLOOKUP(C480,'BURGERATOR ÜRÜN İÇERİK'!$A$1:$D$42,4,),"")</f>
        <v>16</v>
      </c>
      <c r="E480" s="177"/>
    </row>
    <row r="481" spans="1:5" x14ac:dyDescent="0.25">
      <c r="A481" s="278"/>
      <c r="B481" s="278"/>
      <c r="C481" s="171" t="s">
        <v>70</v>
      </c>
      <c r="D481" s="172">
        <f>IFERROR(VLOOKUP(C481,'BURGERATOR ÜRÜN İÇERİK'!$A$1:$D$42,4,),"")</f>
        <v>27</v>
      </c>
      <c r="E481" s="177"/>
    </row>
    <row r="482" spans="1:5" x14ac:dyDescent="0.25">
      <c r="D482" s="175" t="str">
        <f>IFERROR(VLOOKUP(C482,'BURGERATOR ÜRÜN İÇERİK'!$A$1:$D$42,4,),"")</f>
        <v/>
      </c>
    </row>
    <row r="483" spans="1:5" x14ac:dyDescent="0.25">
      <c r="D483" s="175" t="str">
        <f>IFERROR(VLOOKUP(C483,'BURGERATOR ÜRÜN İÇERİK'!$A$1:$D$42,4,),"")</f>
        <v/>
      </c>
    </row>
    <row r="484" spans="1:5" x14ac:dyDescent="0.25">
      <c r="D484" s="175" t="str">
        <f>IFERROR(VLOOKUP(C484,'BURGERATOR ÜRÜN İÇERİK'!$A$1:$D$42,4,),"")</f>
        <v/>
      </c>
    </row>
    <row r="485" spans="1:5" x14ac:dyDescent="0.25">
      <c r="D485" s="175" t="str">
        <f>IFERROR(VLOOKUP(C485,'BURGERATOR ÜRÜN İÇERİK'!$A$1:$D$42,4,),"")</f>
        <v/>
      </c>
    </row>
    <row r="486" spans="1:5" x14ac:dyDescent="0.25">
      <c r="D486" s="175" t="str">
        <f>IFERROR(VLOOKUP(C486,'BURGERATOR ÜRÜN İÇERİK'!$A$1:$D$42,4,),"")</f>
        <v/>
      </c>
    </row>
    <row r="487" spans="1:5" x14ac:dyDescent="0.25">
      <c r="D487" s="175" t="str">
        <f>IFERROR(VLOOKUP(C487,'BURGERATOR ÜRÜN İÇERİK'!$A$1:$D$42,4,),"")</f>
        <v/>
      </c>
    </row>
    <row r="488" spans="1:5" x14ac:dyDescent="0.25">
      <c r="D488" s="175" t="str">
        <f>IFERROR(VLOOKUP(C488,'BURGERATOR ÜRÜN İÇERİK'!$A$1:$D$42,4,),"")</f>
        <v/>
      </c>
    </row>
    <row r="489" spans="1:5" x14ac:dyDescent="0.25">
      <c r="D489" s="175" t="str">
        <f>IFERROR(VLOOKUP(C489,'BURGERATOR ÜRÜN İÇERİK'!$A$1:$D$42,4,),"")</f>
        <v/>
      </c>
    </row>
    <row r="490" spans="1:5" x14ac:dyDescent="0.25">
      <c r="D490" s="175" t="str">
        <f>IFERROR(VLOOKUP(C490,'BURGERATOR ÜRÜN İÇERİK'!$A$1:$D$42,4,),"")</f>
        <v/>
      </c>
    </row>
    <row r="491" spans="1:5" x14ac:dyDescent="0.25">
      <c r="D491" s="175" t="str">
        <f>IFERROR(VLOOKUP(C491,'BURGERATOR ÜRÜN İÇERİK'!$A$1:$D$42,4,),"")</f>
        <v/>
      </c>
    </row>
    <row r="492" spans="1:5" x14ac:dyDescent="0.25">
      <c r="D492" s="175" t="str">
        <f>IFERROR(VLOOKUP(C492,'BURGERATOR ÜRÜN İÇERİK'!$A$1:$D$42,4,),"")</f>
        <v/>
      </c>
    </row>
    <row r="493" spans="1:5" x14ac:dyDescent="0.25">
      <c r="D493" s="175" t="str">
        <f>IFERROR(VLOOKUP(C493,'BURGERATOR ÜRÜN İÇERİK'!$A$1:$D$42,4,),"")</f>
        <v/>
      </c>
    </row>
    <row r="494" spans="1:5" x14ac:dyDescent="0.25">
      <c r="D494" s="175" t="str">
        <f>IFERROR(VLOOKUP(C494,'BURGERATOR ÜRÜN İÇERİK'!$A$1:$D$42,4,),"")</f>
        <v/>
      </c>
    </row>
    <row r="495" spans="1:5" x14ac:dyDescent="0.25">
      <c r="D495" s="175" t="str">
        <f>IFERROR(VLOOKUP(C495,'BURGERATOR ÜRÜN İÇERİK'!$A$1:$D$42,4,),"")</f>
        <v/>
      </c>
    </row>
    <row r="496" spans="1:5" x14ac:dyDescent="0.25">
      <c r="D496" s="175" t="str">
        <f>IFERROR(VLOOKUP(C496,'BURGERATOR ÜRÜN İÇERİK'!$A$1:$D$42,4,),"")</f>
        <v/>
      </c>
    </row>
    <row r="497" spans="4:4" x14ac:dyDescent="0.25">
      <c r="D497" s="175" t="str">
        <f>IFERROR(VLOOKUP(C497,'BURGERATOR ÜRÜN İÇERİK'!$A$1:$D$42,4,),"")</f>
        <v/>
      </c>
    </row>
    <row r="498" spans="4:4" x14ac:dyDescent="0.25">
      <c r="D498" s="175" t="str">
        <f>IFERROR(VLOOKUP(C498,'BURGERATOR ÜRÜN İÇERİK'!$A$1:$D$42,4,),"")</f>
        <v/>
      </c>
    </row>
    <row r="499" spans="4:4" x14ac:dyDescent="0.25">
      <c r="D499" s="175" t="str">
        <f>IFERROR(VLOOKUP(C499,'BURGERATOR ÜRÜN İÇERİK'!$A$1:$D$42,4,),"")</f>
        <v/>
      </c>
    </row>
    <row r="500" spans="4:4" x14ac:dyDescent="0.25">
      <c r="D500" s="175" t="str">
        <f>IFERROR(VLOOKUP(C500,'BURGERATOR ÜRÜN İÇERİK'!$A$1:$D$42,4,),"")</f>
        <v/>
      </c>
    </row>
    <row r="501" spans="4:4" x14ac:dyDescent="0.25">
      <c r="D501" s="175" t="str">
        <f>IFERROR(VLOOKUP(C501,'BURGERATOR ÜRÜN İÇERİK'!$A$1:$D$42,4,),"")</f>
        <v/>
      </c>
    </row>
    <row r="502" spans="4:4" x14ac:dyDescent="0.25">
      <c r="D502" s="175" t="str">
        <f>IFERROR(VLOOKUP(C502,'BURGERATOR ÜRÜN İÇERİK'!$A$1:$D$42,4,),"")</f>
        <v/>
      </c>
    </row>
    <row r="503" spans="4:4" x14ac:dyDescent="0.25">
      <c r="D503" s="175" t="str">
        <f>IFERROR(VLOOKUP(C503,'BURGERATOR ÜRÜN İÇERİK'!$A$1:$D$42,4,),"")</f>
        <v/>
      </c>
    </row>
    <row r="504" spans="4:4" x14ac:dyDescent="0.25">
      <c r="D504" s="175" t="str">
        <f>IFERROR(VLOOKUP(C504,'BURGERATOR ÜRÜN İÇERİK'!$A$1:$D$42,4,),"")</f>
        <v/>
      </c>
    </row>
    <row r="505" spans="4:4" x14ac:dyDescent="0.25">
      <c r="D505" s="175" t="str">
        <f>IFERROR(VLOOKUP(C505,'BURGERATOR ÜRÜN İÇERİK'!$A$1:$D$42,4,),"")</f>
        <v/>
      </c>
    </row>
    <row r="506" spans="4:4" x14ac:dyDescent="0.25">
      <c r="D506" s="175" t="str">
        <f>IFERROR(VLOOKUP(C506,'BURGERATOR ÜRÜN İÇERİK'!$A$1:$D$42,4,),"")</f>
        <v/>
      </c>
    </row>
    <row r="507" spans="4:4" x14ac:dyDescent="0.25">
      <c r="D507" s="175" t="str">
        <f>IFERROR(VLOOKUP(C507,'BURGERATOR ÜRÜN İÇERİK'!$A$1:$D$42,4,),"")</f>
        <v/>
      </c>
    </row>
    <row r="508" spans="4:4" x14ac:dyDescent="0.25">
      <c r="D508" s="175" t="str">
        <f>IFERROR(VLOOKUP(C508,'BURGERATOR ÜRÜN İÇERİK'!$A$1:$D$42,4,),"")</f>
        <v/>
      </c>
    </row>
    <row r="509" spans="4:4" x14ac:dyDescent="0.25">
      <c r="D509" s="175" t="str">
        <f>IFERROR(VLOOKUP(C509,'BURGERATOR ÜRÜN İÇERİK'!$A$1:$D$42,4,),"")</f>
        <v/>
      </c>
    </row>
    <row r="510" spans="4:4" x14ac:dyDescent="0.25">
      <c r="D510" s="175" t="str">
        <f>IFERROR(VLOOKUP(C510,'BURGERATOR ÜRÜN İÇERİK'!$A$1:$D$42,4,),"")</f>
        <v/>
      </c>
    </row>
    <row r="511" spans="4:4" x14ac:dyDescent="0.25">
      <c r="D511" s="175" t="str">
        <f>IFERROR(VLOOKUP(C511,'BURGERATOR ÜRÜN İÇERİK'!$A$1:$D$42,4,),"")</f>
        <v/>
      </c>
    </row>
    <row r="512" spans="4:4" x14ac:dyDescent="0.25">
      <c r="D512" s="175" t="str">
        <f>IFERROR(VLOOKUP(C512,'BURGERATOR ÜRÜN İÇERİK'!$A$1:$D$42,4,),"")</f>
        <v/>
      </c>
    </row>
    <row r="513" spans="4:4" x14ac:dyDescent="0.25">
      <c r="D513" s="175" t="str">
        <f>IFERROR(VLOOKUP(C513,'BURGERATOR ÜRÜN İÇERİK'!$A$1:$D$42,4,),"")</f>
        <v/>
      </c>
    </row>
    <row r="514" spans="4:4" x14ac:dyDescent="0.25">
      <c r="D514" s="175" t="str">
        <f>IFERROR(VLOOKUP(C514,'BURGERATOR ÜRÜN İÇERİK'!$A$1:$D$42,4,),"")</f>
        <v/>
      </c>
    </row>
    <row r="515" spans="4:4" x14ac:dyDescent="0.25">
      <c r="D515" s="175" t="str">
        <f>IFERROR(VLOOKUP(C515,'BURGERATOR ÜRÜN İÇERİK'!$A$1:$D$42,4,),"")</f>
        <v/>
      </c>
    </row>
    <row r="516" spans="4:4" x14ac:dyDescent="0.25">
      <c r="D516" s="175" t="str">
        <f>IFERROR(VLOOKUP(C516,'BURGERATOR ÜRÜN İÇERİK'!$A$1:$D$42,4,),"")</f>
        <v/>
      </c>
    </row>
    <row r="517" spans="4:4" x14ac:dyDescent="0.25">
      <c r="D517" s="175" t="str">
        <f>IFERROR(VLOOKUP(C517,'BURGERATOR ÜRÜN İÇERİK'!$A$1:$D$42,4,),"")</f>
        <v/>
      </c>
    </row>
    <row r="518" spans="4:4" x14ac:dyDescent="0.25">
      <c r="D518" s="175" t="str">
        <f>IFERROR(VLOOKUP(C518,'BURGERATOR ÜRÜN İÇERİK'!$A$1:$D$42,4,),"")</f>
        <v/>
      </c>
    </row>
    <row r="519" spans="4:4" x14ac:dyDescent="0.25">
      <c r="D519" s="175" t="str">
        <f>IFERROR(VLOOKUP(C519,'BURGERATOR ÜRÜN İÇERİK'!$A$1:$D$42,4,),"")</f>
        <v/>
      </c>
    </row>
    <row r="520" spans="4:4" x14ac:dyDescent="0.25">
      <c r="D520" s="175" t="str">
        <f>IFERROR(VLOOKUP(C520,'BURGERATOR ÜRÜN İÇERİK'!$A$1:$D$42,4,),"")</f>
        <v/>
      </c>
    </row>
    <row r="521" spans="4:4" x14ac:dyDescent="0.25">
      <c r="D521" s="175" t="str">
        <f>IFERROR(VLOOKUP(C521,'BURGERATOR ÜRÜN İÇERİK'!$A$1:$D$42,4,),"")</f>
        <v/>
      </c>
    </row>
    <row r="522" spans="4:4" x14ac:dyDescent="0.25">
      <c r="D522" s="175" t="str">
        <f>IFERROR(VLOOKUP(C522,'BURGERATOR ÜRÜN İÇERİK'!$A$1:$D$42,4,),"")</f>
        <v/>
      </c>
    </row>
    <row r="523" spans="4:4" x14ac:dyDescent="0.25">
      <c r="D523" s="175" t="str">
        <f>IFERROR(VLOOKUP(C523,'BURGERATOR ÜRÜN İÇERİK'!$A$1:$D$42,4,),"")</f>
        <v/>
      </c>
    </row>
    <row r="524" spans="4:4" x14ac:dyDescent="0.25">
      <c r="D524" s="175" t="str">
        <f>IFERROR(VLOOKUP(C524,'BURGERATOR ÜRÜN İÇERİK'!$A$1:$D$42,4,),"")</f>
        <v/>
      </c>
    </row>
    <row r="525" spans="4:4" x14ac:dyDescent="0.25">
      <c r="D525" s="175" t="str">
        <f>IFERROR(VLOOKUP(C525,'BURGERATOR ÜRÜN İÇERİK'!$A$1:$D$42,4,),"")</f>
        <v/>
      </c>
    </row>
    <row r="526" spans="4:4" x14ac:dyDescent="0.25">
      <c r="D526" s="175" t="str">
        <f>IFERROR(VLOOKUP(C526,'BURGERATOR ÜRÜN İÇERİK'!$A$1:$D$42,4,),"")</f>
        <v/>
      </c>
    </row>
    <row r="527" spans="4:4" x14ac:dyDescent="0.25">
      <c r="D527" s="175" t="str">
        <f>IFERROR(VLOOKUP(C527,'BURGERATOR ÜRÜN İÇERİK'!$A$1:$D$42,4,),"")</f>
        <v/>
      </c>
    </row>
    <row r="528" spans="4:4" x14ac:dyDescent="0.25">
      <c r="D528" s="175" t="str">
        <f>IFERROR(VLOOKUP(C528,'BURGERATOR ÜRÜN İÇERİK'!$A$1:$D$42,4,),"")</f>
        <v/>
      </c>
    </row>
    <row r="529" spans="4:4" x14ac:dyDescent="0.25">
      <c r="D529" s="175" t="str">
        <f>IFERROR(VLOOKUP(C529,'BURGERATOR ÜRÜN İÇERİK'!$A$1:$D$42,4,),"")</f>
        <v/>
      </c>
    </row>
    <row r="530" spans="4:4" x14ac:dyDescent="0.25">
      <c r="D530" s="175" t="str">
        <f>IFERROR(VLOOKUP(C530,'BURGERATOR ÜRÜN İÇERİK'!$A$1:$D$42,4,),"")</f>
        <v/>
      </c>
    </row>
    <row r="531" spans="4:4" x14ac:dyDescent="0.25">
      <c r="D531" s="175" t="str">
        <f>IFERROR(VLOOKUP(C531,'BURGERATOR ÜRÜN İÇERİK'!$A$1:$D$42,4,),"")</f>
        <v/>
      </c>
    </row>
    <row r="532" spans="4:4" x14ac:dyDescent="0.25">
      <c r="D532" s="175" t="str">
        <f>IFERROR(VLOOKUP(C532,'BURGERATOR ÜRÜN İÇERİK'!$A$1:$D$42,4,),"")</f>
        <v/>
      </c>
    </row>
    <row r="533" spans="4:4" x14ac:dyDescent="0.25">
      <c r="D533" s="175" t="str">
        <f>IFERROR(VLOOKUP(C533,'BURGERATOR ÜRÜN İÇERİK'!$A$1:$D$42,4,),"")</f>
        <v/>
      </c>
    </row>
    <row r="534" spans="4:4" x14ac:dyDescent="0.25">
      <c r="D534" s="175" t="str">
        <f>IFERROR(VLOOKUP(C534,'BURGERATOR ÜRÜN İÇERİK'!$A$1:$D$42,4,),"")</f>
        <v/>
      </c>
    </row>
    <row r="535" spans="4:4" x14ac:dyDescent="0.25">
      <c r="D535" s="175" t="str">
        <f>IFERROR(VLOOKUP(C535,'BURGERATOR ÜRÜN İÇERİK'!$A$1:$D$42,4,),"")</f>
        <v/>
      </c>
    </row>
    <row r="536" spans="4:4" x14ac:dyDescent="0.25">
      <c r="D536" s="175" t="str">
        <f>IFERROR(VLOOKUP(C536,'BURGERATOR ÜRÜN İÇERİK'!$A$1:$D$42,4,),"")</f>
        <v/>
      </c>
    </row>
    <row r="537" spans="4:4" x14ac:dyDescent="0.25">
      <c r="D537" s="175" t="str">
        <f>IFERROR(VLOOKUP(C537,'BURGERATOR ÜRÜN İÇERİK'!$A$1:$D$42,4,),"")</f>
        <v/>
      </c>
    </row>
    <row r="538" spans="4:4" x14ac:dyDescent="0.25">
      <c r="D538" s="175" t="str">
        <f>IFERROR(VLOOKUP(C538,'BURGERATOR ÜRÜN İÇERİK'!$A$1:$D$42,4,),"")</f>
        <v/>
      </c>
    </row>
    <row r="539" spans="4:4" x14ac:dyDescent="0.25">
      <c r="D539" s="175" t="str">
        <f>IFERROR(VLOOKUP(C539,'BURGERATOR ÜRÜN İÇERİK'!$A$1:$D$42,4,),"")</f>
        <v/>
      </c>
    </row>
    <row r="540" spans="4:4" x14ac:dyDescent="0.25">
      <c r="D540" s="175" t="str">
        <f>IFERROR(VLOOKUP(C540,'BURGERATOR ÜRÜN İÇERİK'!$A$1:$D$42,4,),"")</f>
        <v/>
      </c>
    </row>
    <row r="541" spans="4:4" x14ac:dyDescent="0.25">
      <c r="D541" s="175" t="str">
        <f>IFERROR(VLOOKUP(C541,'BURGERATOR ÜRÜN İÇERİK'!$A$1:$D$42,4,),"")</f>
        <v/>
      </c>
    </row>
    <row r="542" spans="4:4" x14ac:dyDescent="0.25">
      <c r="D542" s="175" t="str">
        <f>IFERROR(VLOOKUP(C542,'BURGERATOR ÜRÜN İÇERİK'!$A$1:$D$42,4,),"")</f>
        <v/>
      </c>
    </row>
    <row r="543" spans="4:4" x14ac:dyDescent="0.25">
      <c r="D543" s="175" t="str">
        <f>IFERROR(VLOOKUP(C543,'BURGERATOR ÜRÜN İÇERİK'!$A$1:$D$42,4,),"")</f>
        <v/>
      </c>
    </row>
    <row r="544" spans="4:4" x14ac:dyDescent="0.25">
      <c r="D544" s="175" t="str">
        <f>IFERROR(VLOOKUP(C544,'BURGERATOR ÜRÜN İÇERİK'!$A$1:$D$42,4,),"")</f>
        <v/>
      </c>
    </row>
    <row r="545" spans="4:4" x14ac:dyDescent="0.25">
      <c r="D545" s="175" t="str">
        <f>IFERROR(VLOOKUP(C545,'BURGERATOR ÜRÜN İÇERİK'!$A$1:$D$42,4,),"")</f>
        <v/>
      </c>
    </row>
    <row r="546" spans="4:4" x14ac:dyDescent="0.25">
      <c r="D546" s="175" t="str">
        <f>IFERROR(VLOOKUP(C546,'BURGERATOR ÜRÜN İÇERİK'!$A$1:$D$42,4,),"")</f>
        <v/>
      </c>
    </row>
    <row r="547" spans="4:4" x14ac:dyDescent="0.25">
      <c r="D547" s="175" t="str">
        <f>IFERROR(VLOOKUP(C547,'BURGERATOR ÜRÜN İÇERİK'!$A$1:$D$42,4,),"")</f>
        <v/>
      </c>
    </row>
    <row r="548" spans="4:4" x14ac:dyDescent="0.25">
      <c r="D548" s="175" t="str">
        <f>IFERROR(VLOOKUP(C548,'BURGERATOR ÜRÜN İÇERİK'!$A$1:$D$42,4,),"")</f>
        <v/>
      </c>
    </row>
    <row r="549" spans="4:4" x14ac:dyDescent="0.25">
      <c r="D549" s="175" t="str">
        <f>IFERROR(VLOOKUP(C549,'BURGERATOR ÜRÜN İÇERİK'!$A$1:$D$42,4,),"")</f>
        <v/>
      </c>
    </row>
    <row r="550" spans="4:4" x14ac:dyDescent="0.25">
      <c r="D550" s="175" t="str">
        <f>IFERROR(VLOOKUP(C550,'BURGERATOR ÜRÜN İÇERİK'!$A$1:$D$42,4,),"")</f>
        <v/>
      </c>
    </row>
    <row r="551" spans="4:4" x14ac:dyDescent="0.25">
      <c r="D551" s="175" t="str">
        <f>IFERROR(VLOOKUP(C551,'BURGERATOR ÜRÜN İÇERİK'!$A$1:$D$42,4,),"")</f>
        <v/>
      </c>
    </row>
    <row r="552" spans="4:4" x14ac:dyDescent="0.25">
      <c r="D552" s="175" t="str">
        <f>IFERROR(VLOOKUP(C552,'BURGERATOR ÜRÜN İÇERİK'!$A$1:$D$42,4,),"")</f>
        <v/>
      </c>
    </row>
    <row r="553" spans="4:4" x14ac:dyDescent="0.25">
      <c r="D553" s="175" t="str">
        <f>IFERROR(VLOOKUP(C553,'BURGERATOR ÜRÜN İÇERİK'!$A$1:$D$42,4,),"")</f>
        <v/>
      </c>
    </row>
    <row r="554" spans="4:4" x14ac:dyDescent="0.25">
      <c r="D554" s="175" t="str">
        <f>IFERROR(VLOOKUP(C554,'BURGERATOR ÜRÜN İÇERİK'!$A$1:$D$42,4,),"")</f>
        <v/>
      </c>
    </row>
    <row r="555" spans="4:4" x14ac:dyDescent="0.25">
      <c r="D555" s="175" t="str">
        <f>IFERROR(VLOOKUP(C555,'BURGERATOR ÜRÜN İÇERİK'!$A$1:$D$42,4,),"")</f>
        <v/>
      </c>
    </row>
    <row r="556" spans="4:4" x14ac:dyDescent="0.25">
      <c r="D556" s="175" t="str">
        <f>IFERROR(VLOOKUP(C556,'BURGERATOR ÜRÜN İÇERİK'!$A$1:$D$42,4,),"")</f>
        <v/>
      </c>
    </row>
    <row r="557" spans="4:4" x14ac:dyDescent="0.25">
      <c r="D557" s="175" t="str">
        <f>IFERROR(VLOOKUP(C557,'BURGERATOR ÜRÜN İÇERİK'!$A$1:$D$42,4,),"")</f>
        <v/>
      </c>
    </row>
    <row r="558" spans="4:4" x14ac:dyDescent="0.25">
      <c r="D558" s="175" t="str">
        <f>IFERROR(VLOOKUP(C558,'BURGERATOR ÜRÜN İÇERİK'!$A$1:$D$42,4,),"")</f>
        <v/>
      </c>
    </row>
    <row r="559" spans="4:4" x14ac:dyDescent="0.25">
      <c r="D559" s="175" t="str">
        <f>IFERROR(VLOOKUP(C559,'BURGERATOR ÜRÜN İÇERİK'!$A$1:$D$42,4,),"")</f>
        <v/>
      </c>
    </row>
    <row r="560" spans="4:4" x14ac:dyDescent="0.25">
      <c r="D560" s="175" t="str">
        <f>IFERROR(VLOOKUP(C560,'BURGERATOR ÜRÜN İÇERİK'!$A$1:$D$42,4,),"")</f>
        <v/>
      </c>
    </row>
    <row r="561" spans="4:4" x14ac:dyDescent="0.25">
      <c r="D561" s="175" t="str">
        <f>IFERROR(VLOOKUP(C561,'BURGERATOR ÜRÜN İÇERİK'!$A$1:$D$42,4,),"")</f>
        <v/>
      </c>
    </row>
    <row r="562" spans="4:4" x14ac:dyDescent="0.25">
      <c r="D562" s="175" t="str">
        <f>IFERROR(VLOOKUP(C562,'BURGERATOR ÜRÜN İÇERİK'!$A$1:$D$42,4,),"")</f>
        <v/>
      </c>
    </row>
    <row r="563" spans="4:4" x14ac:dyDescent="0.25">
      <c r="D563" s="175" t="str">
        <f>IFERROR(VLOOKUP(C563,'BURGERATOR ÜRÜN İÇERİK'!$A$1:$D$42,4,),"")</f>
        <v/>
      </c>
    </row>
    <row r="564" spans="4:4" x14ac:dyDescent="0.25">
      <c r="D564" s="175" t="str">
        <f>IFERROR(VLOOKUP(C564,'BURGERATOR ÜRÜN İÇERİK'!$A$1:$D$42,4,),"")</f>
        <v/>
      </c>
    </row>
    <row r="565" spans="4:4" x14ac:dyDescent="0.25">
      <c r="D565" s="175" t="str">
        <f>IFERROR(VLOOKUP(C565,'BURGERATOR ÜRÜN İÇERİK'!$A$1:$D$42,4,),"")</f>
        <v/>
      </c>
    </row>
    <row r="566" spans="4:4" x14ac:dyDescent="0.25">
      <c r="D566" s="175" t="str">
        <f>IFERROR(VLOOKUP(C566,'BURGERATOR ÜRÜN İÇERİK'!$A$1:$D$42,4,),"")</f>
        <v/>
      </c>
    </row>
    <row r="567" spans="4:4" x14ac:dyDescent="0.25">
      <c r="D567" s="175" t="str">
        <f>IFERROR(VLOOKUP(C567,'BURGERATOR ÜRÜN İÇERİK'!$A$1:$D$42,4,),"")</f>
        <v/>
      </c>
    </row>
    <row r="568" spans="4:4" x14ac:dyDescent="0.25">
      <c r="D568" s="175" t="str">
        <f>IFERROR(VLOOKUP(C568,'BURGERATOR ÜRÜN İÇERİK'!$A$1:$D$42,4,),"")</f>
        <v/>
      </c>
    </row>
    <row r="569" spans="4:4" x14ac:dyDescent="0.25">
      <c r="D569" s="175" t="str">
        <f>IFERROR(VLOOKUP(C569,'BURGERATOR ÜRÜN İÇERİK'!$A$1:$D$42,4,),"")</f>
        <v/>
      </c>
    </row>
    <row r="570" spans="4:4" x14ac:dyDescent="0.25">
      <c r="D570" s="175" t="str">
        <f>IFERROR(VLOOKUP(C570,'BURGERATOR ÜRÜN İÇERİK'!$A$1:$D$42,4,),"")</f>
        <v/>
      </c>
    </row>
    <row r="571" spans="4:4" x14ac:dyDescent="0.25">
      <c r="D571" s="175" t="str">
        <f>IFERROR(VLOOKUP(C571,'BURGERATOR ÜRÜN İÇERİK'!$A$1:$D$42,4,),"")</f>
        <v/>
      </c>
    </row>
    <row r="572" spans="4:4" x14ac:dyDescent="0.25">
      <c r="D572" s="175" t="str">
        <f>IFERROR(VLOOKUP(C572,'BURGERATOR ÜRÜN İÇERİK'!$A$1:$D$42,4,),"")</f>
        <v/>
      </c>
    </row>
    <row r="573" spans="4:4" x14ac:dyDescent="0.25">
      <c r="D573" s="175" t="str">
        <f>IFERROR(VLOOKUP(C573,'BURGERATOR ÜRÜN İÇERİK'!$A$1:$D$42,4,),"")</f>
        <v/>
      </c>
    </row>
    <row r="574" spans="4:4" x14ac:dyDescent="0.25">
      <c r="D574" s="175" t="str">
        <f>IFERROR(VLOOKUP(C574,'BURGERATOR ÜRÜN İÇERİK'!$A$1:$D$42,4,),"")</f>
        <v/>
      </c>
    </row>
    <row r="575" spans="4:4" x14ac:dyDescent="0.25">
      <c r="D575" s="175" t="str">
        <f>IFERROR(VLOOKUP(C575,'BURGERATOR ÜRÜN İÇERİK'!$A$1:$D$42,4,),"")</f>
        <v/>
      </c>
    </row>
    <row r="576" spans="4:4" x14ac:dyDescent="0.25">
      <c r="D576" s="175" t="str">
        <f>IFERROR(VLOOKUP(C576,'BURGERATOR ÜRÜN İÇERİK'!$A$1:$D$42,4,),"")</f>
        <v/>
      </c>
    </row>
    <row r="577" spans="4:4" x14ac:dyDescent="0.25">
      <c r="D577" s="175" t="str">
        <f>IFERROR(VLOOKUP(C577,'BURGERATOR ÜRÜN İÇERİK'!$A$1:$D$42,4,),"")</f>
        <v/>
      </c>
    </row>
    <row r="578" spans="4:4" x14ac:dyDescent="0.25">
      <c r="D578" s="175" t="str">
        <f>IFERROR(VLOOKUP(C578,'BURGERATOR ÜRÜN İÇERİK'!$A$1:$D$42,4,),"")</f>
        <v/>
      </c>
    </row>
    <row r="579" spans="4:4" x14ac:dyDescent="0.25">
      <c r="D579" s="175" t="str">
        <f>IFERROR(VLOOKUP(C579,'BURGERATOR ÜRÜN İÇERİK'!$A$1:$D$42,4,),"")</f>
        <v/>
      </c>
    </row>
    <row r="580" spans="4:4" x14ac:dyDescent="0.25">
      <c r="D580" s="175" t="str">
        <f>IFERROR(VLOOKUP(C580,'BURGERATOR ÜRÜN İÇERİK'!$A$1:$D$42,4,),"")</f>
        <v/>
      </c>
    </row>
    <row r="581" spans="4:4" x14ac:dyDescent="0.25">
      <c r="D581" s="175" t="str">
        <f>IFERROR(VLOOKUP(C581,'BURGERATOR ÜRÜN İÇERİK'!$A$1:$D$42,4,),"")</f>
        <v/>
      </c>
    </row>
    <row r="582" spans="4:4" x14ac:dyDescent="0.25">
      <c r="D582" s="175" t="str">
        <f>IFERROR(VLOOKUP(C582,'BURGERATOR ÜRÜN İÇERİK'!$A$1:$D$42,4,),"")</f>
        <v/>
      </c>
    </row>
    <row r="583" spans="4:4" x14ac:dyDescent="0.25">
      <c r="D583" s="175" t="str">
        <f>IFERROR(VLOOKUP(C583,'BURGERATOR ÜRÜN İÇERİK'!$A$1:$D$42,4,),"")</f>
        <v/>
      </c>
    </row>
    <row r="584" spans="4:4" x14ac:dyDescent="0.25">
      <c r="D584" s="175" t="str">
        <f>IFERROR(VLOOKUP(C584,'BURGERATOR ÜRÜN İÇERİK'!$A$1:$D$42,4,),"")</f>
        <v/>
      </c>
    </row>
    <row r="585" spans="4:4" x14ac:dyDescent="0.25">
      <c r="D585" s="175" t="str">
        <f>IFERROR(VLOOKUP(C585,'BURGERATOR ÜRÜN İÇERİK'!$A$1:$D$42,4,),"")</f>
        <v/>
      </c>
    </row>
    <row r="586" spans="4:4" x14ac:dyDescent="0.25">
      <c r="D586" s="175" t="str">
        <f>IFERROR(VLOOKUP(C586,'BURGERATOR ÜRÜN İÇERİK'!$A$1:$D$42,4,),"")</f>
        <v/>
      </c>
    </row>
    <row r="587" spans="4:4" x14ac:dyDescent="0.25">
      <c r="D587" s="175" t="str">
        <f>IFERROR(VLOOKUP(C587,'BURGERATOR ÜRÜN İÇERİK'!$A$1:$D$42,4,),"")</f>
        <v/>
      </c>
    </row>
    <row r="588" spans="4:4" x14ac:dyDescent="0.25">
      <c r="D588" s="175" t="str">
        <f>IFERROR(VLOOKUP(C588,'BURGERATOR ÜRÜN İÇERİK'!$A$1:$D$42,4,),"")</f>
        <v/>
      </c>
    </row>
    <row r="589" spans="4:4" x14ac:dyDescent="0.25">
      <c r="D589" s="175" t="str">
        <f>IFERROR(VLOOKUP(C589,'BURGERATOR ÜRÜN İÇERİK'!$A$1:$D$42,4,),"")</f>
        <v/>
      </c>
    </row>
    <row r="590" spans="4:4" x14ac:dyDescent="0.25">
      <c r="D590" s="175" t="str">
        <f>IFERROR(VLOOKUP(C590,'BURGERATOR ÜRÜN İÇERİK'!$A$1:$D$42,4,),"")</f>
        <v/>
      </c>
    </row>
    <row r="591" spans="4:4" x14ac:dyDescent="0.25">
      <c r="D591" s="175" t="str">
        <f>IFERROR(VLOOKUP(C591,'BURGERATOR ÜRÜN İÇERİK'!$A$1:$D$42,4,),"")</f>
        <v/>
      </c>
    </row>
    <row r="592" spans="4:4" x14ac:dyDescent="0.25">
      <c r="D592" s="175" t="str">
        <f>IFERROR(VLOOKUP(C592,'BURGERATOR ÜRÜN İÇERİK'!$A$1:$D$42,4,),"")</f>
        <v/>
      </c>
    </row>
    <row r="593" spans="4:4" x14ac:dyDescent="0.25">
      <c r="D593" s="175" t="str">
        <f>IFERROR(VLOOKUP(C593,'BURGERATOR ÜRÜN İÇERİK'!$A$1:$D$42,4,),"")</f>
        <v/>
      </c>
    </row>
    <row r="594" spans="4:4" x14ac:dyDescent="0.25">
      <c r="D594" s="175" t="str">
        <f>IFERROR(VLOOKUP(C594,'BURGERATOR ÜRÜN İÇERİK'!$A$1:$D$42,4,),"")</f>
        <v/>
      </c>
    </row>
    <row r="595" spans="4:4" x14ac:dyDescent="0.25">
      <c r="D595" s="175" t="str">
        <f>IFERROR(VLOOKUP(C595,'BURGERATOR ÜRÜN İÇERİK'!$A$1:$D$42,4,),"")</f>
        <v/>
      </c>
    </row>
    <row r="596" spans="4:4" x14ac:dyDescent="0.25">
      <c r="D596" s="175" t="str">
        <f>IFERROR(VLOOKUP(C596,'BURGERATOR ÜRÜN İÇERİK'!$A$1:$D$42,4,),"")</f>
        <v/>
      </c>
    </row>
    <row r="597" spans="4:4" x14ac:dyDescent="0.25">
      <c r="D597" s="175" t="str">
        <f>IFERROR(VLOOKUP(C597,'BURGERATOR ÜRÜN İÇERİK'!$A$1:$D$42,4,),"")</f>
        <v/>
      </c>
    </row>
    <row r="598" spans="4:4" x14ac:dyDescent="0.25">
      <c r="D598" s="175" t="str">
        <f>IFERROR(VLOOKUP(C598,'BURGERATOR ÜRÜN İÇERİK'!$A$1:$D$42,4,),"")</f>
        <v/>
      </c>
    </row>
    <row r="599" spans="4:4" x14ac:dyDescent="0.25">
      <c r="D599" s="175" t="str">
        <f>IFERROR(VLOOKUP(C599,'BURGERATOR ÜRÜN İÇERİK'!$A$1:$D$42,4,),"")</f>
        <v/>
      </c>
    </row>
    <row r="600" spans="4:4" x14ac:dyDescent="0.25">
      <c r="D600" s="175" t="str">
        <f>IFERROR(VLOOKUP(C600,'BURGERATOR ÜRÜN İÇERİK'!$A$1:$D$42,4,),"")</f>
        <v/>
      </c>
    </row>
    <row r="601" spans="4:4" x14ac:dyDescent="0.25">
      <c r="D601" s="175" t="str">
        <f>IFERROR(VLOOKUP(C601,'BURGERATOR ÜRÜN İÇERİK'!$A$1:$D$42,4,),"")</f>
        <v/>
      </c>
    </row>
    <row r="602" spans="4:4" x14ac:dyDescent="0.25">
      <c r="D602" s="175" t="str">
        <f>IFERROR(VLOOKUP(C602,'BURGERATOR ÜRÜN İÇERİK'!$A$1:$D$42,4,),"")</f>
        <v/>
      </c>
    </row>
    <row r="603" spans="4:4" x14ac:dyDescent="0.25">
      <c r="D603" s="175" t="str">
        <f>IFERROR(VLOOKUP(C603,'BURGERATOR ÜRÜN İÇERİK'!$A$1:$D$42,4,),"")</f>
        <v/>
      </c>
    </row>
    <row r="604" spans="4:4" x14ac:dyDescent="0.25">
      <c r="D604" s="175" t="str">
        <f>IFERROR(VLOOKUP(C604,'BURGERATOR ÜRÜN İÇERİK'!$A$1:$D$42,4,),"")</f>
        <v/>
      </c>
    </row>
    <row r="605" spans="4:4" x14ac:dyDescent="0.25">
      <c r="D605" s="175" t="str">
        <f>IFERROR(VLOOKUP(C605,'BURGERATOR ÜRÜN İÇERİK'!$A$1:$D$42,4,),"")</f>
        <v/>
      </c>
    </row>
    <row r="606" spans="4:4" x14ac:dyDescent="0.25">
      <c r="D606" s="175" t="str">
        <f>IFERROR(VLOOKUP(C606,'BURGERATOR ÜRÜN İÇERİK'!$A$1:$D$42,4,),"")</f>
        <v/>
      </c>
    </row>
    <row r="607" spans="4:4" x14ac:dyDescent="0.25">
      <c r="D607" s="175" t="str">
        <f>IFERROR(VLOOKUP(C607,'BURGERATOR ÜRÜN İÇERİK'!$A$1:$D$42,4,),"")</f>
        <v/>
      </c>
    </row>
    <row r="608" spans="4:4" x14ac:dyDescent="0.25">
      <c r="D608" s="175" t="str">
        <f>IFERROR(VLOOKUP(C608,'BURGERATOR ÜRÜN İÇERİK'!$A$1:$D$42,4,),"")</f>
        <v/>
      </c>
    </row>
    <row r="609" spans="4:4" x14ac:dyDescent="0.25">
      <c r="D609" s="175" t="str">
        <f>IFERROR(VLOOKUP(C609,'BURGERATOR ÜRÜN İÇERİK'!$A$1:$D$42,4,),"")</f>
        <v/>
      </c>
    </row>
    <row r="610" spans="4:4" x14ac:dyDescent="0.25">
      <c r="D610" s="175" t="str">
        <f>IFERROR(VLOOKUP(C610,'BURGERATOR ÜRÜN İÇERİK'!$A$1:$D$42,4,),"")</f>
        <v/>
      </c>
    </row>
    <row r="611" spans="4:4" x14ac:dyDescent="0.25">
      <c r="D611" s="175" t="str">
        <f>IFERROR(VLOOKUP(C611,'BURGERATOR ÜRÜN İÇERİK'!$A$1:$D$42,4,),"")</f>
        <v/>
      </c>
    </row>
    <row r="612" spans="4:4" x14ac:dyDescent="0.25">
      <c r="D612" s="175" t="str">
        <f>IFERROR(VLOOKUP(C612,'BURGERATOR ÜRÜN İÇERİK'!$A$1:$D$42,4,),"")</f>
        <v/>
      </c>
    </row>
    <row r="613" spans="4:4" x14ac:dyDescent="0.25">
      <c r="D613" s="175" t="str">
        <f>IFERROR(VLOOKUP(C613,'BURGERATOR ÜRÜN İÇERİK'!$A$1:$D$42,4,),"")</f>
        <v/>
      </c>
    </row>
    <row r="614" spans="4:4" x14ac:dyDescent="0.25">
      <c r="D614" s="175" t="str">
        <f>IFERROR(VLOOKUP(C614,'BURGERATOR ÜRÜN İÇERİK'!$A$1:$D$42,4,),"")</f>
        <v/>
      </c>
    </row>
    <row r="615" spans="4:4" x14ac:dyDescent="0.25">
      <c r="D615" s="175" t="str">
        <f>IFERROR(VLOOKUP(C615,'BURGERATOR ÜRÜN İÇERİK'!$A$1:$D$42,4,),"")</f>
        <v/>
      </c>
    </row>
    <row r="616" spans="4:4" x14ac:dyDescent="0.25">
      <c r="D616" s="175" t="str">
        <f>IFERROR(VLOOKUP(C616,'BURGERATOR ÜRÜN İÇERİK'!$A$1:$D$42,4,),"")</f>
        <v/>
      </c>
    </row>
    <row r="617" spans="4:4" x14ac:dyDescent="0.25">
      <c r="D617" s="175" t="str">
        <f>IFERROR(VLOOKUP(C617,'BURGERATOR ÜRÜN İÇERİK'!$A$1:$D$42,4,),"")</f>
        <v/>
      </c>
    </row>
    <row r="618" spans="4:4" x14ac:dyDescent="0.25">
      <c r="D618" s="175" t="str">
        <f>IFERROR(VLOOKUP(C618,'BURGERATOR ÜRÜN İÇERİK'!$A$1:$D$42,4,),"")</f>
        <v/>
      </c>
    </row>
    <row r="619" spans="4:4" x14ac:dyDescent="0.25">
      <c r="D619" s="175" t="str">
        <f>IFERROR(VLOOKUP(C619,'BURGERATOR ÜRÜN İÇERİK'!$A$1:$D$42,4,),"")</f>
        <v/>
      </c>
    </row>
    <row r="620" spans="4:4" x14ac:dyDescent="0.25">
      <c r="D620" s="175" t="str">
        <f>IFERROR(VLOOKUP(C620,'BURGERATOR ÜRÜN İÇERİK'!$A$1:$D$42,4,),"")</f>
        <v/>
      </c>
    </row>
    <row r="621" spans="4:4" x14ac:dyDescent="0.25">
      <c r="D621" s="175" t="str">
        <f>IFERROR(VLOOKUP(C621,'BURGERATOR ÜRÜN İÇERİK'!$A$1:$D$42,4,),"")</f>
        <v/>
      </c>
    </row>
    <row r="622" spans="4:4" x14ac:dyDescent="0.25">
      <c r="D622" s="175" t="str">
        <f>IFERROR(VLOOKUP(C622,'BURGERATOR ÜRÜN İÇERİK'!$A$1:$D$42,4,),"")</f>
        <v/>
      </c>
    </row>
    <row r="623" spans="4:4" x14ac:dyDescent="0.25">
      <c r="D623" s="175" t="str">
        <f>IFERROR(VLOOKUP(C623,'BURGERATOR ÜRÜN İÇERİK'!$A$1:$D$42,4,),"")</f>
        <v/>
      </c>
    </row>
    <row r="624" spans="4:4" x14ac:dyDescent="0.25">
      <c r="D624" s="175" t="str">
        <f>IFERROR(VLOOKUP(C624,'BURGERATOR ÜRÜN İÇERİK'!$A$1:$D$42,4,),"")</f>
        <v/>
      </c>
    </row>
    <row r="625" spans="4:4" x14ac:dyDescent="0.25">
      <c r="D625" s="175" t="str">
        <f>IFERROR(VLOOKUP(C625,'BURGERATOR ÜRÜN İÇERİK'!$A$1:$D$42,4,),"")</f>
        <v/>
      </c>
    </row>
    <row r="626" spans="4:4" x14ac:dyDescent="0.25">
      <c r="D626" s="175" t="str">
        <f>IFERROR(VLOOKUP(C626,'BURGERATOR ÜRÜN İÇERİK'!$A$1:$D$42,4,),"")</f>
        <v/>
      </c>
    </row>
    <row r="627" spans="4:4" x14ac:dyDescent="0.25">
      <c r="D627" s="175" t="str">
        <f>IFERROR(VLOOKUP(C627,'BURGERATOR ÜRÜN İÇERİK'!$A$1:$D$42,4,),"")</f>
        <v/>
      </c>
    </row>
    <row r="628" spans="4:4" x14ac:dyDescent="0.25">
      <c r="D628" s="175" t="str">
        <f>IFERROR(VLOOKUP(C628,'BURGERATOR ÜRÜN İÇERİK'!$A$1:$D$42,4,),"")</f>
        <v/>
      </c>
    </row>
    <row r="629" spans="4:4" x14ac:dyDescent="0.25">
      <c r="D629" s="175" t="str">
        <f>IFERROR(VLOOKUP(C629,'BURGERATOR ÜRÜN İÇERİK'!$A$1:$D$42,4,),"")</f>
        <v/>
      </c>
    </row>
    <row r="630" spans="4:4" x14ac:dyDescent="0.25">
      <c r="D630" s="175" t="str">
        <f>IFERROR(VLOOKUP(C630,'BURGERATOR ÜRÜN İÇERİK'!$A$1:$D$42,4,),"")</f>
        <v/>
      </c>
    </row>
    <row r="631" spans="4:4" x14ac:dyDescent="0.25">
      <c r="D631" s="175" t="str">
        <f>IFERROR(VLOOKUP(C631,'BURGERATOR ÜRÜN İÇERİK'!$A$1:$D$42,4,),"")</f>
        <v/>
      </c>
    </row>
    <row r="632" spans="4:4" x14ac:dyDescent="0.25">
      <c r="D632" s="175" t="str">
        <f>IFERROR(VLOOKUP(C632,'BURGERATOR ÜRÜN İÇERİK'!$A$1:$D$42,4,),"")</f>
        <v/>
      </c>
    </row>
    <row r="633" spans="4:4" x14ac:dyDescent="0.25">
      <c r="D633" s="175" t="str">
        <f>IFERROR(VLOOKUP(C633,'BURGERATOR ÜRÜN İÇERİK'!$A$1:$D$42,4,),"")</f>
        <v/>
      </c>
    </row>
    <row r="634" spans="4:4" x14ac:dyDescent="0.25">
      <c r="D634" s="175" t="str">
        <f>IFERROR(VLOOKUP(C634,'BURGERATOR ÜRÜN İÇERİK'!$A$1:$D$42,4,),"")</f>
        <v/>
      </c>
    </row>
    <row r="635" spans="4:4" x14ac:dyDescent="0.25">
      <c r="D635" s="175" t="str">
        <f>IFERROR(VLOOKUP(C635,'BURGERATOR ÜRÜN İÇERİK'!$A$1:$D$42,4,),"")</f>
        <v/>
      </c>
    </row>
    <row r="636" spans="4:4" x14ac:dyDescent="0.25">
      <c r="D636" s="175" t="str">
        <f>IFERROR(VLOOKUP(C636,'BURGERATOR ÜRÜN İÇERİK'!$A$1:$D$42,4,),"")</f>
        <v/>
      </c>
    </row>
    <row r="637" spans="4:4" x14ac:dyDescent="0.25">
      <c r="D637" s="175" t="str">
        <f>IFERROR(VLOOKUP(C637,'BURGERATOR ÜRÜN İÇERİK'!$A$1:$D$42,4,),"")</f>
        <v/>
      </c>
    </row>
    <row r="638" spans="4:4" x14ac:dyDescent="0.25">
      <c r="D638" s="175" t="str">
        <f>IFERROR(VLOOKUP(C638,'BURGERATOR ÜRÜN İÇERİK'!$A$1:$D$42,4,),"")</f>
        <v/>
      </c>
    </row>
    <row r="639" spans="4:4" x14ac:dyDescent="0.25">
      <c r="D639" s="175" t="str">
        <f>IFERROR(VLOOKUP(C639,'BURGERATOR ÜRÜN İÇERİK'!$A$1:$D$42,4,),"")</f>
        <v/>
      </c>
    </row>
    <row r="640" spans="4:4" x14ac:dyDescent="0.25">
      <c r="D640" s="175" t="str">
        <f>IFERROR(VLOOKUP(C640,'BURGERATOR ÜRÜN İÇERİK'!$A$1:$D$42,4,),"")</f>
        <v/>
      </c>
    </row>
    <row r="641" spans="4:4" x14ac:dyDescent="0.25">
      <c r="D641" s="175" t="str">
        <f>IFERROR(VLOOKUP(C641,'BURGERATOR ÜRÜN İÇERİK'!$A$1:$D$42,4,),"")</f>
        <v/>
      </c>
    </row>
    <row r="642" spans="4:4" x14ac:dyDescent="0.25">
      <c r="D642" s="175" t="str">
        <f>IFERROR(VLOOKUP(C642,'BURGERATOR ÜRÜN İÇERİK'!$A$1:$D$42,4,),"")</f>
        <v/>
      </c>
    </row>
    <row r="643" spans="4:4" x14ac:dyDescent="0.25">
      <c r="D643" s="175" t="str">
        <f>IFERROR(VLOOKUP(C643,'BURGERATOR ÜRÜN İÇERİK'!$A$1:$D$42,4,),"")</f>
        <v/>
      </c>
    </row>
    <row r="644" spans="4:4" x14ac:dyDescent="0.25">
      <c r="D644" s="175" t="str">
        <f>IFERROR(VLOOKUP(C644,'BURGERATOR ÜRÜN İÇERİK'!$A$1:$D$42,4,),"")</f>
        <v/>
      </c>
    </row>
    <row r="645" spans="4:4" x14ac:dyDescent="0.25">
      <c r="D645" s="175" t="str">
        <f>IFERROR(VLOOKUP(C645,'BURGERATOR ÜRÜN İÇERİK'!$A$1:$D$42,4,),"")</f>
        <v/>
      </c>
    </row>
    <row r="646" spans="4:4" x14ac:dyDescent="0.25">
      <c r="D646" s="175" t="str">
        <f>IFERROR(VLOOKUP(C646,'BURGERATOR ÜRÜN İÇERİK'!$A$1:$D$42,4,),"")</f>
        <v/>
      </c>
    </row>
    <row r="647" spans="4:4" x14ac:dyDescent="0.25">
      <c r="D647" s="175" t="str">
        <f>IFERROR(VLOOKUP(C647,'BURGERATOR ÜRÜN İÇERİK'!$A$1:$D$42,4,),"")</f>
        <v/>
      </c>
    </row>
    <row r="648" spans="4:4" x14ac:dyDescent="0.25">
      <c r="D648" s="175" t="str">
        <f>IFERROR(VLOOKUP(C648,'BURGERATOR ÜRÜN İÇERİK'!$A$1:$D$42,4,),"")</f>
        <v/>
      </c>
    </row>
    <row r="649" spans="4:4" x14ac:dyDescent="0.25">
      <c r="D649" s="175" t="str">
        <f>IFERROR(VLOOKUP(C649,'BURGERATOR ÜRÜN İÇERİK'!$A$1:$D$42,4,),"")</f>
        <v/>
      </c>
    </row>
    <row r="650" spans="4:4" x14ac:dyDescent="0.25">
      <c r="D650" s="175" t="str">
        <f>IFERROR(VLOOKUP(C650,'BURGERATOR ÜRÜN İÇERİK'!$A$1:$D$42,4,),"")</f>
        <v/>
      </c>
    </row>
    <row r="651" spans="4:4" x14ac:dyDescent="0.25">
      <c r="D651" s="175" t="str">
        <f>IFERROR(VLOOKUP(C651,'BURGERATOR ÜRÜN İÇERİK'!$A$1:$D$42,4,),"")</f>
        <v/>
      </c>
    </row>
    <row r="652" spans="4:4" x14ac:dyDescent="0.25">
      <c r="D652" s="175" t="str">
        <f>IFERROR(VLOOKUP(C652,'BURGERATOR ÜRÜN İÇERİK'!$A$1:$D$42,4,),"")</f>
        <v/>
      </c>
    </row>
    <row r="653" spans="4:4" x14ac:dyDescent="0.25">
      <c r="D653" s="175" t="str">
        <f>IFERROR(VLOOKUP(C653,'BURGERATOR ÜRÜN İÇERİK'!$A$1:$D$42,4,),"")</f>
        <v/>
      </c>
    </row>
    <row r="654" spans="4:4" x14ac:dyDescent="0.25">
      <c r="D654" s="175" t="str">
        <f>IFERROR(VLOOKUP(C654,'BURGERATOR ÜRÜN İÇERİK'!$A$1:$D$42,4,),"")</f>
        <v/>
      </c>
    </row>
    <row r="655" spans="4:4" x14ac:dyDescent="0.25">
      <c r="D655" s="175" t="str">
        <f>IFERROR(VLOOKUP(C655,'BURGERATOR ÜRÜN İÇERİK'!$A$1:$D$42,4,),"")</f>
        <v/>
      </c>
    </row>
    <row r="656" spans="4:4" x14ac:dyDescent="0.25">
      <c r="D656" s="175" t="str">
        <f>IFERROR(VLOOKUP(C656,'BURGERATOR ÜRÜN İÇERİK'!$A$1:$D$42,4,),"")</f>
        <v/>
      </c>
    </row>
    <row r="657" spans="4:4" x14ac:dyDescent="0.25">
      <c r="D657" s="175" t="str">
        <f>IFERROR(VLOOKUP(C657,'BURGERATOR ÜRÜN İÇERİK'!$A$1:$D$42,4,),"")</f>
        <v/>
      </c>
    </row>
    <row r="658" spans="4:4" x14ac:dyDescent="0.25">
      <c r="D658" s="175" t="str">
        <f>IFERROR(VLOOKUP(C658,'BURGERATOR ÜRÜN İÇERİK'!$A$1:$D$42,4,),"")</f>
        <v/>
      </c>
    </row>
    <row r="659" spans="4:4" x14ac:dyDescent="0.25">
      <c r="D659" s="175" t="str">
        <f>IFERROR(VLOOKUP(C659,'BURGERATOR ÜRÜN İÇERİK'!$A$1:$D$42,4,),"")</f>
        <v/>
      </c>
    </row>
    <row r="660" spans="4:4" x14ac:dyDescent="0.25">
      <c r="D660" s="175" t="str">
        <f>IFERROR(VLOOKUP(C660,'BURGERATOR ÜRÜN İÇERİK'!$A$1:$D$42,4,),"")</f>
        <v/>
      </c>
    </row>
    <row r="661" spans="4:4" x14ac:dyDescent="0.25">
      <c r="D661" s="175" t="str">
        <f>IFERROR(VLOOKUP(C661,'BURGERATOR ÜRÜN İÇERİK'!$A$1:$D$42,4,),"")</f>
        <v/>
      </c>
    </row>
    <row r="662" spans="4:4" x14ac:dyDescent="0.25">
      <c r="D662" s="175" t="str">
        <f>IFERROR(VLOOKUP(C662,'BURGERATOR ÜRÜN İÇERİK'!$A$1:$D$42,4,),"")</f>
        <v/>
      </c>
    </row>
    <row r="663" spans="4:4" x14ac:dyDescent="0.25">
      <c r="D663" s="175" t="str">
        <f>IFERROR(VLOOKUP(C663,'BURGERATOR ÜRÜN İÇERİK'!$A$1:$D$42,4,),"")</f>
        <v/>
      </c>
    </row>
    <row r="664" spans="4:4" x14ac:dyDescent="0.25">
      <c r="D664" s="175" t="str">
        <f>IFERROR(VLOOKUP(C664,'BURGERATOR ÜRÜN İÇERİK'!$A$1:$D$42,4,),"")</f>
        <v/>
      </c>
    </row>
    <row r="665" spans="4:4" x14ac:dyDescent="0.25">
      <c r="D665" s="175" t="str">
        <f>IFERROR(VLOOKUP(C665,'BURGERATOR ÜRÜN İÇERİK'!$A$1:$D$42,4,),"")</f>
        <v/>
      </c>
    </row>
    <row r="666" spans="4:4" x14ac:dyDescent="0.25">
      <c r="D666" s="175" t="str">
        <f>IFERROR(VLOOKUP(C666,'BURGERATOR ÜRÜN İÇERİK'!$A$1:$D$42,4,),"")</f>
        <v/>
      </c>
    </row>
    <row r="667" spans="4:4" x14ac:dyDescent="0.25">
      <c r="D667" s="175" t="str">
        <f>IFERROR(VLOOKUP(C667,'BURGERATOR ÜRÜN İÇERİK'!$A$1:$D$42,4,),"")</f>
        <v/>
      </c>
    </row>
    <row r="668" spans="4:4" x14ac:dyDescent="0.25">
      <c r="D668" s="175" t="str">
        <f>IFERROR(VLOOKUP(C668,'BURGERATOR ÜRÜN İÇERİK'!$A$1:$D$42,4,),"")</f>
        <v/>
      </c>
    </row>
    <row r="669" spans="4:4" x14ac:dyDescent="0.25">
      <c r="D669" s="175" t="str">
        <f>IFERROR(VLOOKUP(C669,'BURGERATOR ÜRÜN İÇERİK'!$A$1:$D$42,4,),"")</f>
        <v/>
      </c>
    </row>
    <row r="670" spans="4:4" x14ac:dyDescent="0.25">
      <c r="D670" s="175" t="str">
        <f>IFERROR(VLOOKUP(C670,'BURGERATOR ÜRÜN İÇERİK'!$A$1:$D$42,4,),"")</f>
        <v/>
      </c>
    </row>
    <row r="671" spans="4:4" x14ac:dyDescent="0.25">
      <c r="D671" s="175" t="str">
        <f>IFERROR(VLOOKUP(C671,'BURGERATOR ÜRÜN İÇERİK'!$A$1:$D$42,4,),"")</f>
        <v/>
      </c>
    </row>
    <row r="672" spans="4:4" x14ac:dyDescent="0.25">
      <c r="D672" s="175" t="str">
        <f>IFERROR(VLOOKUP(C672,'BURGERATOR ÜRÜN İÇERİK'!$A$1:$D$42,4,),"")</f>
        <v/>
      </c>
    </row>
    <row r="673" spans="4:4" x14ac:dyDescent="0.25">
      <c r="D673" s="175" t="str">
        <f>IFERROR(VLOOKUP(C673,'BURGERATOR ÜRÜN İÇERİK'!$A$1:$D$42,4,),"")</f>
        <v/>
      </c>
    </row>
    <row r="674" spans="4:4" x14ac:dyDescent="0.25">
      <c r="D674" s="175" t="str">
        <f>IFERROR(VLOOKUP(C674,'BURGERATOR ÜRÜN İÇERİK'!$A$1:$D$42,4,),"")</f>
        <v/>
      </c>
    </row>
    <row r="675" spans="4:4" x14ac:dyDescent="0.25">
      <c r="D675" s="175" t="str">
        <f>IFERROR(VLOOKUP(C675,'BURGERATOR ÜRÜN İÇERİK'!$A$1:$D$42,4,),"")</f>
        <v/>
      </c>
    </row>
    <row r="676" spans="4:4" x14ac:dyDescent="0.25">
      <c r="D676" s="175" t="str">
        <f>IFERROR(VLOOKUP(C676,'BURGERATOR ÜRÜN İÇERİK'!$A$1:$D$42,4,),"")</f>
        <v/>
      </c>
    </row>
    <row r="677" spans="4:4" x14ac:dyDescent="0.25">
      <c r="D677" s="175" t="str">
        <f>IFERROR(VLOOKUP(C677,'BURGERATOR ÜRÜN İÇERİK'!$A$1:$D$42,4,),"")</f>
        <v/>
      </c>
    </row>
    <row r="678" spans="4:4" x14ac:dyDescent="0.25">
      <c r="D678" s="175" t="str">
        <f>IFERROR(VLOOKUP(C678,'BURGERATOR ÜRÜN İÇERİK'!$A$1:$D$42,4,),"")</f>
        <v/>
      </c>
    </row>
    <row r="679" spans="4:4" x14ac:dyDescent="0.25">
      <c r="D679" s="175" t="str">
        <f>IFERROR(VLOOKUP(C679,'BURGERATOR ÜRÜN İÇERİK'!$A$1:$D$42,4,),"")</f>
        <v/>
      </c>
    </row>
    <row r="680" spans="4:4" x14ac:dyDescent="0.25">
      <c r="D680" s="175" t="str">
        <f>IFERROR(VLOOKUP(C680,'BURGERATOR ÜRÜN İÇERİK'!$A$1:$D$42,4,),"")</f>
        <v/>
      </c>
    </row>
    <row r="681" spans="4:4" x14ac:dyDescent="0.25">
      <c r="D681" s="175" t="str">
        <f>IFERROR(VLOOKUP(C681,'BURGERATOR ÜRÜN İÇERİK'!$A$1:$D$42,4,),"")</f>
        <v/>
      </c>
    </row>
    <row r="682" spans="4:4" x14ac:dyDescent="0.25">
      <c r="D682" s="175" t="str">
        <f>IFERROR(VLOOKUP(C682,'BURGERATOR ÜRÜN İÇERİK'!$A$1:$D$42,4,),"")</f>
        <v/>
      </c>
    </row>
    <row r="683" spans="4:4" x14ac:dyDescent="0.25">
      <c r="D683" s="175" t="str">
        <f>IFERROR(VLOOKUP(C683,'BURGERATOR ÜRÜN İÇERİK'!$A$1:$D$42,4,),"")</f>
        <v/>
      </c>
    </row>
    <row r="684" spans="4:4" x14ac:dyDescent="0.25">
      <c r="D684" s="175" t="str">
        <f>IFERROR(VLOOKUP(C684,'BURGERATOR ÜRÜN İÇERİK'!$A$1:$D$42,4,),"")</f>
        <v/>
      </c>
    </row>
    <row r="685" spans="4:4" x14ac:dyDescent="0.25">
      <c r="D685" s="175" t="str">
        <f>IFERROR(VLOOKUP(C685,'BURGERATOR ÜRÜN İÇERİK'!$A$1:$D$42,4,),"")</f>
        <v/>
      </c>
    </row>
    <row r="686" spans="4:4" x14ac:dyDescent="0.25">
      <c r="D686" s="175" t="str">
        <f>IFERROR(VLOOKUP(C686,'BURGERATOR ÜRÜN İÇERİK'!$A$1:$D$42,4,),"")</f>
        <v/>
      </c>
    </row>
    <row r="687" spans="4:4" x14ac:dyDescent="0.25">
      <c r="D687" s="175" t="str">
        <f>IFERROR(VLOOKUP(C687,'BURGERATOR ÜRÜN İÇERİK'!$A$1:$D$42,4,),"")</f>
        <v/>
      </c>
    </row>
    <row r="688" spans="4:4" x14ac:dyDescent="0.25">
      <c r="D688" s="175" t="str">
        <f>IFERROR(VLOOKUP(C688,'BURGERATOR ÜRÜN İÇERİK'!$A$1:$D$42,4,),"")</f>
        <v/>
      </c>
    </row>
    <row r="689" spans="4:4" x14ac:dyDescent="0.25">
      <c r="D689" s="175" t="str">
        <f>IFERROR(VLOOKUP(C689,'BURGERATOR ÜRÜN İÇERİK'!$A$1:$D$42,4,),"")</f>
        <v/>
      </c>
    </row>
    <row r="690" spans="4:4" x14ac:dyDescent="0.25">
      <c r="D690" s="175" t="str">
        <f>IFERROR(VLOOKUP(C690,'BURGERATOR ÜRÜN İÇERİK'!$A$1:$D$42,4,),"")</f>
        <v/>
      </c>
    </row>
    <row r="691" spans="4:4" x14ac:dyDescent="0.25">
      <c r="D691" s="175" t="str">
        <f>IFERROR(VLOOKUP(C691,'BURGERATOR ÜRÜN İÇERİK'!$A$1:$D$42,4,),"")</f>
        <v/>
      </c>
    </row>
    <row r="692" spans="4:4" x14ac:dyDescent="0.25">
      <c r="D692" s="175" t="str">
        <f>IFERROR(VLOOKUP(C692,'BURGERATOR ÜRÜN İÇERİK'!$A$1:$D$42,4,),"")</f>
        <v/>
      </c>
    </row>
    <row r="693" spans="4:4" x14ac:dyDescent="0.25">
      <c r="D693" s="175" t="str">
        <f>IFERROR(VLOOKUP(C693,'BURGERATOR ÜRÜN İÇERİK'!$A$1:$D$42,4,),"")</f>
        <v/>
      </c>
    </row>
    <row r="694" spans="4:4" x14ac:dyDescent="0.25">
      <c r="D694" s="175" t="str">
        <f>IFERROR(VLOOKUP(C694,'BURGERATOR ÜRÜN İÇERİK'!$A$1:$D$42,4,),"")</f>
        <v/>
      </c>
    </row>
    <row r="695" spans="4:4" x14ac:dyDescent="0.25">
      <c r="D695" s="175" t="str">
        <f>IFERROR(VLOOKUP(C695,'BURGERATOR ÜRÜN İÇERİK'!$A$1:$D$42,4,),"")</f>
        <v/>
      </c>
    </row>
    <row r="696" spans="4:4" x14ac:dyDescent="0.25">
      <c r="D696" s="175" t="str">
        <f>IFERROR(VLOOKUP(C696,'BURGERATOR ÜRÜN İÇERİK'!$A$1:$D$42,4,),"")</f>
        <v/>
      </c>
    </row>
    <row r="697" spans="4:4" x14ac:dyDescent="0.25">
      <c r="D697" s="175" t="str">
        <f>IFERROR(VLOOKUP(C697,'BURGERATOR ÜRÜN İÇERİK'!$A$1:$D$42,4,),"")</f>
        <v/>
      </c>
    </row>
    <row r="698" spans="4:4" x14ac:dyDescent="0.25">
      <c r="D698" s="175" t="str">
        <f>IFERROR(VLOOKUP(C698,'BURGERATOR ÜRÜN İÇERİK'!$A$1:$D$42,4,),"")</f>
        <v/>
      </c>
    </row>
    <row r="699" spans="4:4" x14ac:dyDescent="0.25">
      <c r="D699" s="175" t="str">
        <f>IFERROR(VLOOKUP(C699,'BURGERATOR ÜRÜN İÇERİK'!$A$1:$D$42,4,),"")</f>
        <v/>
      </c>
    </row>
    <row r="700" spans="4:4" x14ac:dyDescent="0.25">
      <c r="D700" s="175" t="str">
        <f>IFERROR(VLOOKUP(C700,'BURGERATOR ÜRÜN İÇERİK'!$A$1:$D$42,4,),"")</f>
        <v/>
      </c>
    </row>
    <row r="701" spans="4:4" x14ac:dyDescent="0.25">
      <c r="D701" s="175" t="str">
        <f>IFERROR(VLOOKUP(C701,'BURGERATOR ÜRÜN İÇERİK'!$A$1:$D$42,4,),"")</f>
        <v/>
      </c>
    </row>
    <row r="702" spans="4:4" x14ac:dyDescent="0.25">
      <c r="D702" s="175" t="str">
        <f>IFERROR(VLOOKUP(C702,'BURGERATOR ÜRÜN İÇERİK'!$A$1:$D$42,4,),"")</f>
        <v/>
      </c>
    </row>
    <row r="703" spans="4:4" x14ac:dyDescent="0.25">
      <c r="D703" s="175" t="str">
        <f>IFERROR(VLOOKUP(C703,'BURGERATOR ÜRÜN İÇERİK'!$A$1:$D$42,4,),"")</f>
        <v/>
      </c>
    </row>
    <row r="704" spans="4:4" x14ac:dyDescent="0.25">
      <c r="D704" s="175" t="str">
        <f>IFERROR(VLOOKUP(C704,'BURGERATOR ÜRÜN İÇERİK'!$A$1:$D$42,4,),"")</f>
        <v/>
      </c>
    </row>
    <row r="705" spans="4:4" x14ac:dyDescent="0.25">
      <c r="D705" s="175" t="str">
        <f>IFERROR(VLOOKUP(C705,'BURGERATOR ÜRÜN İÇERİK'!$A$1:$D$42,4,),"")</f>
        <v/>
      </c>
    </row>
    <row r="706" spans="4:4" x14ac:dyDescent="0.25">
      <c r="D706" s="175" t="str">
        <f>IFERROR(VLOOKUP(C706,'BURGERATOR ÜRÜN İÇERİK'!$A$1:$D$42,4,),"")</f>
        <v/>
      </c>
    </row>
    <row r="707" spans="4:4" x14ac:dyDescent="0.25">
      <c r="D707" s="175" t="str">
        <f>IFERROR(VLOOKUP(C707,'BURGERATOR ÜRÜN İÇERİK'!$A$1:$D$42,4,),"")</f>
        <v/>
      </c>
    </row>
    <row r="708" spans="4:4" x14ac:dyDescent="0.25">
      <c r="D708" s="175" t="str">
        <f>IFERROR(VLOOKUP(C708,'BURGERATOR ÜRÜN İÇERİK'!$A$1:$D$42,4,),"")</f>
        <v/>
      </c>
    </row>
    <row r="709" spans="4:4" x14ac:dyDescent="0.25">
      <c r="D709" s="175" t="str">
        <f>IFERROR(VLOOKUP(C709,'BURGERATOR ÜRÜN İÇERİK'!$A$1:$D$42,4,),"")</f>
        <v/>
      </c>
    </row>
    <row r="710" spans="4:4" x14ac:dyDescent="0.25">
      <c r="D710" s="175" t="str">
        <f>IFERROR(VLOOKUP(C710,'BURGERATOR ÜRÜN İÇERİK'!$A$1:$D$42,4,),"")</f>
        <v/>
      </c>
    </row>
    <row r="711" spans="4:4" x14ac:dyDescent="0.25">
      <c r="D711" s="175" t="str">
        <f>IFERROR(VLOOKUP(C711,'BURGERATOR ÜRÜN İÇERİK'!$A$1:$D$42,4,),"")</f>
        <v/>
      </c>
    </row>
    <row r="712" spans="4:4" x14ac:dyDescent="0.25">
      <c r="D712" s="175" t="str">
        <f>IFERROR(VLOOKUP(C712,'BURGERATOR ÜRÜN İÇERİK'!$A$1:$D$42,4,),"")</f>
        <v/>
      </c>
    </row>
    <row r="713" spans="4:4" x14ac:dyDescent="0.25">
      <c r="D713" s="175" t="str">
        <f>IFERROR(VLOOKUP(C713,'BURGERATOR ÜRÜN İÇERİK'!$A$1:$D$42,4,),"")</f>
        <v/>
      </c>
    </row>
    <row r="714" spans="4:4" x14ac:dyDescent="0.25">
      <c r="D714" s="175" t="str">
        <f>IFERROR(VLOOKUP(C714,'BURGERATOR ÜRÜN İÇERİK'!$A$1:$D$42,4,),"")</f>
        <v/>
      </c>
    </row>
    <row r="715" spans="4:4" x14ac:dyDescent="0.25">
      <c r="D715" s="175" t="str">
        <f>IFERROR(VLOOKUP(C715,'BURGERATOR ÜRÜN İÇERİK'!$A$1:$D$42,4,),"")</f>
        <v/>
      </c>
    </row>
    <row r="716" spans="4:4" x14ac:dyDescent="0.25">
      <c r="D716" s="175" t="str">
        <f>IFERROR(VLOOKUP(C716,'BURGERATOR ÜRÜN İÇERİK'!$A$1:$D$42,4,),"")</f>
        <v/>
      </c>
    </row>
    <row r="717" spans="4:4" x14ac:dyDescent="0.25">
      <c r="D717" s="175" t="str">
        <f>IFERROR(VLOOKUP(C717,'BURGERATOR ÜRÜN İÇERİK'!$A$1:$D$42,4,),"")</f>
        <v/>
      </c>
    </row>
    <row r="718" spans="4:4" x14ac:dyDescent="0.25">
      <c r="D718" s="175" t="str">
        <f>IFERROR(VLOOKUP(C718,'BURGERATOR ÜRÜN İÇERİK'!$A$1:$D$42,4,),"")</f>
        <v/>
      </c>
    </row>
    <row r="719" spans="4:4" x14ac:dyDescent="0.25">
      <c r="D719" s="175" t="str">
        <f>IFERROR(VLOOKUP(C719,'BURGERATOR ÜRÜN İÇERİK'!$A$1:$D$42,4,),"")</f>
        <v/>
      </c>
    </row>
    <row r="720" spans="4:4" x14ac:dyDescent="0.25">
      <c r="D720" s="175" t="str">
        <f>IFERROR(VLOOKUP(C720,'BURGERATOR ÜRÜN İÇERİK'!$A$1:$D$42,4,),"")</f>
        <v/>
      </c>
    </row>
    <row r="721" spans="4:4" x14ac:dyDescent="0.25">
      <c r="D721" s="175" t="str">
        <f>IFERROR(VLOOKUP(C721,'BURGERATOR ÜRÜN İÇERİK'!$A$1:$D$42,4,),"")</f>
        <v/>
      </c>
    </row>
    <row r="722" spans="4:4" x14ac:dyDescent="0.25">
      <c r="D722" s="175" t="str">
        <f>IFERROR(VLOOKUP(C722,'BURGERATOR ÜRÜN İÇERİK'!$A$1:$D$42,4,),"")</f>
        <v/>
      </c>
    </row>
    <row r="723" spans="4:4" x14ac:dyDescent="0.25">
      <c r="D723" s="175" t="str">
        <f>IFERROR(VLOOKUP(C723,'BURGERATOR ÜRÜN İÇERİK'!$A$1:$D$42,4,),"")</f>
        <v/>
      </c>
    </row>
    <row r="724" spans="4:4" x14ac:dyDescent="0.25">
      <c r="D724" s="175" t="str">
        <f>IFERROR(VLOOKUP(C724,'BURGERATOR ÜRÜN İÇERİK'!$A$1:$D$42,4,),"")</f>
        <v/>
      </c>
    </row>
    <row r="725" spans="4:4" x14ac:dyDescent="0.25">
      <c r="D725" s="175" t="str">
        <f>IFERROR(VLOOKUP(C725,'BURGERATOR ÜRÜN İÇERİK'!$A$1:$D$42,4,),"")</f>
        <v/>
      </c>
    </row>
    <row r="726" spans="4:4" x14ac:dyDescent="0.25">
      <c r="D726" s="175" t="str">
        <f>IFERROR(VLOOKUP(C726,'BURGERATOR ÜRÜN İÇERİK'!$A$1:$D$42,4,),"")</f>
        <v/>
      </c>
    </row>
    <row r="727" spans="4:4" x14ac:dyDescent="0.25">
      <c r="D727" s="175" t="str">
        <f>IFERROR(VLOOKUP(C727,'BURGERATOR ÜRÜN İÇERİK'!$A$1:$D$42,4,),"")</f>
        <v/>
      </c>
    </row>
    <row r="728" spans="4:4" x14ac:dyDescent="0.25">
      <c r="D728" s="175" t="str">
        <f>IFERROR(VLOOKUP(C728,'BURGERATOR ÜRÜN İÇERİK'!$A$1:$D$42,4,),"")</f>
        <v/>
      </c>
    </row>
    <row r="729" spans="4:4" x14ac:dyDescent="0.25">
      <c r="D729" s="175" t="str">
        <f>IFERROR(VLOOKUP(C729,'BURGERATOR ÜRÜN İÇERİK'!$A$1:$D$42,4,),"")</f>
        <v/>
      </c>
    </row>
    <row r="730" spans="4:4" x14ac:dyDescent="0.25">
      <c r="D730" s="175" t="str">
        <f>IFERROR(VLOOKUP(C730,'BURGERATOR ÜRÜN İÇERİK'!$A$1:$D$42,4,),"")</f>
        <v/>
      </c>
    </row>
    <row r="731" spans="4:4" x14ac:dyDescent="0.25">
      <c r="D731" s="175" t="str">
        <f>IFERROR(VLOOKUP(C731,'BURGERATOR ÜRÜN İÇERİK'!$A$1:$D$42,4,),"")</f>
        <v/>
      </c>
    </row>
    <row r="732" spans="4:4" x14ac:dyDescent="0.25">
      <c r="D732" s="175" t="str">
        <f>IFERROR(VLOOKUP(C732,'BURGERATOR ÜRÜN İÇERİK'!$A$1:$D$42,4,),"")</f>
        <v/>
      </c>
    </row>
    <row r="733" spans="4:4" x14ac:dyDescent="0.25">
      <c r="D733" s="175" t="str">
        <f>IFERROR(VLOOKUP(C733,'BURGERATOR ÜRÜN İÇERİK'!$A$1:$D$42,4,),"")</f>
        <v/>
      </c>
    </row>
    <row r="734" spans="4:4" x14ac:dyDescent="0.25">
      <c r="D734" s="175" t="str">
        <f>IFERROR(VLOOKUP(C734,'BURGERATOR ÜRÜN İÇERİK'!$A$1:$D$42,4,),"")</f>
        <v/>
      </c>
    </row>
    <row r="735" spans="4:4" x14ac:dyDescent="0.25">
      <c r="D735" s="175" t="str">
        <f>IFERROR(VLOOKUP(C735,'BURGERATOR ÜRÜN İÇERİK'!$A$1:$D$42,4,),"")</f>
        <v/>
      </c>
    </row>
    <row r="736" spans="4:4" x14ac:dyDescent="0.25">
      <c r="D736" s="175" t="str">
        <f>IFERROR(VLOOKUP(C736,'BURGERATOR ÜRÜN İÇERİK'!$A$1:$D$42,4,),"")</f>
        <v/>
      </c>
    </row>
    <row r="737" spans="4:4" x14ac:dyDescent="0.25">
      <c r="D737" s="175" t="str">
        <f>IFERROR(VLOOKUP(C737,'BURGERATOR ÜRÜN İÇERİK'!$A$1:$D$42,4,),"")</f>
        <v/>
      </c>
    </row>
    <row r="738" spans="4:4" x14ac:dyDescent="0.25">
      <c r="D738" s="175" t="str">
        <f>IFERROR(VLOOKUP(C738,'BURGERATOR ÜRÜN İÇERİK'!$A$1:$D$42,4,),"")</f>
        <v/>
      </c>
    </row>
    <row r="739" spans="4:4" x14ac:dyDescent="0.25">
      <c r="D739" s="175" t="str">
        <f>IFERROR(VLOOKUP(C739,'BURGERATOR ÜRÜN İÇERİK'!$A$1:$D$42,4,),"")</f>
        <v/>
      </c>
    </row>
    <row r="740" spans="4:4" x14ac:dyDescent="0.25">
      <c r="D740" s="175" t="str">
        <f>IFERROR(VLOOKUP(C740,'BURGERATOR ÜRÜN İÇERİK'!$A$1:$D$42,4,),"")</f>
        <v/>
      </c>
    </row>
    <row r="741" spans="4:4" x14ac:dyDescent="0.25">
      <c r="D741" s="175" t="str">
        <f>IFERROR(VLOOKUP(C741,'BURGERATOR ÜRÜN İÇERİK'!$A$1:$D$42,4,),"")</f>
        <v/>
      </c>
    </row>
    <row r="742" spans="4:4" x14ac:dyDescent="0.25">
      <c r="D742" s="175" t="str">
        <f>IFERROR(VLOOKUP(C742,'BURGERATOR ÜRÜN İÇERİK'!$A$1:$D$42,4,),"")</f>
        <v/>
      </c>
    </row>
    <row r="743" spans="4:4" x14ac:dyDescent="0.25">
      <c r="D743" s="175" t="str">
        <f>IFERROR(VLOOKUP(C743,'BURGERATOR ÜRÜN İÇERİK'!$A$1:$D$42,4,),"")</f>
        <v/>
      </c>
    </row>
    <row r="744" spans="4:4" x14ac:dyDescent="0.25">
      <c r="D744" s="175" t="str">
        <f>IFERROR(VLOOKUP(C744,'BURGERATOR ÜRÜN İÇERİK'!$A$1:$D$42,4,),"")</f>
        <v/>
      </c>
    </row>
    <row r="745" spans="4:4" x14ac:dyDescent="0.25">
      <c r="D745" s="175" t="str">
        <f>IFERROR(VLOOKUP(C745,'BURGERATOR ÜRÜN İÇERİK'!$A$1:$D$42,4,),"")</f>
        <v/>
      </c>
    </row>
    <row r="746" spans="4:4" x14ac:dyDescent="0.25">
      <c r="D746" s="175" t="str">
        <f>IFERROR(VLOOKUP(C746,'BURGERATOR ÜRÜN İÇERİK'!$A$1:$D$42,4,),"")</f>
        <v/>
      </c>
    </row>
    <row r="747" spans="4:4" x14ac:dyDescent="0.25">
      <c r="D747" s="175" t="str">
        <f>IFERROR(VLOOKUP(C747,'BURGERATOR ÜRÜN İÇERİK'!$A$1:$D$42,4,),"")</f>
        <v/>
      </c>
    </row>
    <row r="748" spans="4:4" x14ac:dyDescent="0.25">
      <c r="D748" s="175" t="str">
        <f>IFERROR(VLOOKUP(C748,'BURGERATOR ÜRÜN İÇERİK'!$A$1:$D$42,4,),"")</f>
        <v/>
      </c>
    </row>
    <row r="749" spans="4:4" x14ac:dyDescent="0.25">
      <c r="D749" s="175" t="str">
        <f>IFERROR(VLOOKUP(C749,'BURGERATOR ÜRÜN İÇERİK'!$A$1:$D$42,4,),"")</f>
        <v/>
      </c>
    </row>
    <row r="750" spans="4:4" x14ac:dyDescent="0.25">
      <c r="D750" s="175" t="str">
        <f>IFERROR(VLOOKUP(C750,'BURGERATOR ÜRÜN İÇERİK'!$A$1:$D$42,4,),"")</f>
        <v/>
      </c>
    </row>
    <row r="751" spans="4:4" x14ac:dyDescent="0.25">
      <c r="D751" s="175" t="str">
        <f>IFERROR(VLOOKUP(C751,'BURGERATOR ÜRÜN İÇERİK'!$A$1:$D$42,4,),"")</f>
        <v/>
      </c>
    </row>
    <row r="752" spans="4:4" x14ac:dyDescent="0.25">
      <c r="D752" s="175" t="str">
        <f>IFERROR(VLOOKUP(C752,'BURGERATOR ÜRÜN İÇERİK'!$A$1:$D$42,4,),"")</f>
        <v/>
      </c>
    </row>
    <row r="753" spans="4:4" x14ac:dyDescent="0.25">
      <c r="D753" s="175" t="str">
        <f>IFERROR(VLOOKUP(C753,'BURGERATOR ÜRÜN İÇERİK'!$A$1:$D$42,4,),"")</f>
        <v/>
      </c>
    </row>
    <row r="754" spans="4:4" x14ac:dyDescent="0.25">
      <c r="D754" s="175" t="str">
        <f>IFERROR(VLOOKUP(C754,'BURGERATOR ÜRÜN İÇERİK'!$A$1:$D$42,4,),"")</f>
        <v/>
      </c>
    </row>
    <row r="755" spans="4:4" x14ac:dyDescent="0.25">
      <c r="D755" s="175" t="str">
        <f>IFERROR(VLOOKUP(C755,'BURGERATOR ÜRÜN İÇERİK'!$A$1:$D$42,4,),"")</f>
        <v/>
      </c>
    </row>
    <row r="756" spans="4:4" x14ac:dyDescent="0.25">
      <c r="D756" s="175" t="str">
        <f>IFERROR(VLOOKUP(C756,'BURGERATOR ÜRÜN İÇERİK'!$A$1:$D$42,4,),"")</f>
        <v/>
      </c>
    </row>
    <row r="757" spans="4:4" x14ac:dyDescent="0.25">
      <c r="D757" s="175" t="str">
        <f>IFERROR(VLOOKUP(C757,'BURGERATOR ÜRÜN İÇERİK'!$A$1:$D$42,4,),"")</f>
        <v/>
      </c>
    </row>
    <row r="758" spans="4:4" x14ac:dyDescent="0.25">
      <c r="D758" s="175" t="str">
        <f>IFERROR(VLOOKUP(C758,'BURGERATOR ÜRÜN İÇERİK'!$A$1:$D$42,4,),"")</f>
        <v/>
      </c>
    </row>
    <row r="759" spans="4:4" x14ac:dyDescent="0.25">
      <c r="D759" s="175" t="str">
        <f>IFERROR(VLOOKUP(C759,'BURGERATOR ÜRÜN İÇERİK'!$A$1:$D$42,4,),"")</f>
        <v/>
      </c>
    </row>
    <row r="760" spans="4:4" x14ac:dyDescent="0.25">
      <c r="D760" s="175" t="str">
        <f>IFERROR(VLOOKUP(C760,'BURGERATOR ÜRÜN İÇERİK'!$A$1:$D$42,4,),"")</f>
        <v/>
      </c>
    </row>
    <row r="761" spans="4:4" x14ac:dyDescent="0.25">
      <c r="D761" s="175" t="str">
        <f>IFERROR(VLOOKUP(C761,'BURGERATOR ÜRÜN İÇERİK'!$A$1:$D$42,4,),"")</f>
        <v/>
      </c>
    </row>
    <row r="762" spans="4:4" x14ac:dyDescent="0.25">
      <c r="D762" s="175" t="str">
        <f>IFERROR(VLOOKUP(C762,'BURGERATOR ÜRÜN İÇERİK'!$A$1:$D$42,4,),"")</f>
        <v/>
      </c>
    </row>
    <row r="763" spans="4:4" x14ac:dyDescent="0.25">
      <c r="D763" s="175" t="str">
        <f>IFERROR(VLOOKUP(C763,'BURGERATOR ÜRÜN İÇERİK'!$A$1:$D$42,4,),"")</f>
        <v/>
      </c>
    </row>
    <row r="764" spans="4:4" x14ac:dyDescent="0.25">
      <c r="D764" s="175" t="str">
        <f>IFERROR(VLOOKUP(C764,'BURGERATOR ÜRÜN İÇERİK'!$A$1:$D$42,4,),"")</f>
        <v/>
      </c>
    </row>
    <row r="765" spans="4:4" x14ac:dyDescent="0.25">
      <c r="D765" s="175" t="str">
        <f>IFERROR(VLOOKUP(C765,'BURGERATOR ÜRÜN İÇERİK'!$A$1:$D$42,4,),"")</f>
        <v/>
      </c>
    </row>
    <row r="766" spans="4:4" x14ac:dyDescent="0.25">
      <c r="D766" s="175" t="str">
        <f>IFERROR(VLOOKUP(C766,'BURGERATOR ÜRÜN İÇERİK'!$A$1:$D$42,4,),"")</f>
        <v/>
      </c>
    </row>
    <row r="767" spans="4:4" x14ac:dyDescent="0.25">
      <c r="D767" s="175" t="str">
        <f>IFERROR(VLOOKUP(C767,'BURGERATOR ÜRÜN İÇERİK'!$A$1:$D$42,4,),"")</f>
        <v/>
      </c>
    </row>
    <row r="768" spans="4:4" x14ac:dyDescent="0.25">
      <c r="D768" s="175" t="str">
        <f>IFERROR(VLOOKUP(C768,'BURGERATOR ÜRÜN İÇERİK'!$A$1:$D$42,4,),"")</f>
        <v/>
      </c>
    </row>
    <row r="769" spans="4:4" x14ac:dyDescent="0.25">
      <c r="D769" s="175" t="str">
        <f>IFERROR(VLOOKUP(C769,'BURGERATOR ÜRÜN İÇERİK'!$A$1:$D$42,4,),"")</f>
        <v/>
      </c>
    </row>
    <row r="770" spans="4:4" x14ac:dyDescent="0.25">
      <c r="D770" s="175" t="str">
        <f>IFERROR(VLOOKUP(C770,'BURGERATOR ÜRÜN İÇERİK'!$A$1:$D$42,4,),"")</f>
        <v/>
      </c>
    </row>
    <row r="771" spans="4:4" x14ac:dyDescent="0.25">
      <c r="D771" s="175" t="str">
        <f>IFERROR(VLOOKUP(C771,'BURGERATOR ÜRÜN İÇERİK'!$A$1:$D$42,4,),"")</f>
        <v/>
      </c>
    </row>
    <row r="772" spans="4:4" x14ac:dyDescent="0.25">
      <c r="D772" s="175" t="str">
        <f>IFERROR(VLOOKUP(C772,'BURGERATOR ÜRÜN İÇERİK'!$A$1:$D$42,4,),"")</f>
        <v/>
      </c>
    </row>
    <row r="773" spans="4:4" x14ac:dyDescent="0.25">
      <c r="D773" s="175" t="str">
        <f>IFERROR(VLOOKUP(C773,'BURGERATOR ÜRÜN İÇERİK'!$A$1:$D$42,4,),"")</f>
        <v/>
      </c>
    </row>
    <row r="774" spans="4:4" x14ac:dyDescent="0.25">
      <c r="D774" s="175" t="str">
        <f>IFERROR(VLOOKUP(C774,'BURGERATOR ÜRÜN İÇERİK'!$A$1:$D$42,4,),"")</f>
        <v/>
      </c>
    </row>
    <row r="775" spans="4:4" x14ac:dyDescent="0.25">
      <c r="D775" s="175" t="str">
        <f>IFERROR(VLOOKUP(C775,'BURGERATOR ÜRÜN İÇERİK'!$A$1:$D$42,4,),"")</f>
        <v/>
      </c>
    </row>
    <row r="776" spans="4:4" x14ac:dyDescent="0.25">
      <c r="D776" s="175" t="str">
        <f>IFERROR(VLOOKUP(C776,'BURGERATOR ÜRÜN İÇERİK'!$A$1:$D$42,4,),"")</f>
        <v/>
      </c>
    </row>
    <row r="777" spans="4:4" x14ac:dyDescent="0.25">
      <c r="D777" s="175" t="str">
        <f>IFERROR(VLOOKUP(C777,'BURGERATOR ÜRÜN İÇERİK'!$A$1:$D$42,4,),"")</f>
        <v/>
      </c>
    </row>
    <row r="778" spans="4:4" x14ac:dyDescent="0.25">
      <c r="D778" s="175" t="str">
        <f>IFERROR(VLOOKUP(C778,'BURGERATOR ÜRÜN İÇERİK'!$A$1:$D$42,4,),"")</f>
        <v/>
      </c>
    </row>
    <row r="779" spans="4:4" x14ac:dyDescent="0.25">
      <c r="D779" s="175" t="str">
        <f>IFERROR(VLOOKUP(C779,'BURGERATOR ÜRÜN İÇERİK'!$A$1:$D$42,4,),"")</f>
        <v/>
      </c>
    </row>
    <row r="780" spans="4:4" x14ac:dyDescent="0.25">
      <c r="D780" s="175" t="str">
        <f>IFERROR(VLOOKUP(C780,'BURGERATOR ÜRÜN İÇERİK'!$A$1:$D$42,4,),"")</f>
        <v/>
      </c>
    </row>
    <row r="781" spans="4:4" x14ac:dyDescent="0.25">
      <c r="D781" s="175" t="str">
        <f>IFERROR(VLOOKUP(C781,'BURGERATOR ÜRÜN İÇERİK'!$A$1:$D$42,4,),"")</f>
        <v/>
      </c>
    </row>
    <row r="782" spans="4:4" x14ac:dyDescent="0.25">
      <c r="D782" s="175" t="str">
        <f>IFERROR(VLOOKUP(C782,'BURGERATOR ÜRÜN İÇERİK'!$A$1:$D$42,4,),"")</f>
        <v/>
      </c>
    </row>
    <row r="783" spans="4:4" x14ac:dyDescent="0.25">
      <c r="D783" s="175" t="str">
        <f>IFERROR(VLOOKUP(C783,'BURGERATOR ÜRÜN İÇERİK'!$A$1:$D$42,4,),"")</f>
        <v/>
      </c>
    </row>
    <row r="784" spans="4:4" x14ac:dyDescent="0.25">
      <c r="D784" s="175" t="str">
        <f>IFERROR(VLOOKUP(C784,'BURGERATOR ÜRÜN İÇERİK'!$A$1:$D$42,4,),"")</f>
        <v/>
      </c>
    </row>
    <row r="785" spans="4:4" x14ac:dyDescent="0.25">
      <c r="D785" s="175" t="str">
        <f>IFERROR(VLOOKUP(C785,'BURGERATOR ÜRÜN İÇERİK'!$A$1:$D$42,4,),"")</f>
        <v/>
      </c>
    </row>
    <row r="786" spans="4:4" x14ac:dyDescent="0.25">
      <c r="D786" s="175" t="str">
        <f>IFERROR(VLOOKUP(C786,'BURGERATOR ÜRÜN İÇERİK'!$A$1:$D$42,4,),"")</f>
        <v/>
      </c>
    </row>
    <row r="787" spans="4:4" x14ac:dyDescent="0.25">
      <c r="D787" s="175" t="str">
        <f>IFERROR(VLOOKUP(C787,'BURGERATOR ÜRÜN İÇERİK'!$A$1:$D$42,4,),"")</f>
        <v/>
      </c>
    </row>
    <row r="788" spans="4:4" x14ac:dyDescent="0.25">
      <c r="D788" s="175" t="str">
        <f>IFERROR(VLOOKUP(C788,'BURGERATOR ÜRÜN İÇERİK'!$A$1:$D$42,4,),"")</f>
        <v/>
      </c>
    </row>
    <row r="789" spans="4:4" x14ac:dyDescent="0.25">
      <c r="D789" s="175" t="str">
        <f>IFERROR(VLOOKUP(C789,'BURGERATOR ÜRÜN İÇERİK'!$A$1:$D$42,4,),"")</f>
        <v/>
      </c>
    </row>
    <row r="790" spans="4:4" x14ac:dyDescent="0.25">
      <c r="D790" s="175" t="str">
        <f>IFERROR(VLOOKUP(C790,'BURGERATOR ÜRÜN İÇERİK'!$A$1:$D$42,4,),"")</f>
        <v/>
      </c>
    </row>
    <row r="791" spans="4:4" x14ac:dyDescent="0.25">
      <c r="D791" s="175" t="str">
        <f>IFERROR(VLOOKUP(C791,'BURGERATOR ÜRÜN İÇERİK'!$A$1:$D$42,4,),"")</f>
        <v/>
      </c>
    </row>
    <row r="792" spans="4:4" x14ac:dyDescent="0.25">
      <c r="D792" s="175" t="str">
        <f>IFERROR(VLOOKUP(C792,'BURGERATOR ÜRÜN İÇERİK'!$A$1:$D$42,4,),"")</f>
        <v/>
      </c>
    </row>
    <row r="793" spans="4:4" x14ac:dyDescent="0.25">
      <c r="D793" s="175" t="str">
        <f>IFERROR(VLOOKUP(C793,'BURGERATOR ÜRÜN İÇERİK'!$A$1:$D$42,4,),"")</f>
        <v/>
      </c>
    </row>
    <row r="794" spans="4:4" x14ac:dyDescent="0.25">
      <c r="D794" s="175" t="str">
        <f>IFERROR(VLOOKUP(C794,'BURGERATOR ÜRÜN İÇERİK'!$A$1:$D$42,4,),"")</f>
        <v/>
      </c>
    </row>
    <row r="795" spans="4:4" x14ac:dyDescent="0.25">
      <c r="D795" s="175" t="str">
        <f>IFERROR(VLOOKUP(C795,'BURGERATOR ÜRÜN İÇERİK'!$A$1:$D$42,4,),"")</f>
        <v/>
      </c>
    </row>
    <row r="796" spans="4:4" x14ac:dyDescent="0.25">
      <c r="D796" s="175" t="str">
        <f>IFERROR(VLOOKUP(C796,'BURGERATOR ÜRÜN İÇERİK'!$A$1:$D$42,4,),"")</f>
        <v/>
      </c>
    </row>
    <row r="797" spans="4:4" x14ac:dyDescent="0.25">
      <c r="D797" s="175" t="str">
        <f>IFERROR(VLOOKUP(C797,'BURGERATOR ÜRÜN İÇERİK'!$A$1:$D$42,4,),"")</f>
        <v/>
      </c>
    </row>
    <row r="798" spans="4:4" x14ac:dyDescent="0.25">
      <c r="D798" s="175" t="str">
        <f>IFERROR(VLOOKUP(C798,'BURGERATOR ÜRÜN İÇERİK'!$A$1:$D$42,4,),"")</f>
        <v/>
      </c>
    </row>
    <row r="799" spans="4:4" x14ac:dyDescent="0.25">
      <c r="D799" s="175" t="str">
        <f>IFERROR(VLOOKUP(C799,'BURGERATOR ÜRÜN İÇERİK'!$A$1:$D$42,4,),"")</f>
        <v/>
      </c>
    </row>
    <row r="800" spans="4:4" x14ac:dyDescent="0.25">
      <c r="D800" s="175" t="str">
        <f>IFERROR(VLOOKUP(C800,'BURGERATOR ÜRÜN İÇERİK'!$A$1:$D$42,4,),"")</f>
        <v/>
      </c>
    </row>
    <row r="801" spans="4:4" x14ac:dyDescent="0.25">
      <c r="D801" s="175" t="str">
        <f>IFERROR(VLOOKUP(C801,'BURGERATOR ÜRÜN İÇERİK'!$A$1:$D$42,4,),"")</f>
        <v/>
      </c>
    </row>
    <row r="802" spans="4:4" x14ac:dyDescent="0.25">
      <c r="D802" s="175" t="str">
        <f>IFERROR(VLOOKUP(C802,'BURGERATOR ÜRÜN İÇERİK'!$A$1:$D$42,4,),"")</f>
        <v/>
      </c>
    </row>
    <row r="803" spans="4:4" x14ac:dyDescent="0.25">
      <c r="D803" s="175" t="str">
        <f>IFERROR(VLOOKUP(C803,'BURGERATOR ÜRÜN İÇERİK'!$A$1:$D$42,4,),"")</f>
        <v/>
      </c>
    </row>
    <row r="804" spans="4:4" x14ac:dyDescent="0.25">
      <c r="D804" s="175" t="str">
        <f>IFERROR(VLOOKUP(C804,'BURGERATOR ÜRÜN İÇERİK'!$A$1:$D$42,4,),"")</f>
        <v/>
      </c>
    </row>
    <row r="805" spans="4:4" x14ac:dyDescent="0.25">
      <c r="D805" s="175" t="str">
        <f>IFERROR(VLOOKUP(C805,'BURGERATOR ÜRÜN İÇERİK'!$A$1:$D$42,4,),"")</f>
        <v/>
      </c>
    </row>
    <row r="806" spans="4:4" x14ac:dyDescent="0.25">
      <c r="D806" s="175" t="str">
        <f>IFERROR(VLOOKUP(C806,'BURGERATOR ÜRÜN İÇERİK'!$A$1:$D$42,4,),"")</f>
        <v/>
      </c>
    </row>
    <row r="807" spans="4:4" x14ac:dyDescent="0.25">
      <c r="D807" s="175" t="str">
        <f>IFERROR(VLOOKUP(C807,'BURGERATOR ÜRÜN İÇERİK'!$A$1:$D$42,4,),"")</f>
        <v/>
      </c>
    </row>
    <row r="808" spans="4:4" x14ac:dyDescent="0.25">
      <c r="D808" s="175" t="str">
        <f>IFERROR(VLOOKUP(C808,'BURGERATOR ÜRÜN İÇERİK'!$A$1:$D$42,4,),"")</f>
        <v/>
      </c>
    </row>
    <row r="809" spans="4:4" x14ac:dyDescent="0.25">
      <c r="D809" s="175" t="str">
        <f>IFERROR(VLOOKUP(C809,'BURGERATOR ÜRÜN İÇERİK'!$A$1:$D$42,4,),"")</f>
        <v/>
      </c>
    </row>
    <row r="810" spans="4:4" x14ac:dyDescent="0.25">
      <c r="D810" s="175" t="str">
        <f>IFERROR(VLOOKUP(C810,'BURGERATOR ÜRÜN İÇERİK'!$A$1:$D$42,4,),"")</f>
        <v/>
      </c>
    </row>
    <row r="811" spans="4:4" x14ac:dyDescent="0.25">
      <c r="D811" s="175" t="str">
        <f>IFERROR(VLOOKUP(C811,'BURGERATOR ÜRÜN İÇERİK'!$A$1:$D$42,4,),"")</f>
        <v/>
      </c>
    </row>
    <row r="812" spans="4:4" x14ac:dyDescent="0.25">
      <c r="D812" s="175" t="str">
        <f>IFERROR(VLOOKUP(C812,'BURGERATOR ÜRÜN İÇERİK'!$A$1:$D$42,4,),"")</f>
        <v/>
      </c>
    </row>
    <row r="813" spans="4:4" x14ac:dyDescent="0.25">
      <c r="D813" s="175" t="str">
        <f>IFERROR(VLOOKUP(C813,'BURGERATOR ÜRÜN İÇERİK'!$A$1:$D$42,4,),"")</f>
        <v/>
      </c>
    </row>
    <row r="814" spans="4:4" x14ac:dyDescent="0.25">
      <c r="D814" s="175" t="str">
        <f>IFERROR(VLOOKUP(C814,'BURGERATOR ÜRÜN İÇERİK'!$A$1:$D$42,4,),"")</f>
        <v/>
      </c>
    </row>
    <row r="815" spans="4:4" x14ac:dyDescent="0.25">
      <c r="D815" s="175" t="str">
        <f>IFERROR(VLOOKUP(C815,'BURGERATOR ÜRÜN İÇERİK'!$A$1:$D$42,4,),"")</f>
        <v/>
      </c>
    </row>
    <row r="816" spans="4:4" x14ac:dyDescent="0.25">
      <c r="D816" s="175" t="str">
        <f>IFERROR(VLOOKUP(C816,'BURGERATOR ÜRÜN İÇERİK'!$A$1:$D$42,4,),"")</f>
        <v/>
      </c>
    </row>
    <row r="817" spans="4:4" x14ac:dyDescent="0.25">
      <c r="D817" s="175" t="str">
        <f>IFERROR(VLOOKUP(C817,'BURGERATOR ÜRÜN İÇERİK'!$A$1:$D$42,4,),"")</f>
        <v/>
      </c>
    </row>
    <row r="818" spans="4:4" x14ac:dyDescent="0.25">
      <c r="D818" s="175" t="str">
        <f>IFERROR(VLOOKUP(C818,'BURGERATOR ÜRÜN İÇERİK'!$A$1:$D$42,4,),"")</f>
        <v/>
      </c>
    </row>
    <row r="819" spans="4:4" x14ac:dyDescent="0.25">
      <c r="D819" s="175" t="str">
        <f>IFERROR(VLOOKUP(C819,'BURGERATOR ÜRÜN İÇERİK'!$A$1:$D$42,4,),"")</f>
        <v/>
      </c>
    </row>
    <row r="820" spans="4:4" x14ac:dyDescent="0.25">
      <c r="D820" s="175" t="str">
        <f>IFERROR(VLOOKUP(C820,'BURGERATOR ÜRÜN İÇERİK'!$A$1:$D$42,4,),"")</f>
        <v/>
      </c>
    </row>
    <row r="821" spans="4:4" x14ac:dyDescent="0.25">
      <c r="D821" s="175" t="str">
        <f>IFERROR(VLOOKUP(C821,'BURGERATOR ÜRÜN İÇERİK'!$A$1:$D$42,4,),"")</f>
        <v/>
      </c>
    </row>
    <row r="822" spans="4:4" x14ac:dyDescent="0.25">
      <c r="D822" s="175" t="str">
        <f>IFERROR(VLOOKUP(C822,'BURGERATOR ÜRÜN İÇERİK'!$A$1:$D$42,4,),"")</f>
        <v/>
      </c>
    </row>
    <row r="823" spans="4:4" x14ac:dyDescent="0.25">
      <c r="D823" s="175" t="str">
        <f>IFERROR(VLOOKUP(C823,'BURGERATOR ÜRÜN İÇERİK'!$A$1:$D$42,4,),"")</f>
        <v/>
      </c>
    </row>
    <row r="824" spans="4:4" x14ac:dyDescent="0.25">
      <c r="D824" s="175" t="str">
        <f>IFERROR(VLOOKUP(C824,'BURGERATOR ÜRÜN İÇERİK'!$A$1:$D$42,4,),"")</f>
        <v/>
      </c>
    </row>
    <row r="825" spans="4:4" x14ac:dyDescent="0.25">
      <c r="D825" s="175" t="str">
        <f>IFERROR(VLOOKUP(C825,'BURGERATOR ÜRÜN İÇERİK'!$A$1:$D$42,4,),"")</f>
        <v/>
      </c>
    </row>
    <row r="826" spans="4:4" x14ac:dyDescent="0.25">
      <c r="D826" s="175" t="str">
        <f>IFERROR(VLOOKUP(C826,'BURGERATOR ÜRÜN İÇERİK'!$A$1:$D$42,4,),"")</f>
        <v/>
      </c>
    </row>
    <row r="827" spans="4:4" x14ac:dyDescent="0.25">
      <c r="D827" s="175" t="str">
        <f>IFERROR(VLOOKUP(C827,'BURGERATOR ÜRÜN İÇERİK'!$A$1:$D$42,4,),"")</f>
        <v/>
      </c>
    </row>
    <row r="828" spans="4:4" x14ac:dyDescent="0.25">
      <c r="D828" s="175" t="str">
        <f>IFERROR(VLOOKUP(C828,'BURGERATOR ÜRÜN İÇERİK'!$A$1:$D$42,4,),"")</f>
        <v/>
      </c>
    </row>
    <row r="829" spans="4:4" x14ac:dyDescent="0.25">
      <c r="D829" s="175" t="str">
        <f>IFERROR(VLOOKUP(C829,'BURGERATOR ÜRÜN İÇERİK'!$A$1:$D$42,4,),"")</f>
        <v/>
      </c>
    </row>
    <row r="830" spans="4:4" x14ac:dyDescent="0.25">
      <c r="D830" s="175" t="str">
        <f>IFERROR(VLOOKUP(C830,'BURGERATOR ÜRÜN İÇERİK'!$A$1:$D$42,4,),"")</f>
        <v/>
      </c>
    </row>
    <row r="831" spans="4:4" x14ac:dyDescent="0.25">
      <c r="D831" s="175" t="str">
        <f>IFERROR(VLOOKUP(C831,'BURGERATOR ÜRÜN İÇERİK'!$A$1:$D$42,4,),"")</f>
        <v/>
      </c>
    </row>
    <row r="832" spans="4:4" x14ac:dyDescent="0.25">
      <c r="D832" s="175" t="str">
        <f>IFERROR(VLOOKUP(C832,'BURGERATOR ÜRÜN İÇERİK'!$A$1:$D$42,4,),"")</f>
        <v/>
      </c>
    </row>
    <row r="833" spans="4:4" x14ac:dyDescent="0.25">
      <c r="D833" s="175" t="str">
        <f>IFERROR(VLOOKUP(C833,'BURGERATOR ÜRÜN İÇERİK'!$A$1:$D$42,4,),"")</f>
        <v/>
      </c>
    </row>
    <row r="834" spans="4:4" x14ac:dyDescent="0.25">
      <c r="D834" s="175" t="str">
        <f>IFERROR(VLOOKUP(C834,'BURGERATOR ÜRÜN İÇERİK'!$A$1:$D$42,4,),"")</f>
        <v/>
      </c>
    </row>
    <row r="835" spans="4:4" x14ac:dyDescent="0.25">
      <c r="D835" s="175" t="str">
        <f>IFERROR(VLOOKUP(C835,'BURGERATOR ÜRÜN İÇERİK'!$A$1:$D$42,4,),"")</f>
        <v/>
      </c>
    </row>
    <row r="836" spans="4:4" x14ac:dyDescent="0.25">
      <c r="D836" s="175" t="str">
        <f>IFERROR(VLOOKUP(C836,'BURGERATOR ÜRÜN İÇERİK'!$A$1:$D$42,4,),"")</f>
        <v/>
      </c>
    </row>
    <row r="837" spans="4:4" x14ac:dyDescent="0.25">
      <c r="D837" s="175" t="str">
        <f>IFERROR(VLOOKUP(C837,'BURGERATOR ÜRÜN İÇERİK'!$A$1:$D$42,4,),"")</f>
        <v/>
      </c>
    </row>
    <row r="838" spans="4:4" x14ac:dyDescent="0.25">
      <c r="D838" s="175" t="str">
        <f>IFERROR(VLOOKUP(C838,'BURGERATOR ÜRÜN İÇERİK'!$A$1:$D$42,4,),"")</f>
        <v/>
      </c>
    </row>
    <row r="839" spans="4:4" x14ac:dyDescent="0.25">
      <c r="D839" s="175" t="str">
        <f>IFERROR(VLOOKUP(C839,'BURGERATOR ÜRÜN İÇERİK'!$A$1:$D$42,4,),"")</f>
        <v/>
      </c>
    </row>
    <row r="840" spans="4:4" x14ac:dyDescent="0.25">
      <c r="D840" s="175" t="str">
        <f>IFERROR(VLOOKUP(C840,'BURGERATOR ÜRÜN İÇERİK'!$A$1:$D$42,4,),"")</f>
        <v/>
      </c>
    </row>
    <row r="841" spans="4:4" x14ac:dyDescent="0.25">
      <c r="D841" s="175" t="str">
        <f>IFERROR(VLOOKUP(C841,'BURGERATOR ÜRÜN İÇERİK'!$A$1:$D$42,4,),"")</f>
        <v/>
      </c>
    </row>
    <row r="842" spans="4:4" x14ac:dyDescent="0.25">
      <c r="D842" s="175" t="str">
        <f>IFERROR(VLOOKUP(C842,'BURGERATOR ÜRÜN İÇERİK'!$A$1:$D$42,4,),"")</f>
        <v/>
      </c>
    </row>
    <row r="843" spans="4:4" x14ac:dyDescent="0.25">
      <c r="D843" s="175" t="str">
        <f>IFERROR(VLOOKUP(C843,'BURGERATOR ÜRÜN İÇERİK'!$A$1:$D$42,4,),"")</f>
        <v/>
      </c>
    </row>
    <row r="844" spans="4:4" x14ac:dyDescent="0.25">
      <c r="D844" s="175" t="str">
        <f>IFERROR(VLOOKUP(C844,'BURGERATOR ÜRÜN İÇERİK'!$A$1:$D$42,4,),"")</f>
        <v/>
      </c>
    </row>
    <row r="845" spans="4:4" x14ac:dyDescent="0.25">
      <c r="D845" s="175" t="str">
        <f>IFERROR(VLOOKUP(C845,'BURGERATOR ÜRÜN İÇERİK'!$A$1:$D$42,4,),"")</f>
        <v/>
      </c>
    </row>
    <row r="846" spans="4:4" x14ac:dyDescent="0.25">
      <c r="D846" s="175" t="str">
        <f>IFERROR(VLOOKUP(C846,'BURGERATOR ÜRÜN İÇERİK'!$A$1:$D$42,4,),"")</f>
        <v/>
      </c>
    </row>
    <row r="847" spans="4:4" x14ac:dyDescent="0.25">
      <c r="D847" s="175" t="str">
        <f>IFERROR(VLOOKUP(C847,'BURGERATOR ÜRÜN İÇERİK'!$A$1:$D$42,4,),"")</f>
        <v/>
      </c>
    </row>
    <row r="848" spans="4:4" x14ac:dyDescent="0.25">
      <c r="D848" s="175" t="str">
        <f>IFERROR(VLOOKUP(C848,'BURGERATOR ÜRÜN İÇERİK'!$A$1:$D$42,4,),"")</f>
        <v/>
      </c>
    </row>
    <row r="849" spans="4:4" x14ac:dyDescent="0.25">
      <c r="D849" s="175" t="str">
        <f>IFERROR(VLOOKUP(C849,'BURGERATOR ÜRÜN İÇERİK'!$A$1:$D$42,4,),"")</f>
        <v/>
      </c>
    </row>
    <row r="850" spans="4:4" x14ac:dyDescent="0.25">
      <c r="D850" s="175" t="str">
        <f>IFERROR(VLOOKUP(C850,'BURGERATOR ÜRÜN İÇERİK'!$A$1:$D$42,4,),"")</f>
        <v/>
      </c>
    </row>
    <row r="851" spans="4:4" x14ac:dyDescent="0.25">
      <c r="D851" s="175" t="str">
        <f>IFERROR(VLOOKUP(C851,'BURGERATOR ÜRÜN İÇERİK'!$A$1:$D$42,4,),"")</f>
        <v/>
      </c>
    </row>
    <row r="852" spans="4:4" x14ac:dyDescent="0.25">
      <c r="D852" s="175" t="str">
        <f>IFERROR(VLOOKUP(C852,'BURGERATOR ÜRÜN İÇERİK'!$A$1:$D$42,4,),"")</f>
        <v/>
      </c>
    </row>
    <row r="853" spans="4:4" x14ac:dyDescent="0.25">
      <c r="D853" s="175" t="str">
        <f>IFERROR(VLOOKUP(C853,'BURGERATOR ÜRÜN İÇERİK'!$A$1:$D$42,4,),"")</f>
        <v/>
      </c>
    </row>
    <row r="854" spans="4:4" x14ac:dyDescent="0.25">
      <c r="D854" s="175" t="str">
        <f>IFERROR(VLOOKUP(C854,'BURGERATOR ÜRÜN İÇERİK'!$A$1:$D$42,4,),"")</f>
        <v/>
      </c>
    </row>
    <row r="855" spans="4:4" x14ac:dyDescent="0.25">
      <c r="D855" s="175" t="str">
        <f>IFERROR(VLOOKUP(C855,'BURGERATOR ÜRÜN İÇERİK'!$A$1:$D$42,4,),"")</f>
        <v/>
      </c>
    </row>
    <row r="856" spans="4:4" x14ac:dyDescent="0.25">
      <c r="D856" s="175" t="str">
        <f>IFERROR(VLOOKUP(C856,'BURGERATOR ÜRÜN İÇERİK'!$A$1:$D$42,4,),"")</f>
        <v/>
      </c>
    </row>
    <row r="857" spans="4:4" x14ac:dyDescent="0.25">
      <c r="D857" s="175" t="str">
        <f>IFERROR(VLOOKUP(C857,'BURGERATOR ÜRÜN İÇERİK'!$A$1:$D$42,4,),"")</f>
        <v/>
      </c>
    </row>
    <row r="858" spans="4:4" x14ac:dyDescent="0.25">
      <c r="D858" s="175" t="str">
        <f>IFERROR(VLOOKUP(C858,'BURGERATOR ÜRÜN İÇERİK'!$A$1:$D$42,4,),"")</f>
        <v/>
      </c>
    </row>
    <row r="859" spans="4:4" x14ac:dyDescent="0.25">
      <c r="D859" s="175" t="str">
        <f>IFERROR(VLOOKUP(C859,'BURGERATOR ÜRÜN İÇERİK'!$A$1:$D$42,4,),"")</f>
        <v/>
      </c>
    </row>
    <row r="860" spans="4:4" x14ac:dyDescent="0.25">
      <c r="D860" s="175" t="str">
        <f>IFERROR(VLOOKUP(C860,'BURGERATOR ÜRÜN İÇERİK'!$A$1:$D$42,4,),"")</f>
        <v/>
      </c>
    </row>
    <row r="861" spans="4:4" x14ac:dyDescent="0.25">
      <c r="D861" s="175" t="str">
        <f>IFERROR(VLOOKUP(C861,'BURGERATOR ÜRÜN İÇERİK'!$A$1:$D$42,4,),"")</f>
        <v/>
      </c>
    </row>
    <row r="862" spans="4:4" x14ac:dyDescent="0.25">
      <c r="D862" s="175" t="str">
        <f>IFERROR(VLOOKUP(C862,'BURGERATOR ÜRÜN İÇERİK'!$A$1:$D$42,4,),"")</f>
        <v/>
      </c>
    </row>
    <row r="863" spans="4:4" x14ac:dyDescent="0.25">
      <c r="D863" s="175" t="str">
        <f>IFERROR(VLOOKUP(C863,'BURGERATOR ÜRÜN İÇERİK'!$A$1:$D$42,4,),"")</f>
        <v/>
      </c>
    </row>
    <row r="864" spans="4:4" x14ac:dyDescent="0.25">
      <c r="D864" s="175" t="str">
        <f>IFERROR(VLOOKUP(C864,'BURGERATOR ÜRÜN İÇERİK'!$A$1:$D$42,4,),"")</f>
        <v/>
      </c>
    </row>
    <row r="865" spans="4:4" x14ac:dyDescent="0.25">
      <c r="D865" s="175" t="str">
        <f>IFERROR(VLOOKUP(C865,'BURGERATOR ÜRÜN İÇERİK'!$A$1:$D$42,4,),"")</f>
        <v/>
      </c>
    </row>
    <row r="866" spans="4:4" x14ac:dyDescent="0.25">
      <c r="D866" s="175" t="str">
        <f>IFERROR(VLOOKUP(C866,'BURGERATOR ÜRÜN İÇERİK'!$A$1:$D$42,4,),"")</f>
        <v/>
      </c>
    </row>
    <row r="867" spans="4:4" x14ac:dyDescent="0.25">
      <c r="D867" s="175" t="str">
        <f>IFERROR(VLOOKUP(C867,'BURGERATOR ÜRÜN İÇERİK'!$A$1:$D$42,4,),"")</f>
        <v/>
      </c>
    </row>
    <row r="868" spans="4:4" x14ac:dyDescent="0.25">
      <c r="D868" s="175" t="str">
        <f>IFERROR(VLOOKUP(C868,'BURGERATOR ÜRÜN İÇERİK'!$A$1:$D$42,4,),"")</f>
        <v/>
      </c>
    </row>
    <row r="869" spans="4:4" x14ac:dyDescent="0.25">
      <c r="D869" s="175" t="str">
        <f>IFERROR(VLOOKUP(C869,'BURGERATOR ÜRÜN İÇERİK'!$A$1:$D$42,4,),"")</f>
        <v/>
      </c>
    </row>
    <row r="870" spans="4:4" x14ac:dyDescent="0.25">
      <c r="D870" s="175" t="str">
        <f>IFERROR(VLOOKUP(C870,'BURGERATOR ÜRÜN İÇERİK'!$A$1:$D$42,4,),"")</f>
        <v/>
      </c>
    </row>
    <row r="871" spans="4:4" x14ac:dyDescent="0.25">
      <c r="D871" s="175" t="str">
        <f>IFERROR(VLOOKUP(C871,'BURGERATOR ÜRÜN İÇERİK'!$A$1:$D$42,4,),"")</f>
        <v/>
      </c>
    </row>
    <row r="872" spans="4:4" x14ac:dyDescent="0.25">
      <c r="D872" s="175" t="str">
        <f>IFERROR(VLOOKUP(C872,'BURGERATOR ÜRÜN İÇERİK'!$A$1:$D$42,4,),"")</f>
        <v/>
      </c>
    </row>
    <row r="873" spans="4:4" x14ac:dyDescent="0.25">
      <c r="D873" s="175" t="str">
        <f>IFERROR(VLOOKUP(C873,'BURGERATOR ÜRÜN İÇERİK'!$A$1:$D$42,4,),"")</f>
        <v/>
      </c>
    </row>
    <row r="874" spans="4:4" x14ac:dyDescent="0.25">
      <c r="D874" s="175" t="str">
        <f>IFERROR(VLOOKUP(C874,'BURGERATOR ÜRÜN İÇERİK'!$A$1:$D$42,4,),"")</f>
        <v/>
      </c>
    </row>
    <row r="875" spans="4:4" x14ac:dyDescent="0.25">
      <c r="D875" s="175" t="str">
        <f>IFERROR(VLOOKUP(C875,'BURGERATOR ÜRÜN İÇERİK'!$A$1:$D$42,4,),"")</f>
        <v/>
      </c>
    </row>
    <row r="876" spans="4:4" x14ac:dyDescent="0.25">
      <c r="D876" s="175" t="str">
        <f>IFERROR(VLOOKUP(C876,'BURGERATOR ÜRÜN İÇERİK'!$A$1:$D$42,4,),"")</f>
        <v/>
      </c>
    </row>
    <row r="877" spans="4:4" x14ac:dyDescent="0.25">
      <c r="D877" s="175" t="str">
        <f>IFERROR(VLOOKUP(C877,'BURGERATOR ÜRÜN İÇERİK'!$A$1:$D$42,4,),"")</f>
        <v/>
      </c>
    </row>
    <row r="878" spans="4:4" x14ac:dyDescent="0.25">
      <c r="D878" s="175" t="str">
        <f>IFERROR(VLOOKUP(C878,'BURGERATOR ÜRÜN İÇERİK'!$A$1:$D$42,4,),"")</f>
        <v/>
      </c>
    </row>
    <row r="879" spans="4:4" x14ac:dyDescent="0.25">
      <c r="D879" s="175" t="str">
        <f>IFERROR(VLOOKUP(C879,'BURGERATOR ÜRÜN İÇERİK'!$A$1:$D$42,4,),"")</f>
        <v/>
      </c>
    </row>
    <row r="880" spans="4:4" x14ac:dyDescent="0.25">
      <c r="D880" s="175" t="str">
        <f>IFERROR(VLOOKUP(C880,'BURGERATOR ÜRÜN İÇERİK'!$A$1:$D$42,4,),"")</f>
        <v/>
      </c>
    </row>
    <row r="881" spans="4:4" x14ac:dyDescent="0.25">
      <c r="D881" s="175" t="str">
        <f>IFERROR(VLOOKUP(C881,'BURGERATOR ÜRÜN İÇERİK'!$A$1:$D$42,4,),"")</f>
        <v/>
      </c>
    </row>
    <row r="882" spans="4:4" x14ac:dyDescent="0.25">
      <c r="D882" s="175" t="str">
        <f>IFERROR(VLOOKUP(C882,'BURGERATOR ÜRÜN İÇERİK'!$A$1:$D$42,4,),"")</f>
        <v/>
      </c>
    </row>
    <row r="883" spans="4:4" x14ac:dyDescent="0.25">
      <c r="D883" s="175" t="str">
        <f>IFERROR(VLOOKUP(C883,'BURGERATOR ÜRÜN İÇERİK'!$A$1:$D$42,4,),"")</f>
        <v/>
      </c>
    </row>
  </sheetData>
  <dataConsolidate/>
  <mergeCells count="119">
    <mergeCell ref="A424:A431"/>
    <mergeCell ref="B424:B431"/>
    <mergeCell ref="A432:A439"/>
    <mergeCell ref="B432:B439"/>
    <mergeCell ref="A408:A415"/>
    <mergeCell ref="B408:B415"/>
    <mergeCell ref="A416:A423"/>
    <mergeCell ref="B416:B423"/>
    <mergeCell ref="A392:A399"/>
    <mergeCell ref="B392:B399"/>
    <mergeCell ref="A400:A407"/>
    <mergeCell ref="B400:B407"/>
    <mergeCell ref="A375:A383"/>
    <mergeCell ref="B375:B383"/>
    <mergeCell ref="A384:A391"/>
    <mergeCell ref="B384:B391"/>
    <mergeCell ref="A359:A366"/>
    <mergeCell ref="B359:B366"/>
    <mergeCell ref="A367:A374"/>
    <mergeCell ref="B367:B374"/>
    <mergeCell ref="A343:A350"/>
    <mergeCell ref="B343:B350"/>
    <mergeCell ref="A351:A358"/>
    <mergeCell ref="B351:B358"/>
    <mergeCell ref="A327:A334"/>
    <mergeCell ref="B327:B334"/>
    <mergeCell ref="A335:A342"/>
    <mergeCell ref="B335:B342"/>
    <mergeCell ref="A311:A318"/>
    <mergeCell ref="B311:B318"/>
    <mergeCell ref="A319:A326"/>
    <mergeCell ref="B319:B326"/>
    <mergeCell ref="A294:A301"/>
    <mergeCell ref="B294:B301"/>
    <mergeCell ref="A302:A310"/>
    <mergeCell ref="B302:B310"/>
    <mergeCell ref="A278:A285"/>
    <mergeCell ref="B278:B285"/>
    <mergeCell ref="A286:A293"/>
    <mergeCell ref="B286:B293"/>
    <mergeCell ref="A262:A269"/>
    <mergeCell ref="B262:B269"/>
    <mergeCell ref="A270:A277"/>
    <mergeCell ref="B270:B277"/>
    <mergeCell ref="A246:A253"/>
    <mergeCell ref="B246:B253"/>
    <mergeCell ref="A254:A261"/>
    <mergeCell ref="B254:B261"/>
    <mergeCell ref="A229:A237"/>
    <mergeCell ref="B229:B237"/>
    <mergeCell ref="A238:A245"/>
    <mergeCell ref="B238:B245"/>
    <mergeCell ref="A213:A220"/>
    <mergeCell ref="B213:B220"/>
    <mergeCell ref="A221:A228"/>
    <mergeCell ref="B221:B228"/>
    <mergeCell ref="A197:A204"/>
    <mergeCell ref="B197:B204"/>
    <mergeCell ref="A205:A212"/>
    <mergeCell ref="B205:B212"/>
    <mergeCell ref="A181:A188"/>
    <mergeCell ref="B181:B188"/>
    <mergeCell ref="A189:A196"/>
    <mergeCell ref="B189:B196"/>
    <mergeCell ref="A165:A172"/>
    <mergeCell ref="B165:B172"/>
    <mergeCell ref="A173:A180"/>
    <mergeCell ref="B173:B180"/>
    <mergeCell ref="A148:A155"/>
    <mergeCell ref="B148:B155"/>
    <mergeCell ref="A156:A164"/>
    <mergeCell ref="B156:B164"/>
    <mergeCell ref="A132:A139"/>
    <mergeCell ref="B132:B139"/>
    <mergeCell ref="A140:A147"/>
    <mergeCell ref="B140:B147"/>
    <mergeCell ref="A116:A123"/>
    <mergeCell ref="B116:B123"/>
    <mergeCell ref="A124:A131"/>
    <mergeCell ref="B124:B131"/>
    <mergeCell ref="A100:A107"/>
    <mergeCell ref="B100:B107"/>
    <mergeCell ref="A108:A115"/>
    <mergeCell ref="B108:B115"/>
    <mergeCell ref="A83:A91"/>
    <mergeCell ref="B83:B91"/>
    <mergeCell ref="A92:A99"/>
    <mergeCell ref="B92:B99"/>
    <mergeCell ref="A67:A74"/>
    <mergeCell ref="B67:B74"/>
    <mergeCell ref="A75:A82"/>
    <mergeCell ref="B75:B82"/>
    <mergeCell ref="A51:A58"/>
    <mergeCell ref="B51:B58"/>
    <mergeCell ref="A59:A66"/>
    <mergeCell ref="B59:B66"/>
    <mergeCell ref="F2:F9"/>
    <mergeCell ref="A35:A42"/>
    <mergeCell ref="B35:B42"/>
    <mergeCell ref="A43:A50"/>
    <mergeCell ref="B43:B50"/>
    <mergeCell ref="A19:A26"/>
    <mergeCell ref="B19:B26"/>
    <mergeCell ref="A27:A34"/>
    <mergeCell ref="B27:B34"/>
    <mergeCell ref="A2:A9"/>
    <mergeCell ref="B2:B9"/>
    <mergeCell ref="A10:A18"/>
    <mergeCell ref="B10:B18"/>
    <mergeCell ref="A440:A446"/>
    <mergeCell ref="B440:B446"/>
    <mergeCell ref="A447:A455"/>
    <mergeCell ref="B447:B455"/>
    <mergeCell ref="A456:A464"/>
    <mergeCell ref="B456:B464"/>
    <mergeCell ref="A465:A472"/>
    <mergeCell ref="B465:B472"/>
    <mergeCell ref="A473:A481"/>
    <mergeCell ref="B473:B48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6B79BA2-5CCE-4F77-A8EB-7C72C8D7473B}">
          <x14:formula1>
            <xm:f>'BURGERATOR ÜRÜN İÇERİK'!$A$2:$A$31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AFEF-1051-4900-888B-DB6389CB4AD1}">
  <dimension ref="A1:D31"/>
  <sheetViews>
    <sheetView workbookViewId="0">
      <selection activeCell="B7" sqref="B7"/>
    </sheetView>
  </sheetViews>
  <sheetFormatPr defaultRowHeight="15" x14ac:dyDescent="0.25"/>
  <cols>
    <col min="1" max="1" width="15.5" style="226" bestFit="1" customWidth="1"/>
    <col min="2" max="2" width="8.375" style="226" customWidth="1"/>
    <col min="3" max="3" width="11.625" style="226" customWidth="1"/>
    <col min="4" max="4" width="9" style="227"/>
    <col min="5" max="16384" width="9" style="166"/>
  </cols>
  <sheetData>
    <row r="1" spans="1:4" x14ac:dyDescent="0.25">
      <c r="A1" s="228" t="s">
        <v>42</v>
      </c>
      <c r="B1" s="228" t="s">
        <v>165</v>
      </c>
      <c r="C1" s="228" t="s">
        <v>166</v>
      </c>
      <c r="D1" s="224" t="s">
        <v>292</v>
      </c>
    </row>
    <row r="2" spans="1:4" ht="15.75" x14ac:dyDescent="0.25">
      <c r="A2" s="230" t="s">
        <v>57</v>
      </c>
      <c r="B2" s="131">
        <v>1.5</v>
      </c>
      <c r="C2" s="131">
        <v>1</v>
      </c>
      <c r="D2" s="5">
        <v>1.5</v>
      </c>
    </row>
    <row r="3" spans="1:4" ht="15.75" x14ac:dyDescent="0.25">
      <c r="A3" s="230" t="s">
        <v>60</v>
      </c>
      <c r="B3" s="131">
        <v>320</v>
      </c>
      <c r="C3" s="131">
        <v>72</v>
      </c>
      <c r="D3" s="5">
        <f>B3/C3</f>
        <v>4.4444444444444446</v>
      </c>
    </row>
    <row r="4" spans="1:4" ht="15.75" x14ac:dyDescent="0.25">
      <c r="A4" s="230" t="s">
        <v>62</v>
      </c>
      <c r="B4" s="131">
        <v>11</v>
      </c>
      <c r="C4" s="131">
        <v>1</v>
      </c>
      <c r="D4" s="5">
        <v>11</v>
      </c>
    </row>
    <row r="5" spans="1:4" ht="15.75" x14ac:dyDescent="0.25">
      <c r="A5" s="230" t="s">
        <v>133</v>
      </c>
      <c r="B5" s="131">
        <v>700</v>
      </c>
      <c r="C5" s="131">
        <v>20</v>
      </c>
      <c r="D5" s="5">
        <f>B5/1000*C5</f>
        <v>14</v>
      </c>
    </row>
    <row r="6" spans="1:4" ht="15.75" x14ac:dyDescent="0.25">
      <c r="A6" s="230" t="s">
        <v>65</v>
      </c>
      <c r="B6" s="131">
        <v>480</v>
      </c>
      <c r="C6" s="131">
        <v>100</v>
      </c>
      <c r="D6" s="5">
        <f>B6/1000*C6</f>
        <v>48</v>
      </c>
    </row>
    <row r="7" spans="1:4" ht="15.75" x14ac:dyDescent="0.25">
      <c r="A7" s="230" t="s">
        <v>24</v>
      </c>
      <c r="B7" s="131">
        <v>64</v>
      </c>
      <c r="C7" s="131">
        <v>300</v>
      </c>
      <c r="D7" s="5">
        <f>B7/1000*C7</f>
        <v>19.2</v>
      </c>
    </row>
    <row r="8" spans="1:4" ht="15.75" x14ac:dyDescent="0.25">
      <c r="A8" s="230" t="s">
        <v>155</v>
      </c>
      <c r="B8" s="131">
        <v>40</v>
      </c>
      <c r="C8" s="131">
        <v>0.02</v>
      </c>
      <c r="D8" s="5">
        <v>3</v>
      </c>
    </row>
    <row r="9" spans="1:4" ht="15.75" x14ac:dyDescent="0.25">
      <c r="A9" s="230" t="s">
        <v>70</v>
      </c>
      <c r="B9" s="131">
        <v>28</v>
      </c>
      <c r="C9" s="131">
        <v>1</v>
      </c>
      <c r="D9" s="5">
        <v>27</v>
      </c>
    </row>
    <row r="10" spans="1:4" ht="15.75" x14ac:dyDescent="0.25">
      <c r="A10" s="228" t="s">
        <v>342</v>
      </c>
      <c r="B10" s="228">
        <v>215</v>
      </c>
      <c r="C10" s="228">
        <v>160</v>
      </c>
      <c r="D10" s="5">
        <f>B10/1000*C10</f>
        <v>34.4</v>
      </c>
    </row>
    <row r="11" spans="1:4" x14ac:dyDescent="0.25">
      <c r="A11" s="228" t="s">
        <v>343</v>
      </c>
      <c r="B11" s="228"/>
      <c r="C11" s="228"/>
      <c r="D11" s="229">
        <v>3</v>
      </c>
    </row>
    <row r="12" spans="1:4" x14ac:dyDescent="0.25">
      <c r="A12" s="228" t="s">
        <v>344</v>
      </c>
      <c r="B12" s="228">
        <v>3</v>
      </c>
      <c r="C12" s="228">
        <v>1</v>
      </c>
      <c r="D12" s="229">
        <v>3</v>
      </c>
    </row>
    <row r="13" spans="1:4" x14ac:dyDescent="0.25">
      <c r="A13" s="228" t="s">
        <v>352</v>
      </c>
      <c r="B13" s="228">
        <v>3</v>
      </c>
      <c r="C13" s="228">
        <v>3</v>
      </c>
      <c r="D13" s="229">
        <v>3</v>
      </c>
    </row>
    <row r="14" spans="1:4" x14ac:dyDescent="0.25">
      <c r="A14" s="228" t="s">
        <v>346</v>
      </c>
      <c r="B14" s="228">
        <v>80</v>
      </c>
      <c r="C14" s="228">
        <v>0.2</v>
      </c>
      <c r="D14" s="229">
        <f>B14*C14</f>
        <v>16</v>
      </c>
    </row>
    <row r="15" spans="1:4" x14ac:dyDescent="0.25">
      <c r="A15" s="228" t="s">
        <v>350</v>
      </c>
      <c r="B15" s="228">
        <v>3</v>
      </c>
      <c r="C15" s="228">
        <v>1</v>
      </c>
      <c r="D15" s="229">
        <v>3</v>
      </c>
    </row>
    <row r="16" spans="1:4" x14ac:dyDescent="0.25">
      <c r="A16" s="228" t="s">
        <v>349</v>
      </c>
      <c r="B16" s="228">
        <v>5</v>
      </c>
      <c r="C16" s="228">
        <v>5</v>
      </c>
      <c r="D16" s="229">
        <v>5</v>
      </c>
    </row>
    <row r="17" spans="1:4" x14ac:dyDescent="0.25">
      <c r="A17" s="228" t="s">
        <v>347</v>
      </c>
      <c r="B17" s="228">
        <v>3</v>
      </c>
      <c r="C17" s="228">
        <v>1</v>
      </c>
      <c r="D17" s="229">
        <v>3</v>
      </c>
    </row>
    <row r="18" spans="1:4" ht="15.75" x14ac:dyDescent="0.25">
      <c r="A18" s="230" t="s">
        <v>154</v>
      </c>
      <c r="B18" s="131">
        <v>190</v>
      </c>
      <c r="C18" s="131">
        <v>5</v>
      </c>
      <c r="D18" s="5">
        <v>3</v>
      </c>
    </row>
    <row r="19" spans="1:4" ht="15.75" x14ac:dyDescent="0.25">
      <c r="A19" s="230" t="s">
        <v>152</v>
      </c>
      <c r="B19" s="131">
        <v>1</v>
      </c>
      <c r="C19" s="131">
        <v>1</v>
      </c>
      <c r="D19" s="5">
        <v>3</v>
      </c>
    </row>
    <row r="20" spans="1:4" ht="15.75" x14ac:dyDescent="0.25">
      <c r="A20" s="230" t="s">
        <v>161</v>
      </c>
      <c r="B20" s="131">
        <v>1</v>
      </c>
      <c r="C20" s="131">
        <v>1</v>
      </c>
      <c r="D20" s="5">
        <v>3</v>
      </c>
    </row>
    <row r="21" spans="1:4" ht="15.75" x14ac:dyDescent="0.25">
      <c r="A21" s="230" t="s">
        <v>162</v>
      </c>
      <c r="B21" s="131">
        <v>250</v>
      </c>
      <c r="C21" s="131">
        <v>5.0000000000000001E-3</v>
      </c>
      <c r="D21" s="5">
        <v>3</v>
      </c>
    </row>
    <row r="22" spans="1:4" ht="15.75" x14ac:dyDescent="0.25">
      <c r="A22" s="230" t="s">
        <v>63</v>
      </c>
      <c r="B22" s="131">
        <v>650</v>
      </c>
      <c r="C22" s="131">
        <v>14</v>
      </c>
      <c r="D22" s="5">
        <f>B22/1000*C22</f>
        <v>9.1</v>
      </c>
    </row>
    <row r="23" spans="1:4" ht="15.75" x14ac:dyDescent="0.25">
      <c r="A23" s="230" t="s">
        <v>157</v>
      </c>
      <c r="B23" s="131">
        <v>200</v>
      </c>
      <c r="C23" s="131">
        <v>30</v>
      </c>
      <c r="D23" s="5">
        <f>B23/1000*C23</f>
        <v>6</v>
      </c>
    </row>
    <row r="24" spans="1:4" ht="15.75" x14ac:dyDescent="0.25">
      <c r="A24" s="230" t="s">
        <v>158</v>
      </c>
      <c r="B24" s="131">
        <v>250</v>
      </c>
      <c r="C24" s="131">
        <v>72</v>
      </c>
      <c r="D24" s="5">
        <f>B24/C24</f>
        <v>3.4722222222222223</v>
      </c>
    </row>
    <row r="25" spans="1:4" ht="15.75" x14ac:dyDescent="0.25">
      <c r="A25" s="230" t="s">
        <v>91</v>
      </c>
      <c r="B25" s="131">
        <v>50</v>
      </c>
      <c r="C25" s="131">
        <v>0.03</v>
      </c>
      <c r="D25" s="5">
        <v>3</v>
      </c>
    </row>
    <row r="26" spans="1:4" ht="15.75" x14ac:dyDescent="0.25">
      <c r="A26" s="230" t="s">
        <v>77</v>
      </c>
      <c r="B26" s="131">
        <v>1040</v>
      </c>
      <c r="C26" s="131">
        <v>30</v>
      </c>
      <c r="D26" s="5">
        <f>B26/1000*C26</f>
        <v>31.200000000000003</v>
      </c>
    </row>
    <row r="27" spans="1:4" ht="15.75" x14ac:dyDescent="0.25">
      <c r="A27" s="230" t="s">
        <v>76</v>
      </c>
      <c r="B27" s="131">
        <v>1380</v>
      </c>
      <c r="C27" s="131">
        <v>15</v>
      </c>
      <c r="D27" s="5">
        <f>B27/1000*C27</f>
        <v>20.7</v>
      </c>
    </row>
    <row r="28" spans="1:4" ht="15.75" x14ac:dyDescent="0.25">
      <c r="A28" s="230" t="s">
        <v>164</v>
      </c>
      <c r="B28" s="131">
        <v>910</v>
      </c>
      <c r="C28" s="131">
        <v>30</v>
      </c>
      <c r="D28" s="5">
        <f t="shared" ref="D28" si="0">B28/C28</f>
        <v>30.333333333333332</v>
      </c>
    </row>
    <row r="29" spans="1:4" ht="15.75" x14ac:dyDescent="0.25">
      <c r="A29" s="230" t="s">
        <v>163</v>
      </c>
      <c r="B29" s="131">
        <v>450</v>
      </c>
      <c r="C29" s="131">
        <v>1</v>
      </c>
      <c r="D29" s="5">
        <v>5</v>
      </c>
    </row>
    <row r="30" spans="1:4" ht="15.75" x14ac:dyDescent="0.25">
      <c r="A30" s="18" t="s">
        <v>136</v>
      </c>
      <c r="B30" s="131">
        <v>100</v>
      </c>
      <c r="C30" s="131">
        <v>0.01</v>
      </c>
      <c r="D30" s="5">
        <v>3</v>
      </c>
    </row>
    <row r="31" spans="1:4" ht="15.75" x14ac:dyDescent="0.25">
      <c r="A31" s="18" t="s">
        <v>192</v>
      </c>
      <c r="B31" s="131">
        <v>390</v>
      </c>
      <c r="C31" s="131">
        <v>0.05</v>
      </c>
      <c r="D31" s="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2">
    <pageSetUpPr fitToPage="1"/>
  </sheetPr>
  <dimension ref="A1:AP305"/>
  <sheetViews>
    <sheetView tabSelected="1" zoomScale="70" zoomScaleNormal="70" workbookViewId="0">
      <pane ySplit="7" topLeftCell="A55" activePane="bottomLeft" state="frozen"/>
      <selection pane="bottomLeft" activeCell="M227" sqref="M227"/>
    </sheetView>
  </sheetViews>
  <sheetFormatPr defaultRowHeight="15.75" x14ac:dyDescent="0.25"/>
  <cols>
    <col min="1" max="1" width="15.375" style="259" customWidth="1"/>
    <col min="2" max="2" width="17.625" style="60" customWidth="1"/>
    <col min="3" max="3" width="27.75" style="132" customWidth="1"/>
    <col min="4" max="4" width="12.5" style="60" bestFit="1" customWidth="1"/>
    <col min="5" max="5" width="13.5" style="47" customWidth="1"/>
    <col min="6" max="6" width="22.25" style="60" bestFit="1" customWidth="1"/>
    <col min="7" max="7" width="15.125" style="60" bestFit="1" customWidth="1"/>
    <col min="8" max="8" width="13.625" style="60" bestFit="1" customWidth="1"/>
    <col min="9" max="9" width="15.125" style="60" bestFit="1" customWidth="1"/>
    <col min="10" max="10" width="27.375" style="60" customWidth="1"/>
    <col min="11" max="11" width="32.5" style="60" bestFit="1" customWidth="1"/>
    <col min="12" max="14" width="13.625" style="60" customWidth="1"/>
    <col min="15" max="15" width="14.375" style="139" bestFit="1" customWidth="1"/>
    <col min="16" max="16" width="15" style="142" bestFit="1" customWidth="1"/>
    <col min="17" max="17" width="18.75" style="139" bestFit="1" customWidth="1"/>
    <col min="18" max="18" width="17.375" style="139" customWidth="1"/>
    <col min="19" max="19" width="17.625" style="139" bestFit="1" customWidth="1"/>
    <col min="20" max="20" width="17.625" style="139" customWidth="1"/>
    <col min="21" max="21" width="14.5" style="142" bestFit="1" customWidth="1"/>
    <col min="22" max="22" width="13" style="3" bestFit="1" customWidth="1"/>
    <col min="23" max="23" width="11.75" style="3" bestFit="1" customWidth="1"/>
    <col min="24" max="24" width="12" style="128" customWidth="1"/>
    <col min="25" max="25" width="36" bestFit="1" customWidth="1"/>
    <col min="26" max="26" width="13.5" customWidth="1"/>
    <col min="27" max="27" width="24.125" customWidth="1"/>
    <col min="28" max="28" width="13.75" bestFit="1" customWidth="1"/>
    <col min="29" max="29" width="16.125" customWidth="1"/>
    <col min="30" max="30" width="24" bestFit="1" customWidth="1"/>
    <col min="31" max="31" width="11.125" bestFit="1" customWidth="1"/>
    <col min="32" max="32" width="18.75" bestFit="1" customWidth="1"/>
    <col min="33" max="33" width="14.625" customWidth="1"/>
    <col min="34" max="34" width="17.125" bestFit="1" customWidth="1"/>
    <col min="35" max="35" width="17.125" customWidth="1"/>
    <col min="36" max="36" width="18.75" bestFit="1" customWidth="1"/>
    <col min="37" max="37" width="11.75" bestFit="1" customWidth="1"/>
    <col min="38" max="38" width="24" customWidth="1"/>
  </cols>
  <sheetData>
    <row r="1" spans="1:42" x14ac:dyDescent="0.25">
      <c r="A1" s="143"/>
    </row>
    <row r="2" spans="1:42" x14ac:dyDescent="0.25">
      <c r="A2" s="143"/>
    </row>
    <row r="3" spans="1:42" x14ac:dyDescent="0.25">
      <c r="A3" s="143"/>
    </row>
    <row r="4" spans="1:42" x14ac:dyDescent="0.25">
      <c r="A4" s="143"/>
    </row>
    <row r="5" spans="1:42" x14ac:dyDescent="0.25">
      <c r="A5" s="143"/>
    </row>
    <row r="6" spans="1:42" x14ac:dyDescent="0.25">
      <c r="A6" s="143"/>
    </row>
    <row r="7" spans="1:42" ht="47.25" x14ac:dyDescent="0.25">
      <c r="A7" s="144" t="s">
        <v>239</v>
      </c>
      <c r="B7" s="131" t="s">
        <v>82</v>
      </c>
      <c r="C7" s="133" t="s">
        <v>0</v>
      </c>
      <c r="D7" s="131" t="s">
        <v>1</v>
      </c>
      <c r="E7" s="130" t="s">
        <v>2</v>
      </c>
      <c r="F7" s="151" t="s">
        <v>3</v>
      </c>
      <c r="G7" s="134" t="s">
        <v>234</v>
      </c>
      <c r="H7" s="134" t="s">
        <v>361</v>
      </c>
      <c r="I7" s="152" t="s">
        <v>235</v>
      </c>
      <c r="J7" s="134" t="s">
        <v>236</v>
      </c>
      <c r="K7" s="134" t="s">
        <v>376</v>
      </c>
      <c r="L7" s="134" t="s">
        <v>237</v>
      </c>
      <c r="M7" s="134" t="s">
        <v>238</v>
      </c>
      <c r="N7" s="134" t="s">
        <v>370</v>
      </c>
      <c r="O7" s="137" t="s">
        <v>310</v>
      </c>
      <c r="P7" s="147" t="s">
        <v>305</v>
      </c>
      <c r="Q7" s="137" t="s">
        <v>306</v>
      </c>
      <c r="R7" s="137" t="s">
        <v>307</v>
      </c>
      <c r="S7" s="137" t="s">
        <v>308</v>
      </c>
      <c r="T7" s="137" t="s">
        <v>369</v>
      </c>
      <c r="U7" s="140" t="s">
        <v>375</v>
      </c>
      <c r="V7" s="5" t="s">
        <v>214</v>
      </c>
      <c r="W7" s="5" t="s">
        <v>215</v>
      </c>
      <c r="X7" s="135" t="s">
        <v>220</v>
      </c>
      <c r="Y7" t="s">
        <v>221</v>
      </c>
    </row>
    <row r="8" spans="1:42" ht="18.75" x14ac:dyDescent="0.25">
      <c r="A8" s="164">
        <v>45812</v>
      </c>
      <c r="B8" s="164" t="s">
        <v>29</v>
      </c>
      <c r="C8" t="s">
        <v>202</v>
      </c>
      <c r="D8">
        <v>2</v>
      </c>
      <c r="E8">
        <v>100</v>
      </c>
      <c r="F8" t="s">
        <v>365</v>
      </c>
      <c r="G8">
        <v>6</v>
      </c>
      <c r="H8">
        <v>12</v>
      </c>
      <c r="I8" s="153">
        <f t="shared" ref="I8:I39" si="0">O8*D8</f>
        <v>0</v>
      </c>
      <c r="J8" s="5">
        <f t="shared" ref="J8:J39" si="1">P8*D8</f>
        <v>4</v>
      </c>
      <c r="K8" s="5">
        <f t="shared" ref="K8:K39" si="2">Q8*D8</f>
        <v>0</v>
      </c>
      <c r="L8" s="5">
        <f t="shared" ref="L8:L39" si="3">R8*D8</f>
        <v>0</v>
      </c>
      <c r="M8" s="5">
        <f t="shared" ref="M8:M39" si="4">S8*D8</f>
        <v>0</v>
      </c>
      <c r="N8" s="5">
        <f t="shared" ref="N8:N39" si="5">T8*D8</f>
        <v>0</v>
      </c>
      <c r="O8" s="138">
        <f t="shared" ref="O8:O39" si="6">IF(F8="Restoran Satış",0,IF(F8="Getir Yemek",H8*0.129,IF(F8="Migros Yemek",H8*0.129,IF(F8="Yemek Sepeti",H8*0.147,IF(F8="Trendyol",H8*0.09)))))/D8</f>
        <v>0</v>
      </c>
      <c r="P8" s="148" cm="1">
        <f t="array" ref="P8">_xlfn.XLOOKUP(C8,'Ürün Maliyeti1'!$I$162:$I$190,_xlfn.XLOOKUP(data!E8,'Ürün Maliyeti1'!$J$161:$O$161,'Ürün Maliyeti1'!$J$162:$O$190))</f>
        <v>2</v>
      </c>
      <c r="Q8" s="138" t="str">
        <f>IF(B8="burger",'Genel Gider'!$I$19,"₺ 0")</f>
        <v>₺ 0</v>
      </c>
      <c r="R8" s="138" t="str">
        <f>IF(B8="burger",'servis maliyeti'!$H$7,"₺ 0")</f>
        <v>₺ 0</v>
      </c>
      <c r="S8" s="138" t="str">
        <f>IF(B8="burger",'paketleme maliyeti'!$F$9,"₺ 0")</f>
        <v>₺ 0</v>
      </c>
      <c r="T8" s="138" t="str">
        <f>IF(B8="burger",'günlük genel gider maliyeti'!$H$10,"₺ 0")</f>
        <v>₺ 0</v>
      </c>
      <c r="U8" s="141">
        <f t="shared" ref="U8:U39" si="7">SUM(O8:T8)*D8</f>
        <v>4</v>
      </c>
      <c r="V8" s="105">
        <f t="shared" ref="V8:V39" si="8">H8-U8</f>
        <v>8</v>
      </c>
      <c r="W8" s="105">
        <f t="shared" ref="W8:W39" si="9">V8/D8</f>
        <v>4</v>
      </c>
      <c r="X8" s="136">
        <f t="shared" ref="X8:X39" si="10">(G8-(U8/D8))/G8</f>
        <v>0.66666666666666663</v>
      </c>
      <c r="AA8" s="118"/>
      <c r="AD8" s="64"/>
      <c r="AE8" s="1">
        <v>100</v>
      </c>
      <c r="AF8" s="1">
        <v>140</v>
      </c>
      <c r="AG8" s="1">
        <v>200</v>
      </c>
      <c r="AH8" s="1">
        <v>280</v>
      </c>
      <c r="AI8" s="51"/>
      <c r="AK8" s="75" t="str">
        <f>IF(AND(AH8=$AD$9,AM8&lt;$AF$9),$AE$8,IF(AND(AH8=$AD$9,AM8&lt;$AG$9),$AF$8,IF(AND(AH8=$AD$9,AM8&lt;$AH$9),$AG$8,IF(AND(AH8=$AD$9,AM8&gt;=$AH$9),$AH$8,
IF(AND(AH8=$AD$10,AM8&lt;$AF$10),$AE$8,IF(AND(AH8=$AD$10,AM8&lt;$AG$10),$AF$8,IF(AND(AH8=$AD$10,AM8&lt;$AH$10),$AG$8,IF(AND(AH8=$AD$10,AM8&gt;=$AH$10),$AH$8,
IF(AND(AH8=$AD$11,AM8&lt;$AF$11),$AE$8,IF(AND(AH8=$AD$11,AM8&lt;$AG$11),$AF$8,IF(AND(AH8=$AD$11,AM8&lt;$AH$11),$AG$8,IF(AND(AH8=$AD$11,AM8&gt;=$AH$11),$AH$8,
IF(AND(AH8=$AD$12,AM8&lt;$AF$12),$AE$8,IF(AND(AH8=$AD$12,AM8&lt;$AG$12),$AF$8,IF(AND(AH8=$AD$12,AM8&lt;$AH$12),$AG$8,IF(AND(AH8=$AD$12,AM8&gt;=$AH$12),$AH$8,
IF(AND(AH8=$AD$13,AM8&lt;$AF$13),$AE$8,IF(AND(AH8=$AD$13,AM8&lt;$AG$13),$AF$8,IF(AND(AH8=$AD$13,AM8&lt;$AH$13),$AG$8,IF(AND(AH8=$AD$13,AM8&gt;=$AH$13),$AH$8,
IF(AND(AH8=$AD$14,AM8&lt;$AF$14),$AE$8,IF(AND(AH8=$AD$14,AM8&lt;$AG$14),$AF$8,IF(AND(AH8=$AD$14,AM8&lt;$AH$14),$AG$8,IF(AND(AH8=$AD$14,AM8&gt;=$AH$14),$AH$8,
IF(AND(AH8=$AD$15,AM8&lt;$AF$15),$AE$8,IF(AND(AH8=$AD$15,AM8&lt;$AG$15),$AF$8,IF(AND(AH8=$AD$15,AM8&lt;$AH$15),$AG$8,IF(AND(AH8=$AD$15,AM8&gt;=$AH$15),$AH$8,
IF(AND(AH8=$AD$16,AM8&lt;$AF$16),$AE$8,IF(AND(AH8=$AD$16,AM8&lt;$AG$16),$AF$8,IF(AND(AH8=$AD$16,AM8&lt;$AH$16),$AG$8,IF(AND(AH8=$AD$16,AM8&gt;=$AH$16),$AH$8,
IF(AND(AH8=$AD$17,AM8&lt;$AF$17),$AE$8,IF(AND(AH8=$AD$17,AM8&lt;$AG$17),$AF$8,IF(AND(AH8=$AD$17,AM8&lt;$AH$17),$AG$8,IF(AND(AH8=$AD$17,AM8&gt;=$AH$17),$AH$8,
IF(AND(AH8=$AD$18,AM8&lt;$AF$18),$AE$8,IF(AND(AH8=$AD$18,AM8&lt;$AG$18),$AF$8,IF(AND(AH8=$AD$18,AM8&lt;$AH$18),$AG$8,IF(AND(AH8=$AD$18,AM8&gt;=$AH$18),$AH$8,
IF(AND(AH8=$AD$19,AM8&lt;$AF$19),$AE$8,IF(AND(AH8=$AD$19,AM8&lt;$AG$19),$AF$8,IF(AND(AH8=$AD$19,AM8&lt;$AH$19),$AG$8,IF(AND(AH8=$AD$19,AM8&gt;=$AH$19),$AH$8,
IF(AND(AH8=$AD$22,AM8&lt;$AF$22),$AE$21,IF(AND(AH8=$AD$22,AM8&lt;$AG$22),$AF$21,IF(AND(AH8=$AD$22,AM8&lt;$AH$22),$AG$21,IF(AND(AH8=$AD$22,AM8&gt;=$AH$22),$AH$21,"Tam"))))))))))))))))))))))))))))))))))))))))))))))))</f>
        <v>Tam</v>
      </c>
      <c r="AL8" s="64"/>
      <c r="AM8" s="1">
        <v>100</v>
      </c>
      <c r="AN8" s="1">
        <v>140</v>
      </c>
      <c r="AO8" s="1">
        <v>200</v>
      </c>
      <c r="AP8" s="1">
        <v>280</v>
      </c>
    </row>
    <row r="9" spans="1:42" ht="18.75" x14ac:dyDescent="0.25">
      <c r="A9" s="164">
        <v>45812</v>
      </c>
      <c r="B9" s="164" t="s">
        <v>29</v>
      </c>
      <c r="C9" t="s">
        <v>231</v>
      </c>
      <c r="D9">
        <v>1</v>
      </c>
      <c r="E9">
        <v>100</v>
      </c>
      <c r="F9" t="s">
        <v>216</v>
      </c>
      <c r="G9">
        <v>9.9</v>
      </c>
      <c r="H9">
        <v>9.9</v>
      </c>
      <c r="I9" s="153">
        <f t="shared" si="0"/>
        <v>1.2771000000000001</v>
      </c>
      <c r="J9" s="5">
        <f t="shared" si="1"/>
        <v>2</v>
      </c>
      <c r="K9" s="5">
        <f t="shared" si="2"/>
        <v>0</v>
      </c>
      <c r="L9" s="5">
        <f t="shared" si="3"/>
        <v>0</v>
      </c>
      <c r="M9" s="5">
        <f t="shared" si="4"/>
        <v>0</v>
      </c>
      <c r="N9" s="5">
        <f t="shared" si="5"/>
        <v>0</v>
      </c>
      <c r="O9" s="138">
        <f t="shared" si="6"/>
        <v>1.2771000000000001</v>
      </c>
      <c r="P9" s="148" cm="1">
        <f t="array" ref="P9">_xlfn.XLOOKUP(C9,'Ürün Maliyeti1'!$I$162:$I$190,_xlfn.XLOOKUP(data!E9,'Ürün Maliyeti1'!$J$161:$O$161,'Ürün Maliyeti1'!$J$162:$O$190))</f>
        <v>2</v>
      </c>
      <c r="Q9" s="138" t="str">
        <f>IF(B9="burger",'Genel Gider'!$I$19,"₺ 0")</f>
        <v>₺ 0</v>
      </c>
      <c r="R9" s="138" t="str">
        <f>IF(B9="burger",'servis maliyeti'!$H$7,"₺ 0")</f>
        <v>₺ 0</v>
      </c>
      <c r="S9" s="138" t="str">
        <f>IF(B9="burger",'paketleme maliyeti'!$F$9,"₺ 0")</f>
        <v>₺ 0</v>
      </c>
      <c r="T9" s="138" t="str">
        <f>IF(B9="burger",'günlük genel gider maliyeti'!$H$10,"₺ 0")</f>
        <v>₺ 0</v>
      </c>
      <c r="U9" s="141">
        <f t="shared" si="7"/>
        <v>3.2770999999999999</v>
      </c>
      <c r="V9" s="5">
        <f t="shared" si="8"/>
        <v>6.6229000000000005</v>
      </c>
      <c r="W9" s="105">
        <f t="shared" si="9"/>
        <v>6.6229000000000005</v>
      </c>
      <c r="X9" s="136">
        <f t="shared" si="10"/>
        <v>0.66897979797979801</v>
      </c>
      <c r="AD9" s="64" t="s">
        <v>5</v>
      </c>
      <c r="AE9" s="1"/>
      <c r="AF9" s="1"/>
      <c r="AG9" s="1"/>
      <c r="AH9" s="1"/>
      <c r="AI9" s="51"/>
      <c r="AL9" s="64" t="s">
        <v>5</v>
      </c>
      <c r="AM9" s="1">
        <f>AE9-10</f>
        <v>-10</v>
      </c>
      <c r="AN9" s="1">
        <f t="shared" ref="AN9:AP18" si="11">AF9-10</f>
        <v>-10</v>
      </c>
      <c r="AO9" s="1">
        <f t="shared" si="11"/>
        <v>-10</v>
      </c>
      <c r="AP9" s="1">
        <f t="shared" si="11"/>
        <v>-10</v>
      </c>
    </row>
    <row r="10" spans="1:42" ht="18.75" x14ac:dyDescent="0.25">
      <c r="A10" s="164">
        <v>45812</v>
      </c>
      <c r="B10" s="164" t="s">
        <v>29</v>
      </c>
      <c r="C10" t="s">
        <v>202</v>
      </c>
      <c r="D10">
        <v>1</v>
      </c>
      <c r="E10">
        <v>100</v>
      </c>
      <c r="F10" t="s">
        <v>216</v>
      </c>
      <c r="G10">
        <v>9.9</v>
      </c>
      <c r="H10">
        <v>9.9</v>
      </c>
      <c r="I10" s="153">
        <f t="shared" si="0"/>
        <v>1.2771000000000001</v>
      </c>
      <c r="J10" s="5">
        <f t="shared" si="1"/>
        <v>2</v>
      </c>
      <c r="K10" s="5">
        <f t="shared" si="2"/>
        <v>0</v>
      </c>
      <c r="L10" s="5">
        <f t="shared" si="3"/>
        <v>0</v>
      </c>
      <c r="M10" s="5">
        <f t="shared" si="4"/>
        <v>0</v>
      </c>
      <c r="N10" s="5">
        <f t="shared" si="5"/>
        <v>0</v>
      </c>
      <c r="O10" s="138">
        <f t="shared" si="6"/>
        <v>1.2771000000000001</v>
      </c>
      <c r="P10" s="148" cm="1">
        <f t="array" ref="P10">_xlfn.XLOOKUP(C10,'Ürün Maliyeti1'!$I$162:$I$190,_xlfn.XLOOKUP(data!E10,'Ürün Maliyeti1'!$J$161:$O$161,'Ürün Maliyeti1'!$J$162:$O$190))</f>
        <v>2</v>
      </c>
      <c r="Q10" s="138" t="str">
        <f>IF(B10="burger",'Genel Gider'!$I$19,"₺ 0")</f>
        <v>₺ 0</v>
      </c>
      <c r="R10" s="138" t="str">
        <f>IF(B10="burger",'servis maliyeti'!$H$7,"₺ 0")</f>
        <v>₺ 0</v>
      </c>
      <c r="S10" s="138" t="str">
        <f>IF(B10="burger",'paketleme maliyeti'!$F$9,"₺ 0")</f>
        <v>₺ 0</v>
      </c>
      <c r="T10" s="138" t="str">
        <f>IF(B10="burger",'günlük genel gider maliyeti'!$H$10,"₺ 0")</f>
        <v>₺ 0</v>
      </c>
      <c r="U10" s="141">
        <f t="shared" si="7"/>
        <v>3.2770999999999999</v>
      </c>
      <c r="V10" s="5">
        <f t="shared" si="8"/>
        <v>6.6229000000000005</v>
      </c>
      <c r="W10" s="105">
        <f t="shared" si="9"/>
        <v>6.6229000000000005</v>
      </c>
      <c r="X10" s="136">
        <f t="shared" si="10"/>
        <v>0.66897979797979801</v>
      </c>
      <c r="AD10" s="64" t="s">
        <v>7</v>
      </c>
      <c r="AE10" s="1"/>
      <c r="AF10" s="1"/>
      <c r="AG10" s="1"/>
      <c r="AH10" s="1"/>
      <c r="AI10" s="51"/>
      <c r="AL10" s="64" t="s">
        <v>7</v>
      </c>
      <c r="AM10" s="1">
        <f t="shared" ref="AM10:AM18" si="12">AE10-10</f>
        <v>-10</v>
      </c>
      <c r="AN10" s="1">
        <f t="shared" si="11"/>
        <v>-10</v>
      </c>
      <c r="AO10" s="1">
        <f t="shared" si="11"/>
        <v>-10</v>
      </c>
      <c r="AP10" s="1">
        <f t="shared" si="11"/>
        <v>-10</v>
      </c>
    </row>
    <row r="11" spans="1:42" ht="18.75" x14ac:dyDescent="0.25">
      <c r="A11" s="164">
        <v>45812</v>
      </c>
      <c r="B11" s="164" t="s">
        <v>29</v>
      </c>
      <c r="C11" t="s">
        <v>207</v>
      </c>
      <c r="D11">
        <v>2</v>
      </c>
      <c r="E11">
        <v>100</v>
      </c>
      <c r="F11" t="s">
        <v>216</v>
      </c>
      <c r="G11">
        <v>9.9</v>
      </c>
      <c r="H11">
        <v>19.8</v>
      </c>
      <c r="I11" s="153">
        <f t="shared" si="0"/>
        <v>2.5542000000000002</v>
      </c>
      <c r="J11" s="5">
        <f t="shared" si="1"/>
        <v>4</v>
      </c>
      <c r="K11" s="5">
        <f t="shared" si="2"/>
        <v>0</v>
      </c>
      <c r="L11" s="5">
        <f t="shared" si="3"/>
        <v>0</v>
      </c>
      <c r="M11" s="5">
        <f t="shared" si="4"/>
        <v>0</v>
      </c>
      <c r="N11" s="5">
        <f t="shared" si="5"/>
        <v>0</v>
      </c>
      <c r="O11" s="138">
        <f t="shared" si="6"/>
        <v>1.2771000000000001</v>
      </c>
      <c r="P11" s="148" cm="1">
        <f t="array" ref="P11">_xlfn.XLOOKUP(C11,'Ürün Maliyeti1'!$I$162:$I$190,_xlfn.XLOOKUP(data!E11,'Ürün Maliyeti1'!$J$161:$O$161,'Ürün Maliyeti1'!$J$162:$O$190))</f>
        <v>2</v>
      </c>
      <c r="Q11" s="138" t="str">
        <f>IF(B11="burger",'Genel Gider'!$I$19,"₺ 0")</f>
        <v>₺ 0</v>
      </c>
      <c r="R11" s="138" t="str">
        <f>IF(B11="burger",'servis maliyeti'!$H$7,"₺ 0")</f>
        <v>₺ 0</v>
      </c>
      <c r="S11" s="138" t="str">
        <f>IF(B11="burger",'paketleme maliyeti'!$F$9,"₺ 0")</f>
        <v>₺ 0</v>
      </c>
      <c r="T11" s="138" t="str">
        <f>IF(B11="burger",'günlük genel gider maliyeti'!$H$10,"₺ 0")</f>
        <v>₺ 0</v>
      </c>
      <c r="U11" s="141">
        <f t="shared" si="7"/>
        <v>6.5541999999999998</v>
      </c>
      <c r="V11" s="5">
        <f t="shared" si="8"/>
        <v>13.245800000000001</v>
      </c>
      <c r="W11" s="105">
        <f t="shared" si="9"/>
        <v>6.6229000000000005</v>
      </c>
      <c r="X11" s="136">
        <f t="shared" si="10"/>
        <v>0.66897979797979801</v>
      </c>
      <c r="AD11" s="64" t="s">
        <v>6</v>
      </c>
      <c r="AE11" s="1"/>
      <c r="AF11" s="1"/>
      <c r="AG11" s="1"/>
      <c r="AH11" s="1"/>
      <c r="AI11" s="51"/>
      <c r="AL11" s="64" t="s">
        <v>6</v>
      </c>
      <c r="AM11" s="1">
        <f t="shared" si="12"/>
        <v>-10</v>
      </c>
      <c r="AN11" s="1">
        <f t="shared" si="11"/>
        <v>-10</v>
      </c>
      <c r="AO11" s="1">
        <f t="shared" si="11"/>
        <v>-10</v>
      </c>
      <c r="AP11" s="1">
        <f t="shared" si="11"/>
        <v>-10</v>
      </c>
    </row>
    <row r="12" spans="1:42" ht="18.75" x14ac:dyDescent="0.25">
      <c r="A12" s="164">
        <v>45812</v>
      </c>
      <c r="B12" s="164" t="s">
        <v>29</v>
      </c>
      <c r="C12" t="s">
        <v>366</v>
      </c>
      <c r="D12">
        <v>6</v>
      </c>
      <c r="E12">
        <v>100</v>
      </c>
      <c r="F12" t="s">
        <v>340</v>
      </c>
      <c r="G12">
        <v>22</v>
      </c>
      <c r="H12">
        <v>132</v>
      </c>
      <c r="I12" s="153">
        <f t="shared" si="0"/>
        <v>19.404</v>
      </c>
      <c r="J12" s="5">
        <f t="shared" si="1"/>
        <v>12</v>
      </c>
      <c r="K12" s="5">
        <f t="shared" si="2"/>
        <v>0</v>
      </c>
      <c r="L12" s="5">
        <f t="shared" si="3"/>
        <v>0</v>
      </c>
      <c r="M12" s="5">
        <f t="shared" si="4"/>
        <v>0</v>
      </c>
      <c r="N12" s="5">
        <f t="shared" si="5"/>
        <v>0</v>
      </c>
      <c r="O12" s="138">
        <f t="shared" si="6"/>
        <v>3.234</v>
      </c>
      <c r="P12" s="148" cm="1">
        <f t="array" ref="P12">_xlfn.XLOOKUP(C12,'Ürün Maliyeti1'!$I$162:$I$190,_xlfn.XLOOKUP(data!E12,'Ürün Maliyeti1'!$J$161:$O$161,'Ürün Maliyeti1'!$J$162:$O$190))</f>
        <v>2</v>
      </c>
      <c r="Q12" s="138" t="str">
        <f>IF(B12="burger",'Genel Gider'!$I$19,"₺ 0")</f>
        <v>₺ 0</v>
      </c>
      <c r="R12" s="138" t="str">
        <f>IF(B12="burger",'servis maliyeti'!$H$7,"₺ 0")</f>
        <v>₺ 0</v>
      </c>
      <c r="S12" s="138" t="str">
        <f>IF(B12="burger",'paketleme maliyeti'!$F$9,"₺ 0")</f>
        <v>₺ 0</v>
      </c>
      <c r="T12" s="138" t="str">
        <f>IF(B12="burger",'günlük genel gider maliyeti'!$H$10,"₺ 0")</f>
        <v>₺ 0</v>
      </c>
      <c r="U12" s="141">
        <f t="shared" si="7"/>
        <v>31.404</v>
      </c>
      <c r="V12" s="5">
        <f t="shared" si="8"/>
        <v>100.596</v>
      </c>
      <c r="W12" s="105">
        <f t="shared" si="9"/>
        <v>16.766000000000002</v>
      </c>
      <c r="X12" s="136">
        <f t="shared" si="10"/>
        <v>0.76209090909090904</v>
      </c>
      <c r="AD12" s="64" t="s">
        <v>9</v>
      </c>
      <c r="AE12" s="1"/>
      <c r="AF12" s="1"/>
      <c r="AG12" s="1"/>
      <c r="AH12" s="1"/>
      <c r="AI12" s="51"/>
      <c r="AL12" s="64" t="s">
        <v>9</v>
      </c>
      <c r="AM12" s="1">
        <f t="shared" si="12"/>
        <v>-10</v>
      </c>
      <c r="AN12" s="1">
        <f t="shared" si="11"/>
        <v>-10</v>
      </c>
      <c r="AO12" s="1">
        <f t="shared" si="11"/>
        <v>-10</v>
      </c>
      <c r="AP12" s="1">
        <f t="shared" si="11"/>
        <v>-10</v>
      </c>
    </row>
    <row r="13" spans="1:42" ht="18.75" x14ac:dyDescent="0.25">
      <c r="A13" s="164">
        <v>45812</v>
      </c>
      <c r="B13" s="164" t="s">
        <v>29</v>
      </c>
      <c r="C13" t="s">
        <v>207</v>
      </c>
      <c r="D13">
        <v>9</v>
      </c>
      <c r="E13">
        <v>100</v>
      </c>
      <c r="F13" t="s">
        <v>340</v>
      </c>
      <c r="G13">
        <v>22</v>
      </c>
      <c r="H13">
        <v>198</v>
      </c>
      <c r="I13" s="153">
        <f t="shared" si="0"/>
        <v>29.106000000000002</v>
      </c>
      <c r="J13" s="5">
        <f t="shared" si="1"/>
        <v>18</v>
      </c>
      <c r="K13" s="5">
        <f t="shared" si="2"/>
        <v>0</v>
      </c>
      <c r="L13" s="5">
        <f t="shared" si="3"/>
        <v>0</v>
      </c>
      <c r="M13" s="5">
        <f t="shared" si="4"/>
        <v>0</v>
      </c>
      <c r="N13" s="5">
        <f t="shared" si="5"/>
        <v>0</v>
      </c>
      <c r="O13" s="138">
        <f t="shared" si="6"/>
        <v>3.234</v>
      </c>
      <c r="P13" s="148" cm="1">
        <f t="array" ref="P13">_xlfn.XLOOKUP(C13,'Ürün Maliyeti1'!$I$162:$I$190,_xlfn.XLOOKUP(data!E13,'Ürün Maliyeti1'!$J$161:$O$161,'Ürün Maliyeti1'!$J$162:$O$190))</f>
        <v>2</v>
      </c>
      <c r="Q13" s="138" t="str">
        <f>IF(B13="burger",'Genel Gider'!$I$19,"₺ 0")</f>
        <v>₺ 0</v>
      </c>
      <c r="R13" s="138" t="str">
        <f>IF(B13="burger",'servis maliyeti'!$H$7,"₺ 0")</f>
        <v>₺ 0</v>
      </c>
      <c r="S13" s="138" t="str">
        <f>IF(B13="burger",'paketleme maliyeti'!$F$9,"₺ 0")</f>
        <v>₺ 0</v>
      </c>
      <c r="T13" s="138" t="str">
        <f>IF(B13="burger",'günlük genel gider maliyeti'!$H$10,"₺ 0")</f>
        <v>₺ 0</v>
      </c>
      <c r="U13" s="141">
        <f t="shared" si="7"/>
        <v>47.106000000000002</v>
      </c>
      <c r="V13" s="5">
        <f t="shared" si="8"/>
        <v>150.89400000000001</v>
      </c>
      <c r="W13" s="105">
        <f t="shared" si="9"/>
        <v>16.766000000000002</v>
      </c>
      <c r="X13" s="136">
        <f t="shared" si="10"/>
        <v>0.76209090909090904</v>
      </c>
      <c r="AD13" s="64" t="s">
        <v>10</v>
      </c>
      <c r="AE13" s="1"/>
      <c r="AF13" s="1"/>
      <c r="AG13" s="1"/>
      <c r="AH13" s="1"/>
      <c r="AI13" s="51"/>
      <c r="AL13" s="64" t="s">
        <v>10</v>
      </c>
      <c r="AM13" s="1">
        <f t="shared" si="12"/>
        <v>-10</v>
      </c>
      <c r="AN13" s="1">
        <f t="shared" si="11"/>
        <v>-10</v>
      </c>
      <c r="AO13" s="1">
        <f t="shared" si="11"/>
        <v>-10</v>
      </c>
      <c r="AP13" s="1">
        <f t="shared" si="11"/>
        <v>-10</v>
      </c>
    </row>
    <row r="14" spans="1:42" ht="18.75" x14ac:dyDescent="0.25">
      <c r="A14" s="164">
        <v>45812</v>
      </c>
      <c r="B14" s="164" t="s">
        <v>29</v>
      </c>
      <c r="C14" t="s">
        <v>231</v>
      </c>
      <c r="D14">
        <v>8</v>
      </c>
      <c r="E14">
        <v>100</v>
      </c>
      <c r="F14" t="s">
        <v>340</v>
      </c>
      <c r="G14">
        <v>22</v>
      </c>
      <c r="H14">
        <v>176</v>
      </c>
      <c r="I14" s="153">
        <f t="shared" si="0"/>
        <v>25.872</v>
      </c>
      <c r="J14" s="5">
        <f t="shared" si="1"/>
        <v>16</v>
      </c>
      <c r="K14" s="5">
        <f t="shared" si="2"/>
        <v>0</v>
      </c>
      <c r="L14" s="5">
        <f t="shared" si="3"/>
        <v>0</v>
      </c>
      <c r="M14" s="5">
        <f t="shared" si="4"/>
        <v>0</v>
      </c>
      <c r="N14" s="5">
        <f t="shared" si="5"/>
        <v>0</v>
      </c>
      <c r="O14" s="138">
        <f t="shared" si="6"/>
        <v>3.234</v>
      </c>
      <c r="P14" s="148" cm="1">
        <f t="array" ref="P14">_xlfn.XLOOKUP(C14,'Ürün Maliyeti1'!$I$162:$I$190,_xlfn.XLOOKUP(data!E14,'Ürün Maliyeti1'!$J$161:$O$161,'Ürün Maliyeti1'!$J$162:$O$190))</f>
        <v>2</v>
      </c>
      <c r="Q14" s="138" t="str">
        <f>IF(B14="burger",'Genel Gider'!$I$19,"₺ 0")</f>
        <v>₺ 0</v>
      </c>
      <c r="R14" s="138" t="str">
        <f>IF(B14="burger",'servis maliyeti'!$H$7,"₺ 0")</f>
        <v>₺ 0</v>
      </c>
      <c r="S14" s="138" t="str">
        <f>IF(B14="burger",'paketleme maliyeti'!$F$9,"₺ 0")</f>
        <v>₺ 0</v>
      </c>
      <c r="T14" s="138" t="str">
        <f>IF(B14="burger",'günlük genel gider maliyeti'!$H$10,"₺ 0")</f>
        <v>₺ 0</v>
      </c>
      <c r="U14" s="141">
        <f t="shared" si="7"/>
        <v>41.872</v>
      </c>
      <c r="V14" s="5">
        <f t="shared" si="8"/>
        <v>134.12799999999999</v>
      </c>
      <c r="W14" s="105">
        <f t="shared" si="9"/>
        <v>16.765999999999998</v>
      </c>
      <c r="X14" s="136">
        <f t="shared" si="10"/>
        <v>0.76209090909090904</v>
      </c>
      <c r="AD14" s="64" t="s">
        <v>11</v>
      </c>
      <c r="AE14" s="1"/>
      <c r="AF14" s="1"/>
      <c r="AG14" s="1"/>
      <c r="AH14" s="1"/>
      <c r="AI14" s="51"/>
      <c r="AL14" s="64" t="s">
        <v>11</v>
      </c>
      <c r="AM14" s="1">
        <f t="shared" si="12"/>
        <v>-10</v>
      </c>
      <c r="AN14" s="1">
        <f t="shared" si="11"/>
        <v>-10</v>
      </c>
      <c r="AO14" s="1">
        <f t="shared" si="11"/>
        <v>-10</v>
      </c>
      <c r="AP14" s="1">
        <f t="shared" si="11"/>
        <v>-10</v>
      </c>
    </row>
    <row r="15" spans="1:42" ht="18.75" x14ac:dyDescent="0.25">
      <c r="A15" s="164">
        <v>45812</v>
      </c>
      <c r="B15" s="164" t="s">
        <v>29</v>
      </c>
      <c r="C15" t="s">
        <v>206</v>
      </c>
      <c r="D15">
        <v>6</v>
      </c>
      <c r="E15">
        <v>100</v>
      </c>
      <c r="F15" t="s">
        <v>340</v>
      </c>
      <c r="G15">
        <v>22</v>
      </c>
      <c r="H15">
        <v>132</v>
      </c>
      <c r="I15" s="153">
        <f t="shared" si="0"/>
        <v>19.404</v>
      </c>
      <c r="J15" s="5">
        <f t="shared" si="1"/>
        <v>12</v>
      </c>
      <c r="K15" s="5">
        <f t="shared" si="2"/>
        <v>0</v>
      </c>
      <c r="L15" s="5">
        <f t="shared" si="3"/>
        <v>0</v>
      </c>
      <c r="M15" s="5">
        <f t="shared" si="4"/>
        <v>0</v>
      </c>
      <c r="N15" s="5">
        <f t="shared" si="5"/>
        <v>0</v>
      </c>
      <c r="O15" s="138">
        <f t="shared" si="6"/>
        <v>3.234</v>
      </c>
      <c r="P15" s="148" cm="1">
        <f t="array" ref="P15">_xlfn.XLOOKUP(C15,'Ürün Maliyeti1'!$I$162:$I$190,_xlfn.XLOOKUP(data!E15,'Ürün Maliyeti1'!$J$161:$O$161,'Ürün Maliyeti1'!$J$162:$O$190))</f>
        <v>2</v>
      </c>
      <c r="Q15" s="138" t="str">
        <f>IF(B15="burger",'Genel Gider'!$I$19,"₺ 0")</f>
        <v>₺ 0</v>
      </c>
      <c r="R15" s="138" t="str">
        <f>IF(B15="burger",'servis maliyeti'!$H$7,"₺ 0")</f>
        <v>₺ 0</v>
      </c>
      <c r="S15" s="138" t="str">
        <f>IF(B15="burger",'paketleme maliyeti'!$F$9,"₺ 0")</f>
        <v>₺ 0</v>
      </c>
      <c r="T15" s="138" t="str">
        <f>IF(B15="burger",'günlük genel gider maliyeti'!$H$10,"₺ 0")</f>
        <v>₺ 0</v>
      </c>
      <c r="U15" s="141">
        <f t="shared" si="7"/>
        <v>31.404</v>
      </c>
      <c r="V15" s="5">
        <f t="shared" si="8"/>
        <v>100.596</v>
      </c>
      <c r="W15" s="105">
        <f t="shared" si="9"/>
        <v>16.766000000000002</v>
      </c>
      <c r="X15" s="136">
        <f t="shared" si="10"/>
        <v>0.76209090909090904</v>
      </c>
      <c r="AD15" s="64" t="s">
        <v>13</v>
      </c>
      <c r="AE15" s="1"/>
      <c r="AF15" s="1"/>
      <c r="AG15" s="1"/>
      <c r="AH15" s="1"/>
      <c r="AI15" s="51"/>
      <c r="AL15" s="64" t="s">
        <v>13</v>
      </c>
      <c r="AM15" s="1">
        <f t="shared" si="12"/>
        <v>-10</v>
      </c>
      <c r="AN15" s="1">
        <f t="shared" si="11"/>
        <v>-10</v>
      </c>
      <c r="AO15" s="1">
        <f t="shared" si="11"/>
        <v>-10</v>
      </c>
      <c r="AP15" s="1">
        <f t="shared" si="11"/>
        <v>-10</v>
      </c>
    </row>
    <row r="16" spans="1:42" ht="18.75" x14ac:dyDescent="0.25">
      <c r="A16" s="164">
        <v>45812</v>
      </c>
      <c r="B16" s="164" t="s">
        <v>29</v>
      </c>
      <c r="C16" t="s">
        <v>202</v>
      </c>
      <c r="D16">
        <v>6</v>
      </c>
      <c r="E16">
        <v>100</v>
      </c>
      <c r="F16" t="s">
        <v>340</v>
      </c>
      <c r="G16">
        <v>22</v>
      </c>
      <c r="H16">
        <v>132</v>
      </c>
      <c r="I16" s="153">
        <f t="shared" si="0"/>
        <v>19.404</v>
      </c>
      <c r="J16" s="5">
        <f t="shared" si="1"/>
        <v>12</v>
      </c>
      <c r="K16" s="5">
        <f t="shared" si="2"/>
        <v>0</v>
      </c>
      <c r="L16" s="5">
        <f t="shared" si="3"/>
        <v>0</v>
      </c>
      <c r="M16" s="5">
        <f t="shared" si="4"/>
        <v>0</v>
      </c>
      <c r="N16" s="5">
        <f t="shared" si="5"/>
        <v>0</v>
      </c>
      <c r="O16" s="138">
        <f t="shared" si="6"/>
        <v>3.234</v>
      </c>
      <c r="P16" s="148" cm="1">
        <f t="array" ref="P16">_xlfn.XLOOKUP(C16,'Ürün Maliyeti1'!$I$162:$I$190,_xlfn.XLOOKUP(data!E16,'Ürün Maliyeti1'!$J$161:$O$161,'Ürün Maliyeti1'!$J$162:$O$190))</f>
        <v>2</v>
      </c>
      <c r="Q16" s="138" t="str">
        <f>IF(B16="burger",'Genel Gider'!$I$19,"₺ 0")</f>
        <v>₺ 0</v>
      </c>
      <c r="R16" s="138" t="str">
        <f>IF(B16="burger",'servis maliyeti'!$H$7,"₺ 0")</f>
        <v>₺ 0</v>
      </c>
      <c r="S16" s="138" t="str">
        <f>IF(B16="burger",'paketleme maliyeti'!$F$9,"₺ 0")</f>
        <v>₺ 0</v>
      </c>
      <c r="T16" s="138" t="str">
        <f>IF(B16="burger",'günlük genel gider maliyeti'!$H$10,"₺ 0")</f>
        <v>₺ 0</v>
      </c>
      <c r="U16" s="141">
        <f t="shared" si="7"/>
        <v>31.404</v>
      </c>
      <c r="V16" s="5">
        <f t="shared" si="8"/>
        <v>100.596</v>
      </c>
      <c r="W16" s="105">
        <f t="shared" si="9"/>
        <v>16.766000000000002</v>
      </c>
      <c r="X16" s="136">
        <f t="shared" si="10"/>
        <v>0.76209090909090904</v>
      </c>
      <c r="AD16" s="64" t="s">
        <v>18</v>
      </c>
      <c r="AE16" s="1"/>
      <c r="AF16" s="1"/>
      <c r="AG16" s="1"/>
      <c r="AH16" s="1"/>
      <c r="AI16" s="51"/>
      <c r="AL16" s="64" t="s">
        <v>18</v>
      </c>
      <c r="AM16" s="1">
        <f t="shared" si="12"/>
        <v>-10</v>
      </c>
      <c r="AN16" s="1">
        <f t="shared" si="11"/>
        <v>-10</v>
      </c>
      <c r="AO16" s="1">
        <f t="shared" si="11"/>
        <v>-10</v>
      </c>
      <c r="AP16" s="1">
        <f t="shared" si="11"/>
        <v>-10</v>
      </c>
    </row>
    <row r="17" spans="1:42" ht="18.75" x14ac:dyDescent="0.25">
      <c r="A17" s="164">
        <v>45812</v>
      </c>
      <c r="B17" s="164" t="s">
        <v>29</v>
      </c>
      <c r="C17" t="s">
        <v>287</v>
      </c>
      <c r="D17">
        <v>1</v>
      </c>
      <c r="E17">
        <v>100</v>
      </c>
      <c r="F17" t="s">
        <v>365</v>
      </c>
      <c r="G17">
        <v>22.9</v>
      </c>
      <c r="H17">
        <v>22.9</v>
      </c>
      <c r="I17" s="153">
        <f t="shared" si="0"/>
        <v>0</v>
      </c>
      <c r="J17" s="5">
        <f t="shared" si="1"/>
        <v>5</v>
      </c>
      <c r="K17" s="5">
        <f t="shared" si="2"/>
        <v>0</v>
      </c>
      <c r="L17" s="5">
        <f t="shared" si="3"/>
        <v>0</v>
      </c>
      <c r="M17" s="5">
        <f t="shared" si="4"/>
        <v>0</v>
      </c>
      <c r="N17" s="5">
        <f t="shared" si="5"/>
        <v>0</v>
      </c>
      <c r="O17" s="138">
        <f t="shared" si="6"/>
        <v>0</v>
      </c>
      <c r="P17" s="148" cm="1">
        <f t="array" ref="P17">_xlfn.XLOOKUP(C17,'Ürün Maliyeti1'!$I$162:$I$190,_xlfn.XLOOKUP(data!E17,'Ürün Maliyeti1'!$J$161:$O$161,'Ürün Maliyeti1'!$J$162:$O$190))</f>
        <v>5</v>
      </c>
      <c r="Q17" s="138" t="str">
        <f>IF(B17="burger",'Genel Gider'!$I$19,"₺ 0")</f>
        <v>₺ 0</v>
      </c>
      <c r="R17" s="138" t="str">
        <f>IF(B17="burger",'servis maliyeti'!$H$7,"₺ 0")</f>
        <v>₺ 0</v>
      </c>
      <c r="S17" s="138" t="str">
        <f>IF(B17="burger",'paketleme maliyeti'!$F$9,"₺ 0")</f>
        <v>₺ 0</v>
      </c>
      <c r="T17" s="138" t="str">
        <f>IF(B17="burger",'günlük genel gider maliyeti'!$H$10,"₺ 0")</f>
        <v>₺ 0</v>
      </c>
      <c r="U17" s="141">
        <f t="shared" si="7"/>
        <v>5</v>
      </c>
      <c r="V17" s="5">
        <f t="shared" si="8"/>
        <v>17.899999999999999</v>
      </c>
      <c r="W17" s="105">
        <f t="shared" si="9"/>
        <v>17.899999999999999</v>
      </c>
      <c r="X17" s="136">
        <f t="shared" si="10"/>
        <v>0.78165938864628814</v>
      </c>
      <c r="AA17" s="129"/>
      <c r="AD17" s="64" t="s">
        <v>199</v>
      </c>
      <c r="AE17" s="1"/>
      <c r="AF17" s="1"/>
      <c r="AG17" s="1"/>
      <c r="AH17" s="1"/>
      <c r="AI17" s="51"/>
      <c r="AL17" s="64" t="s">
        <v>199</v>
      </c>
      <c r="AM17" s="1"/>
      <c r="AN17" s="1"/>
      <c r="AO17" s="1"/>
      <c r="AP17" s="1"/>
    </row>
    <row r="18" spans="1:42" ht="18.75" x14ac:dyDescent="0.25">
      <c r="A18" s="164">
        <v>45812</v>
      </c>
      <c r="B18" s="164" t="s">
        <v>29</v>
      </c>
      <c r="C18" t="s">
        <v>287</v>
      </c>
      <c r="D18">
        <v>4</v>
      </c>
      <c r="E18">
        <v>100</v>
      </c>
      <c r="F18" t="s">
        <v>340</v>
      </c>
      <c r="G18">
        <v>33</v>
      </c>
      <c r="H18">
        <v>132</v>
      </c>
      <c r="I18" s="153">
        <f t="shared" si="0"/>
        <v>19.404</v>
      </c>
      <c r="J18" s="5">
        <f t="shared" si="1"/>
        <v>20</v>
      </c>
      <c r="K18" s="5">
        <f t="shared" si="2"/>
        <v>0</v>
      </c>
      <c r="L18" s="5">
        <f t="shared" si="3"/>
        <v>0</v>
      </c>
      <c r="M18" s="5">
        <f t="shared" si="4"/>
        <v>0</v>
      </c>
      <c r="N18" s="5">
        <f t="shared" si="5"/>
        <v>0</v>
      </c>
      <c r="O18" s="138">
        <f t="shared" si="6"/>
        <v>4.851</v>
      </c>
      <c r="P18" s="148" cm="1">
        <f t="array" ref="P18">_xlfn.XLOOKUP(C18,'Ürün Maliyeti1'!$I$162:$I$190,_xlfn.XLOOKUP(data!E18,'Ürün Maliyeti1'!$J$161:$O$161,'Ürün Maliyeti1'!$J$162:$O$190))</f>
        <v>5</v>
      </c>
      <c r="Q18" s="138" t="str">
        <f>IF(B18="burger",'Genel Gider'!$I$19,"₺ 0")</f>
        <v>₺ 0</v>
      </c>
      <c r="R18" s="138" t="str">
        <f>IF(B18="burger",'servis maliyeti'!$H$7,"₺ 0")</f>
        <v>₺ 0</v>
      </c>
      <c r="S18" s="138" t="str">
        <f>IF(B18="burger",'paketleme maliyeti'!$F$9,"₺ 0")</f>
        <v>₺ 0</v>
      </c>
      <c r="T18" s="138" t="str">
        <f>IF(B18="burger",'günlük genel gider maliyeti'!$H$10,"₺ 0")</f>
        <v>₺ 0</v>
      </c>
      <c r="U18" s="141">
        <f t="shared" si="7"/>
        <v>39.403999999999996</v>
      </c>
      <c r="V18" s="5">
        <f t="shared" si="8"/>
        <v>92.596000000000004</v>
      </c>
      <c r="W18" s="105">
        <f t="shared" si="9"/>
        <v>23.149000000000001</v>
      </c>
      <c r="X18" s="136">
        <f t="shared" si="10"/>
        <v>0.70148484848484849</v>
      </c>
      <c r="AD18" s="64" t="s">
        <v>135</v>
      </c>
      <c r="AE18" s="1"/>
      <c r="AF18" s="1"/>
      <c r="AG18" s="1"/>
      <c r="AH18" s="1"/>
      <c r="AI18" s="51"/>
      <c r="AL18" s="64" t="s">
        <v>135</v>
      </c>
      <c r="AM18" s="1">
        <f t="shared" si="12"/>
        <v>-10</v>
      </c>
      <c r="AN18" s="1">
        <f t="shared" si="11"/>
        <v>-10</v>
      </c>
      <c r="AO18" s="1">
        <f t="shared" si="11"/>
        <v>-10</v>
      </c>
      <c r="AP18" s="1">
        <f t="shared" si="11"/>
        <v>-10</v>
      </c>
    </row>
    <row r="19" spans="1:42" ht="18.75" x14ac:dyDescent="0.25">
      <c r="A19" s="164">
        <v>45812</v>
      </c>
      <c r="B19" s="164" t="s">
        <v>29</v>
      </c>
      <c r="C19" t="s">
        <v>8</v>
      </c>
      <c r="D19">
        <v>1</v>
      </c>
      <c r="E19">
        <v>100</v>
      </c>
      <c r="F19" t="s">
        <v>314</v>
      </c>
      <c r="G19">
        <v>79.900000000000006</v>
      </c>
      <c r="H19">
        <v>79.900000000000006</v>
      </c>
      <c r="I19" s="153">
        <f t="shared" si="0"/>
        <v>0</v>
      </c>
      <c r="J19" s="5">
        <f t="shared" si="1"/>
        <v>20</v>
      </c>
      <c r="K19" s="5">
        <f t="shared" si="2"/>
        <v>0</v>
      </c>
      <c r="L19" s="5">
        <f t="shared" si="3"/>
        <v>0</v>
      </c>
      <c r="M19" s="5">
        <f t="shared" si="4"/>
        <v>0</v>
      </c>
      <c r="N19" s="5">
        <f t="shared" si="5"/>
        <v>0</v>
      </c>
      <c r="O19" s="138">
        <f t="shared" si="6"/>
        <v>0</v>
      </c>
      <c r="P19" s="148" cm="1">
        <f t="array" ref="P19">_xlfn.XLOOKUP(C19,'Ürün Maliyeti1'!$I$162:$I$190,_xlfn.XLOOKUP(data!E19,'Ürün Maliyeti1'!$J$161:$O$161,'Ürün Maliyeti1'!$J$162:$O$190))</f>
        <v>20</v>
      </c>
      <c r="Q19" s="138" t="str">
        <f>IF(B19="burger",'Genel Gider'!$I$19,"₺ 0")</f>
        <v>₺ 0</v>
      </c>
      <c r="R19" s="138" t="str">
        <f>IF(B19="burger",'servis maliyeti'!$H$7,"₺ 0")</f>
        <v>₺ 0</v>
      </c>
      <c r="S19" s="138" t="str">
        <f>IF(B19="burger",'paketleme maliyeti'!$F$9,"₺ 0")</f>
        <v>₺ 0</v>
      </c>
      <c r="T19" s="138" t="str">
        <f>IF(B19="burger",'günlük genel gider maliyeti'!$H$10,"₺ 0")</f>
        <v>₺ 0</v>
      </c>
      <c r="U19" s="141">
        <f t="shared" si="7"/>
        <v>20</v>
      </c>
      <c r="V19" s="5">
        <f t="shared" si="8"/>
        <v>59.900000000000006</v>
      </c>
      <c r="W19" s="105">
        <f t="shared" si="9"/>
        <v>59.900000000000006</v>
      </c>
      <c r="X19" s="136">
        <f t="shared" si="10"/>
        <v>0.74968710888610768</v>
      </c>
      <c r="AD19" s="64" t="s">
        <v>20</v>
      </c>
      <c r="AE19" s="1">
        <v>0</v>
      </c>
      <c r="AF19" s="1">
        <v>0</v>
      </c>
      <c r="AG19" s="1">
        <v>0</v>
      </c>
      <c r="AH19" s="1">
        <v>0</v>
      </c>
      <c r="AI19" s="51"/>
      <c r="AL19" s="64" t="s">
        <v>20</v>
      </c>
      <c r="AM19" s="1"/>
      <c r="AN19" s="1"/>
      <c r="AO19" s="1"/>
      <c r="AP19" s="1"/>
    </row>
    <row r="20" spans="1:42" ht="18.75" x14ac:dyDescent="0.25">
      <c r="A20" s="164">
        <v>45812</v>
      </c>
      <c r="B20" s="164" t="s">
        <v>22</v>
      </c>
      <c r="C20" t="s">
        <v>386</v>
      </c>
      <c r="D20">
        <v>1</v>
      </c>
      <c r="E20">
        <v>100</v>
      </c>
      <c r="F20" t="s">
        <v>314</v>
      </c>
      <c r="G20">
        <v>79.900000000000006</v>
      </c>
      <c r="H20">
        <v>79.900000000000006</v>
      </c>
      <c r="I20" s="153">
        <f t="shared" si="0"/>
        <v>0</v>
      </c>
      <c r="J20" s="5">
        <f t="shared" si="1"/>
        <v>21</v>
      </c>
      <c r="K20" s="5">
        <f t="shared" si="2"/>
        <v>0</v>
      </c>
      <c r="L20" s="5">
        <f t="shared" si="3"/>
        <v>0</v>
      </c>
      <c r="M20" s="5">
        <f t="shared" si="4"/>
        <v>0</v>
      </c>
      <c r="N20" s="5">
        <f t="shared" si="5"/>
        <v>0</v>
      </c>
      <c r="O20" s="138">
        <f t="shared" si="6"/>
        <v>0</v>
      </c>
      <c r="P20" s="148" cm="1">
        <f t="array" ref="P20">_xlfn.XLOOKUP(C20,'Ürün Maliyeti1'!$I$162:$I$190,_xlfn.XLOOKUP(data!E20,'Ürün Maliyeti1'!$J$161:$O$161,'Ürün Maliyeti1'!$J$162:$O$190))</f>
        <v>21</v>
      </c>
      <c r="Q20" s="138" t="str">
        <f>IF(B20="burger",'Genel Gider'!$I$19,"₺ 0")</f>
        <v>₺ 0</v>
      </c>
      <c r="R20" s="138" t="str">
        <f>IF(B20="burger",'servis maliyeti'!$H$7,"₺ 0")</f>
        <v>₺ 0</v>
      </c>
      <c r="S20" s="138" t="str">
        <f>IF(B20="burger",'paketleme maliyeti'!$F$9,"₺ 0")</f>
        <v>₺ 0</v>
      </c>
      <c r="T20" s="138" t="str">
        <f>IF(B20="burger",'günlük genel gider maliyeti'!$H$10,"₺ 0")</f>
        <v>₺ 0</v>
      </c>
      <c r="U20" s="141">
        <f t="shared" si="7"/>
        <v>21</v>
      </c>
      <c r="V20" s="5">
        <f t="shared" si="8"/>
        <v>58.900000000000006</v>
      </c>
      <c r="W20" s="105">
        <f t="shared" si="9"/>
        <v>58.900000000000006</v>
      </c>
      <c r="X20" s="136">
        <f t="shared" si="10"/>
        <v>0.73717146433041303</v>
      </c>
      <c r="AD20" s="16"/>
      <c r="AE20" s="51"/>
      <c r="AF20" s="1"/>
      <c r="AG20" s="1"/>
      <c r="AH20" s="1"/>
      <c r="AI20" s="51"/>
      <c r="AL20" s="16"/>
      <c r="AM20" s="51"/>
      <c r="AN20" s="1"/>
      <c r="AO20" s="1"/>
      <c r="AP20" s="1"/>
    </row>
    <row r="21" spans="1:42" ht="18.75" x14ac:dyDescent="0.25">
      <c r="A21" s="164">
        <v>45812</v>
      </c>
      <c r="B21" s="164" t="s">
        <v>301</v>
      </c>
      <c r="C21" t="s">
        <v>12</v>
      </c>
      <c r="D21">
        <v>1</v>
      </c>
      <c r="E21">
        <v>100</v>
      </c>
      <c r="F21" t="s">
        <v>314</v>
      </c>
      <c r="G21">
        <v>89.9</v>
      </c>
      <c r="H21">
        <v>89.9</v>
      </c>
      <c r="I21" s="153">
        <f t="shared" si="0"/>
        <v>0</v>
      </c>
      <c r="J21" s="5">
        <f t="shared" si="1"/>
        <v>12</v>
      </c>
      <c r="K21" s="5">
        <f t="shared" si="2"/>
        <v>0</v>
      </c>
      <c r="L21" s="5">
        <f t="shared" si="3"/>
        <v>0</v>
      </c>
      <c r="M21" s="5">
        <f t="shared" si="4"/>
        <v>0</v>
      </c>
      <c r="N21" s="5">
        <f t="shared" si="5"/>
        <v>0</v>
      </c>
      <c r="O21" s="138">
        <f t="shared" si="6"/>
        <v>0</v>
      </c>
      <c r="P21" s="148" cm="1">
        <f t="array" ref="P21">_xlfn.XLOOKUP(C21,'Ürün Maliyeti1'!$I$162:$I$190,_xlfn.XLOOKUP(data!E21,'Ürün Maliyeti1'!$J$161:$O$161,'Ürün Maliyeti1'!$J$162:$O$190))</f>
        <v>12</v>
      </c>
      <c r="Q21" s="138" t="str">
        <f>IF(B21="burger",'Genel Gider'!$I$19,"₺ 0")</f>
        <v>₺ 0</v>
      </c>
      <c r="R21" s="138" t="str">
        <f>IF(B21="burger",'servis maliyeti'!$H$7,"₺ 0")</f>
        <v>₺ 0</v>
      </c>
      <c r="S21" s="138" t="str">
        <f>IF(B21="burger",'paketleme maliyeti'!$F$9,"₺ 0")</f>
        <v>₺ 0</v>
      </c>
      <c r="T21" s="138" t="str">
        <f>IF(B21="burger",'günlük genel gider maliyeti'!$H$10,"₺ 0")</f>
        <v>₺ 0</v>
      </c>
      <c r="U21" s="141">
        <f t="shared" si="7"/>
        <v>12</v>
      </c>
      <c r="V21" s="5">
        <f t="shared" si="8"/>
        <v>77.900000000000006</v>
      </c>
      <c r="W21" s="105">
        <f t="shared" si="9"/>
        <v>77.900000000000006</v>
      </c>
      <c r="X21" s="136">
        <f t="shared" si="10"/>
        <v>0.86651835372636266</v>
      </c>
      <c r="AD21" s="64"/>
      <c r="AE21" s="1">
        <v>300</v>
      </c>
      <c r="AF21" s="1">
        <v>340</v>
      </c>
      <c r="AG21" s="1">
        <v>380</v>
      </c>
      <c r="AH21" s="1">
        <v>420</v>
      </c>
      <c r="AI21" s="51"/>
      <c r="AL21" s="64"/>
      <c r="AM21" s="1">
        <v>300</v>
      </c>
      <c r="AN21" s="1">
        <v>340</v>
      </c>
      <c r="AO21" s="1">
        <v>380</v>
      </c>
      <c r="AP21" s="1">
        <v>420</v>
      </c>
    </row>
    <row r="22" spans="1:42" ht="18.75" x14ac:dyDescent="0.25">
      <c r="A22" s="164">
        <v>45812</v>
      </c>
      <c r="B22" s="164" t="s">
        <v>301</v>
      </c>
      <c r="C22" t="s">
        <v>8</v>
      </c>
      <c r="D22">
        <v>1</v>
      </c>
      <c r="E22">
        <v>100</v>
      </c>
      <c r="F22" t="s">
        <v>216</v>
      </c>
      <c r="G22">
        <v>99.9</v>
      </c>
      <c r="H22">
        <v>99.9</v>
      </c>
      <c r="I22" s="153">
        <f t="shared" si="0"/>
        <v>12.8871</v>
      </c>
      <c r="J22" s="5">
        <f t="shared" si="1"/>
        <v>20</v>
      </c>
      <c r="K22" s="5">
        <f t="shared" si="2"/>
        <v>0</v>
      </c>
      <c r="L22" s="5">
        <f t="shared" si="3"/>
        <v>0</v>
      </c>
      <c r="M22" s="5">
        <f t="shared" si="4"/>
        <v>0</v>
      </c>
      <c r="N22" s="5">
        <f t="shared" si="5"/>
        <v>0</v>
      </c>
      <c r="O22" s="138">
        <f t="shared" si="6"/>
        <v>12.8871</v>
      </c>
      <c r="P22" s="148" cm="1">
        <f t="array" ref="P22">_xlfn.XLOOKUP(C22,'Ürün Maliyeti1'!$I$162:$I$190,_xlfn.XLOOKUP(data!E22,'Ürün Maliyeti1'!$J$161:$O$161,'Ürün Maliyeti1'!$J$162:$O$190))</f>
        <v>20</v>
      </c>
      <c r="Q22" s="138" t="str">
        <f>IF(B22="burger",'Genel Gider'!$I$19,"₺ 0")</f>
        <v>₺ 0</v>
      </c>
      <c r="R22" s="138" t="str">
        <f>IF(B22="burger",'servis maliyeti'!$H$7,"₺ 0")</f>
        <v>₺ 0</v>
      </c>
      <c r="S22" s="138" t="str">
        <f>IF(B22="burger",'paketleme maliyeti'!$F$9,"₺ 0")</f>
        <v>₺ 0</v>
      </c>
      <c r="T22" s="138" t="str">
        <f>IF(B22="burger",'günlük genel gider maliyeti'!$H$10,"₺ 0")</f>
        <v>₺ 0</v>
      </c>
      <c r="U22" s="141">
        <f t="shared" si="7"/>
        <v>32.887100000000004</v>
      </c>
      <c r="V22" s="5">
        <f t="shared" si="8"/>
        <v>67.012900000000002</v>
      </c>
      <c r="W22" s="105">
        <f t="shared" si="9"/>
        <v>67.012900000000002</v>
      </c>
      <c r="X22" s="136">
        <f t="shared" si="10"/>
        <v>0.67079979979979976</v>
      </c>
      <c r="AD22" s="64" t="s">
        <v>19</v>
      </c>
      <c r="AE22" s="1"/>
      <c r="AF22" s="1"/>
      <c r="AG22" s="1"/>
      <c r="AH22" s="1"/>
      <c r="AI22" s="51"/>
      <c r="AL22" s="64" t="s">
        <v>19</v>
      </c>
      <c r="AM22" s="1">
        <f t="shared" ref="AM22" si="13">AE22-10</f>
        <v>-10</v>
      </c>
      <c r="AN22" s="1">
        <f t="shared" ref="AN22" si="14">AF22-10</f>
        <v>-10</v>
      </c>
      <c r="AO22" s="1">
        <f t="shared" ref="AO22" si="15">AG22-10</f>
        <v>-10</v>
      </c>
      <c r="AP22" s="1">
        <f t="shared" ref="AP22" si="16">AH22-10</f>
        <v>-10</v>
      </c>
    </row>
    <row r="23" spans="1:42" ht="18.75" x14ac:dyDescent="0.25">
      <c r="A23" s="164">
        <v>45812</v>
      </c>
      <c r="B23" s="164" t="s">
        <v>301</v>
      </c>
      <c r="C23" t="s">
        <v>12</v>
      </c>
      <c r="D23">
        <v>1</v>
      </c>
      <c r="E23">
        <v>100</v>
      </c>
      <c r="F23" t="s">
        <v>216</v>
      </c>
      <c r="G23">
        <v>99.9</v>
      </c>
      <c r="H23">
        <v>99.9</v>
      </c>
      <c r="I23" s="153">
        <f t="shared" si="0"/>
        <v>12.8871</v>
      </c>
      <c r="J23" s="5">
        <f t="shared" si="1"/>
        <v>12</v>
      </c>
      <c r="K23" s="5">
        <f t="shared" si="2"/>
        <v>0</v>
      </c>
      <c r="L23" s="5">
        <f t="shared" si="3"/>
        <v>0</v>
      </c>
      <c r="M23" s="5">
        <f t="shared" si="4"/>
        <v>0</v>
      </c>
      <c r="N23" s="5">
        <f t="shared" si="5"/>
        <v>0</v>
      </c>
      <c r="O23" s="138">
        <f t="shared" si="6"/>
        <v>12.8871</v>
      </c>
      <c r="P23" s="148" cm="1">
        <f t="array" ref="P23">_xlfn.XLOOKUP(C23,'Ürün Maliyeti1'!$I$162:$I$190,_xlfn.XLOOKUP(data!E23,'Ürün Maliyeti1'!$J$161:$O$161,'Ürün Maliyeti1'!$J$162:$O$190))</f>
        <v>12</v>
      </c>
      <c r="Q23" s="138" t="str">
        <f>IF(B23="burger",'Genel Gider'!$I$19,"₺ 0")</f>
        <v>₺ 0</v>
      </c>
      <c r="R23" s="138" t="str">
        <f>IF(B23="burger",'servis maliyeti'!$H$7,"₺ 0")</f>
        <v>₺ 0</v>
      </c>
      <c r="S23" s="138" t="str">
        <f>IF(B23="burger",'paketleme maliyeti'!$F$9,"₺ 0")</f>
        <v>₺ 0</v>
      </c>
      <c r="T23" s="138" t="str">
        <f>IF(B23="burger",'günlük genel gider maliyeti'!$H$10,"₺ 0")</f>
        <v>₺ 0</v>
      </c>
      <c r="U23" s="141">
        <f t="shared" si="7"/>
        <v>24.8871</v>
      </c>
      <c r="V23" s="5">
        <f t="shared" si="8"/>
        <v>75.012900000000002</v>
      </c>
      <c r="W23" s="105">
        <f t="shared" si="9"/>
        <v>75.012900000000002</v>
      </c>
      <c r="X23" s="136">
        <f t="shared" si="10"/>
        <v>0.75087987987987981</v>
      </c>
    </row>
    <row r="24" spans="1:42" ht="18.75" x14ac:dyDescent="0.25">
      <c r="A24" s="164">
        <v>45812</v>
      </c>
      <c r="B24" s="164" t="s">
        <v>301</v>
      </c>
      <c r="C24" t="s">
        <v>8</v>
      </c>
      <c r="D24">
        <v>3</v>
      </c>
      <c r="E24">
        <v>100</v>
      </c>
      <c r="F24" t="s">
        <v>100</v>
      </c>
      <c r="G24">
        <v>99.91</v>
      </c>
      <c r="H24">
        <v>299.73</v>
      </c>
      <c r="I24" s="153">
        <f t="shared" si="0"/>
        <v>26.975699999999996</v>
      </c>
      <c r="J24" s="5">
        <f t="shared" si="1"/>
        <v>60</v>
      </c>
      <c r="K24" s="5">
        <f t="shared" si="2"/>
        <v>0</v>
      </c>
      <c r="L24" s="5">
        <f t="shared" si="3"/>
        <v>0</v>
      </c>
      <c r="M24" s="5">
        <f t="shared" si="4"/>
        <v>0</v>
      </c>
      <c r="N24" s="5">
        <f t="shared" si="5"/>
        <v>0</v>
      </c>
      <c r="O24" s="138">
        <f t="shared" si="6"/>
        <v>8.9918999999999993</v>
      </c>
      <c r="P24" s="148" cm="1">
        <f t="array" ref="P24">_xlfn.XLOOKUP(C24,'Ürün Maliyeti1'!$I$162:$I$190,_xlfn.XLOOKUP(data!E24,'Ürün Maliyeti1'!$J$161:$O$161,'Ürün Maliyeti1'!$J$162:$O$190))</f>
        <v>20</v>
      </c>
      <c r="Q24" s="138" t="str">
        <f>IF(B24="burger",'Genel Gider'!$I$19,"₺ 0")</f>
        <v>₺ 0</v>
      </c>
      <c r="R24" s="138" t="str">
        <f>IF(B24="burger",'servis maliyeti'!$H$7,"₺ 0")</f>
        <v>₺ 0</v>
      </c>
      <c r="S24" s="138" t="str">
        <f>IF(B24="burger",'paketleme maliyeti'!$F$9,"₺ 0")</f>
        <v>₺ 0</v>
      </c>
      <c r="T24" s="138" t="str">
        <f>IF(B24="burger",'günlük genel gider maliyeti'!$H$10,"₺ 0")</f>
        <v>₺ 0</v>
      </c>
      <c r="U24" s="141">
        <f t="shared" si="7"/>
        <v>86.975700000000003</v>
      </c>
      <c r="V24" s="5">
        <f t="shared" si="8"/>
        <v>212.7543</v>
      </c>
      <c r="W24" s="105">
        <f t="shared" si="9"/>
        <v>70.918099999999995</v>
      </c>
      <c r="X24" s="136">
        <f t="shared" si="10"/>
        <v>0.70981983785406866</v>
      </c>
    </row>
    <row r="25" spans="1:42" ht="19.5" thickBot="1" x14ac:dyDescent="0.3">
      <c r="A25" s="164">
        <v>45812</v>
      </c>
      <c r="B25" s="164" t="s">
        <v>301</v>
      </c>
      <c r="C25" t="s">
        <v>12</v>
      </c>
      <c r="D25">
        <v>1</v>
      </c>
      <c r="E25">
        <v>100</v>
      </c>
      <c r="F25" t="s">
        <v>100</v>
      </c>
      <c r="G25">
        <v>99.91</v>
      </c>
      <c r="H25">
        <v>99.91</v>
      </c>
      <c r="I25" s="153">
        <f t="shared" si="0"/>
        <v>8.9918999999999993</v>
      </c>
      <c r="J25" s="5">
        <f t="shared" si="1"/>
        <v>12</v>
      </c>
      <c r="K25" s="5">
        <f t="shared" si="2"/>
        <v>0</v>
      </c>
      <c r="L25" s="5">
        <f t="shared" si="3"/>
        <v>0</v>
      </c>
      <c r="M25" s="5">
        <f t="shared" si="4"/>
        <v>0</v>
      </c>
      <c r="N25" s="5">
        <f t="shared" si="5"/>
        <v>0</v>
      </c>
      <c r="O25" s="138">
        <f t="shared" si="6"/>
        <v>8.9918999999999993</v>
      </c>
      <c r="P25" s="148" cm="1">
        <f t="array" ref="P25">_xlfn.XLOOKUP(C25,'Ürün Maliyeti1'!$I$162:$I$190,_xlfn.XLOOKUP(data!E25,'Ürün Maliyeti1'!$J$161:$O$161,'Ürün Maliyeti1'!$J$162:$O$190))</f>
        <v>12</v>
      </c>
      <c r="Q25" s="138" t="str">
        <f>IF(B25="burger",'Genel Gider'!$I$19,"₺ 0")</f>
        <v>₺ 0</v>
      </c>
      <c r="R25" s="138" t="str">
        <f>IF(B25="burger",'servis maliyeti'!$H$7,"₺ 0")</f>
        <v>₺ 0</v>
      </c>
      <c r="S25" s="138" t="str">
        <f>IF(B25="burger",'paketleme maliyeti'!$F$9,"₺ 0")</f>
        <v>₺ 0</v>
      </c>
      <c r="T25" s="138" t="str">
        <f>IF(B25="burger",'günlük genel gider maliyeti'!$H$10,"₺ 0")</f>
        <v>₺ 0</v>
      </c>
      <c r="U25" s="141">
        <f t="shared" si="7"/>
        <v>20.991900000000001</v>
      </c>
      <c r="V25" s="5">
        <f t="shared" si="8"/>
        <v>78.918099999999995</v>
      </c>
      <c r="W25" s="105">
        <f t="shared" si="9"/>
        <v>78.918099999999995</v>
      </c>
      <c r="X25" s="136">
        <f t="shared" si="10"/>
        <v>0.78989190271244114</v>
      </c>
    </row>
    <row r="26" spans="1:42" ht="18.75" x14ac:dyDescent="0.25">
      <c r="A26" s="164">
        <v>45812</v>
      </c>
      <c r="B26" s="164" t="s">
        <v>301</v>
      </c>
      <c r="C26" t="s">
        <v>230</v>
      </c>
      <c r="D26">
        <v>4</v>
      </c>
      <c r="E26">
        <v>100</v>
      </c>
      <c r="F26" t="s">
        <v>100</v>
      </c>
      <c r="G26">
        <v>99.91</v>
      </c>
      <c r="H26">
        <v>399.64</v>
      </c>
      <c r="I26" s="153">
        <f t="shared" si="0"/>
        <v>35.967599999999997</v>
      </c>
      <c r="J26" s="5">
        <f t="shared" si="1"/>
        <v>128</v>
      </c>
      <c r="K26" s="5">
        <f t="shared" si="2"/>
        <v>0</v>
      </c>
      <c r="L26" s="5">
        <f t="shared" si="3"/>
        <v>0</v>
      </c>
      <c r="M26" s="5">
        <f t="shared" si="4"/>
        <v>0</v>
      </c>
      <c r="N26" s="5">
        <f t="shared" si="5"/>
        <v>0</v>
      </c>
      <c r="O26" s="138">
        <f t="shared" si="6"/>
        <v>8.9918999999999993</v>
      </c>
      <c r="P26" s="148" cm="1">
        <f t="array" ref="P26">_xlfn.XLOOKUP(C26,'Ürün Maliyeti1'!$I$162:$I$190,_xlfn.XLOOKUP(data!E26,'Ürün Maliyeti1'!$J$161:$O$161,'Ürün Maliyeti1'!$J$162:$O$190))</f>
        <v>32</v>
      </c>
      <c r="Q26" s="138" t="str">
        <f>IF(B26="burger",'Genel Gider'!$I$19,"₺ 0")</f>
        <v>₺ 0</v>
      </c>
      <c r="R26" s="138" t="str">
        <f>IF(B26="burger",'servis maliyeti'!$H$7,"₺ 0")</f>
        <v>₺ 0</v>
      </c>
      <c r="S26" s="138" t="str">
        <f>IF(B26="burger",'paketleme maliyeti'!$F$9,"₺ 0")</f>
        <v>₺ 0</v>
      </c>
      <c r="T26" s="138" t="str">
        <f>IF(B26="burger",'günlük genel gider maliyeti'!$H$10,"₺ 0")</f>
        <v>₺ 0</v>
      </c>
      <c r="U26" s="141">
        <f t="shared" si="7"/>
        <v>163.9676</v>
      </c>
      <c r="V26" s="5">
        <f t="shared" si="8"/>
        <v>235.67239999999998</v>
      </c>
      <c r="W26" s="105">
        <f t="shared" si="9"/>
        <v>58.918099999999995</v>
      </c>
      <c r="X26" s="136">
        <f t="shared" si="10"/>
        <v>0.58971174056650988</v>
      </c>
      <c r="AA26" s="6" t="s">
        <v>0</v>
      </c>
      <c r="AB26" s="7" t="s">
        <v>16</v>
      </c>
      <c r="AC26" s="7" t="s">
        <v>17</v>
      </c>
      <c r="AD26" s="7" t="s">
        <v>38</v>
      </c>
      <c r="AE26" s="8" t="s">
        <v>142</v>
      </c>
    </row>
    <row r="27" spans="1:42" ht="18.75" x14ac:dyDescent="0.25">
      <c r="A27" s="164">
        <v>45812</v>
      </c>
      <c r="B27" s="164" t="s">
        <v>301</v>
      </c>
      <c r="C27" t="s">
        <v>230</v>
      </c>
      <c r="D27">
        <v>2</v>
      </c>
      <c r="E27">
        <v>100</v>
      </c>
      <c r="F27" t="s">
        <v>216</v>
      </c>
      <c r="G27">
        <v>114.9</v>
      </c>
      <c r="H27">
        <v>229.8</v>
      </c>
      <c r="I27" s="153">
        <f t="shared" si="0"/>
        <v>29.644200000000001</v>
      </c>
      <c r="J27" s="5">
        <f t="shared" si="1"/>
        <v>64</v>
      </c>
      <c r="K27" s="5">
        <f t="shared" si="2"/>
        <v>0</v>
      </c>
      <c r="L27" s="5">
        <f t="shared" si="3"/>
        <v>0</v>
      </c>
      <c r="M27" s="5">
        <f t="shared" si="4"/>
        <v>0</v>
      </c>
      <c r="N27" s="5">
        <f t="shared" si="5"/>
        <v>0</v>
      </c>
      <c r="O27" s="138">
        <f t="shared" si="6"/>
        <v>14.822100000000001</v>
      </c>
      <c r="P27" s="148" cm="1">
        <f t="array" ref="P27">_xlfn.XLOOKUP(C27,'Ürün Maliyeti1'!$I$162:$I$190,_xlfn.XLOOKUP(data!E27,'Ürün Maliyeti1'!$J$161:$O$161,'Ürün Maliyeti1'!$J$162:$O$190))</f>
        <v>32</v>
      </c>
      <c r="Q27" s="138" t="str">
        <f>IF(B27="burger",'Genel Gider'!$I$19,"₺ 0")</f>
        <v>₺ 0</v>
      </c>
      <c r="R27" s="138" t="str">
        <f>IF(B27="burger",'servis maliyeti'!$H$7,"₺ 0")</f>
        <v>₺ 0</v>
      </c>
      <c r="S27" s="138" t="str">
        <f>IF(B27="burger",'paketleme maliyeti'!$F$9,"₺ 0")</f>
        <v>₺ 0</v>
      </c>
      <c r="T27" s="138" t="str">
        <f>IF(B27="burger",'günlük genel gider maliyeti'!$H$10,"₺ 0")</f>
        <v>₺ 0</v>
      </c>
      <c r="U27" s="141">
        <f t="shared" si="7"/>
        <v>93.644199999999998</v>
      </c>
      <c r="V27" s="5">
        <f t="shared" si="8"/>
        <v>136.1558</v>
      </c>
      <c r="W27" s="105">
        <f t="shared" si="9"/>
        <v>68.0779</v>
      </c>
      <c r="X27" s="136">
        <f t="shared" si="10"/>
        <v>0.592496953872933</v>
      </c>
      <c r="AA27" s="9" t="s">
        <v>5</v>
      </c>
      <c r="AB27" s="1">
        <f>SUMIF(C$8:C$1048576,"Anadolu Burger Menü",D$8:D$1048576)</f>
        <v>21</v>
      </c>
      <c r="AC27" s="5">
        <f>SUMIF(C:C,"Anadolu Burger Menü",H:H)</f>
        <v>13072.799999999997</v>
      </c>
      <c r="AD27" s="68">
        <f>SUMIF(C:C,"Anadolu Burger Menü",O:O)</f>
        <v>732.53639999999996</v>
      </c>
      <c r="AE27" s="80">
        <f>AB27/AB62*100</f>
        <v>6.624605678233439</v>
      </c>
    </row>
    <row r="28" spans="1:42" ht="18.75" x14ac:dyDescent="0.25">
      <c r="A28" s="164">
        <v>45812</v>
      </c>
      <c r="B28" s="164" t="s">
        <v>301</v>
      </c>
      <c r="C28" t="s">
        <v>230</v>
      </c>
      <c r="D28">
        <v>3</v>
      </c>
      <c r="E28">
        <v>100</v>
      </c>
      <c r="F28" t="s">
        <v>340</v>
      </c>
      <c r="G28">
        <v>119.9</v>
      </c>
      <c r="H28">
        <v>359.7</v>
      </c>
      <c r="I28" s="153">
        <f t="shared" si="0"/>
        <v>52.875900000000001</v>
      </c>
      <c r="J28" s="5">
        <f t="shared" si="1"/>
        <v>96</v>
      </c>
      <c r="K28" s="5">
        <f t="shared" si="2"/>
        <v>0</v>
      </c>
      <c r="L28" s="5">
        <f t="shared" si="3"/>
        <v>0</v>
      </c>
      <c r="M28" s="5">
        <f t="shared" si="4"/>
        <v>0</v>
      </c>
      <c r="N28" s="5">
        <f t="shared" si="5"/>
        <v>0</v>
      </c>
      <c r="O28" s="138">
        <f t="shared" si="6"/>
        <v>17.625299999999999</v>
      </c>
      <c r="P28" s="148" cm="1">
        <f t="array" ref="P28">_xlfn.XLOOKUP(C28,'Ürün Maliyeti1'!$I$162:$I$190,_xlfn.XLOOKUP(data!E28,'Ürün Maliyeti1'!$J$161:$O$161,'Ürün Maliyeti1'!$J$162:$O$190))</f>
        <v>32</v>
      </c>
      <c r="Q28" s="138" t="str">
        <f>IF(B28="burger",'Genel Gider'!$I$19,"₺ 0")</f>
        <v>₺ 0</v>
      </c>
      <c r="R28" s="138" t="str">
        <f>IF(B28="burger",'servis maliyeti'!$H$7,"₺ 0")</f>
        <v>₺ 0</v>
      </c>
      <c r="S28" s="138" t="str">
        <f>IF(B28="burger",'paketleme maliyeti'!$F$9,"₺ 0")</f>
        <v>₺ 0</v>
      </c>
      <c r="T28" s="138" t="str">
        <f>IF(B28="burger",'günlük genel gider maliyeti'!$H$10,"₺ 0")</f>
        <v>₺ 0</v>
      </c>
      <c r="U28" s="141">
        <f t="shared" si="7"/>
        <v>148.8759</v>
      </c>
      <c r="V28" s="5">
        <f t="shared" si="8"/>
        <v>210.82409999999999</v>
      </c>
      <c r="W28" s="105">
        <f t="shared" si="9"/>
        <v>70.274699999999996</v>
      </c>
      <c r="X28" s="136">
        <f t="shared" si="10"/>
        <v>0.58611092577147617</v>
      </c>
      <c r="AA28" s="9" t="s">
        <v>7</v>
      </c>
      <c r="AB28" s="1">
        <f>SUMIF(C$8:C$1048576,"Burgerator Burger Menü",D$8:D$1048576)</f>
        <v>166</v>
      </c>
      <c r="AC28" s="5">
        <f>SUMIF(C:C,"Burgerator Burger Menü",H:H)</f>
        <v>85630.280000000013</v>
      </c>
      <c r="AD28" s="68">
        <f>SUMIF(C:C,"Burgerator Burger Menü",O:O)</f>
        <v>1968.7427399999999</v>
      </c>
      <c r="AE28" s="80">
        <f>AB28/AB62*100</f>
        <v>52.365930599369079</v>
      </c>
    </row>
    <row r="29" spans="1:42" ht="18.75" x14ac:dyDescent="0.25">
      <c r="A29" s="164">
        <v>45812</v>
      </c>
      <c r="B29" s="164" t="s">
        <v>301</v>
      </c>
      <c r="C29" t="s">
        <v>12</v>
      </c>
      <c r="D29">
        <v>11</v>
      </c>
      <c r="E29">
        <v>100</v>
      </c>
      <c r="F29" t="s">
        <v>340</v>
      </c>
      <c r="G29">
        <v>139.9</v>
      </c>
      <c r="H29">
        <v>1538.9</v>
      </c>
      <c r="I29" s="153">
        <f t="shared" si="0"/>
        <v>226.2183</v>
      </c>
      <c r="J29" s="5">
        <f t="shared" si="1"/>
        <v>132</v>
      </c>
      <c r="K29" s="5">
        <f t="shared" si="2"/>
        <v>0</v>
      </c>
      <c r="L29" s="5">
        <f t="shared" si="3"/>
        <v>0</v>
      </c>
      <c r="M29" s="5">
        <f t="shared" si="4"/>
        <v>0</v>
      </c>
      <c r="N29" s="5">
        <f t="shared" si="5"/>
        <v>0</v>
      </c>
      <c r="O29" s="138">
        <f t="shared" si="6"/>
        <v>20.565300000000001</v>
      </c>
      <c r="P29" s="148" cm="1">
        <f t="array" ref="P29">_xlfn.XLOOKUP(C29,'Ürün Maliyeti1'!$I$162:$I$190,_xlfn.XLOOKUP(data!E29,'Ürün Maliyeti1'!$J$161:$O$161,'Ürün Maliyeti1'!$J$162:$O$190))</f>
        <v>12</v>
      </c>
      <c r="Q29" s="138" t="str">
        <f>IF(B29="burger",'Genel Gider'!$I$19,"₺ 0")</f>
        <v>₺ 0</v>
      </c>
      <c r="R29" s="138" t="str">
        <f>IF(B29="burger",'servis maliyeti'!$H$7,"₺ 0")</f>
        <v>₺ 0</v>
      </c>
      <c r="S29" s="138" t="str">
        <f>IF(B29="burger",'paketleme maliyeti'!$F$9,"₺ 0")</f>
        <v>₺ 0</v>
      </c>
      <c r="T29" s="138" t="str">
        <f>IF(B29="burger",'günlük genel gider maliyeti'!$H$10,"₺ 0")</f>
        <v>₺ 0</v>
      </c>
      <c r="U29" s="141">
        <f t="shared" si="7"/>
        <v>358.2183</v>
      </c>
      <c r="V29" s="5">
        <f t="shared" si="8"/>
        <v>1180.6817000000001</v>
      </c>
      <c r="W29" s="105">
        <f t="shared" si="9"/>
        <v>107.33470000000001</v>
      </c>
      <c r="X29" s="136">
        <f t="shared" si="10"/>
        <v>0.76722444603288054</v>
      </c>
      <c r="AA29" s="9" t="s">
        <v>6</v>
      </c>
      <c r="AB29" s="1">
        <f>SUMIF(C$8:C$1048576,"BBQ Burger Menü",D$8:D$1048576)</f>
        <v>20</v>
      </c>
      <c r="AC29" s="5">
        <f>SUMIF(C:C,"BBQ Burger Menü",H:H)</f>
        <v>10842.279999999997</v>
      </c>
      <c r="AD29" s="68">
        <f>SUMIF(C:C,"BBQ Burger Menü",O:O)</f>
        <v>944.44463999999994</v>
      </c>
      <c r="AE29" s="80">
        <f>AB29/AB62*100</f>
        <v>6.309148264984227</v>
      </c>
    </row>
    <row r="30" spans="1:42" ht="18.75" x14ac:dyDescent="0.25">
      <c r="A30" s="164">
        <v>45812</v>
      </c>
      <c r="B30" s="164" t="s">
        <v>301</v>
      </c>
      <c r="C30" t="s">
        <v>8</v>
      </c>
      <c r="D30">
        <v>8</v>
      </c>
      <c r="E30">
        <v>100</v>
      </c>
      <c r="F30" t="s">
        <v>340</v>
      </c>
      <c r="G30">
        <v>149.9</v>
      </c>
      <c r="H30">
        <v>1199.2</v>
      </c>
      <c r="I30" s="153">
        <f t="shared" si="0"/>
        <v>176.2824</v>
      </c>
      <c r="J30" s="5">
        <f t="shared" si="1"/>
        <v>160</v>
      </c>
      <c r="K30" s="5">
        <f t="shared" si="2"/>
        <v>0</v>
      </c>
      <c r="L30" s="5">
        <f t="shared" si="3"/>
        <v>0</v>
      </c>
      <c r="M30" s="5">
        <f t="shared" si="4"/>
        <v>0</v>
      </c>
      <c r="N30" s="5">
        <f t="shared" si="5"/>
        <v>0</v>
      </c>
      <c r="O30" s="138">
        <f t="shared" si="6"/>
        <v>22.035299999999999</v>
      </c>
      <c r="P30" s="148" cm="1">
        <f t="array" ref="P30">_xlfn.XLOOKUP(C30,'Ürün Maliyeti1'!$I$162:$I$190,_xlfn.XLOOKUP(data!E30,'Ürün Maliyeti1'!$J$161:$O$161,'Ürün Maliyeti1'!$J$162:$O$190))</f>
        <v>20</v>
      </c>
      <c r="Q30" s="138" t="str">
        <f>IF(B30="burger",'Genel Gider'!$I$19,"₺ 0")</f>
        <v>₺ 0</v>
      </c>
      <c r="R30" s="138" t="str">
        <f>IF(B30="burger",'servis maliyeti'!$H$7,"₺ 0")</f>
        <v>₺ 0</v>
      </c>
      <c r="S30" s="138" t="str">
        <f>IF(B30="burger",'paketleme maliyeti'!$F$9,"₺ 0")</f>
        <v>₺ 0</v>
      </c>
      <c r="T30" s="138" t="str">
        <f>IF(B30="burger",'günlük genel gider maliyeti'!$H$10,"₺ 0")</f>
        <v>₺ 0</v>
      </c>
      <c r="U30" s="141">
        <f t="shared" si="7"/>
        <v>336.2824</v>
      </c>
      <c r="V30" s="5">
        <f t="shared" si="8"/>
        <v>862.91759999999999</v>
      </c>
      <c r="W30" s="105">
        <f t="shared" si="9"/>
        <v>107.8647</v>
      </c>
      <c r="X30" s="136">
        <f t="shared" si="10"/>
        <v>0.71957771847898599</v>
      </c>
      <c r="AA30" s="9" t="s">
        <v>9</v>
      </c>
      <c r="AB30" s="1">
        <f>SUMIF(C$8:C$1048576,"Hot Chili Burger Menü",D$8:D$1048576)</f>
        <v>7</v>
      </c>
      <c r="AC30" s="5">
        <f>SUMIF(C:C,"Hot Chili Burger Menü",H:H)</f>
        <v>3507.3</v>
      </c>
      <c r="AD30" s="68">
        <f>SUMIF(C:C,"Hot Chili Burger Menü",O:O)</f>
        <v>281.0625</v>
      </c>
      <c r="AE30" s="80">
        <f>AB30/AB62*100</f>
        <v>2.2082018927444795</v>
      </c>
      <c r="AJ30" s="145"/>
      <c r="AK30" s="145"/>
    </row>
    <row r="31" spans="1:42" ht="18.75" x14ac:dyDescent="0.25">
      <c r="A31" s="164">
        <v>45812</v>
      </c>
      <c r="B31" s="164" t="s">
        <v>301</v>
      </c>
      <c r="C31" t="s">
        <v>230</v>
      </c>
      <c r="D31">
        <v>10</v>
      </c>
      <c r="E31">
        <v>100</v>
      </c>
      <c r="F31" t="s">
        <v>340</v>
      </c>
      <c r="G31">
        <v>169.9</v>
      </c>
      <c r="H31">
        <v>1699</v>
      </c>
      <c r="I31" s="153">
        <f t="shared" si="0"/>
        <v>249.75299999999999</v>
      </c>
      <c r="J31" s="5">
        <f t="shared" si="1"/>
        <v>320</v>
      </c>
      <c r="K31" s="5">
        <f t="shared" si="2"/>
        <v>0</v>
      </c>
      <c r="L31" s="5">
        <f t="shared" si="3"/>
        <v>0</v>
      </c>
      <c r="M31" s="5">
        <f t="shared" si="4"/>
        <v>0</v>
      </c>
      <c r="N31" s="5">
        <f t="shared" si="5"/>
        <v>0</v>
      </c>
      <c r="O31" s="138">
        <f t="shared" si="6"/>
        <v>24.975299999999997</v>
      </c>
      <c r="P31" s="148" cm="1">
        <f t="array" ref="P31">_xlfn.XLOOKUP(C31,'Ürün Maliyeti1'!$I$162:$I$190,_xlfn.XLOOKUP(data!E31,'Ürün Maliyeti1'!$J$161:$O$161,'Ürün Maliyeti1'!$J$162:$O$190))</f>
        <v>32</v>
      </c>
      <c r="Q31" s="138" t="str">
        <f>IF(B31="burger",'Genel Gider'!$I$19,"₺ 0")</f>
        <v>₺ 0</v>
      </c>
      <c r="R31" s="138" t="str">
        <f>IF(B31="burger",'servis maliyeti'!$H$7,"₺ 0")</f>
        <v>₺ 0</v>
      </c>
      <c r="S31" s="138" t="str">
        <f>IF(B31="burger",'paketleme maliyeti'!$F$9,"₺ 0")</f>
        <v>₺ 0</v>
      </c>
      <c r="T31" s="138" t="str">
        <f>IF(B31="burger",'günlük genel gider maliyeti'!$H$10,"₺ 0")</f>
        <v>₺ 0</v>
      </c>
      <c r="U31" s="141">
        <f t="shared" si="7"/>
        <v>569.75299999999993</v>
      </c>
      <c r="V31" s="5">
        <f t="shared" si="8"/>
        <v>1129.2470000000001</v>
      </c>
      <c r="W31" s="105">
        <f t="shared" si="9"/>
        <v>112.9247</v>
      </c>
      <c r="X31" s="136">
        <f t="shared" si="10"/>
        <v>0.66465391406709839</v>
      </c>
      <c r="AA31" s="9" t="s">
        <v>10</v>
      </c>
      <c r="AB31" s="1">
        <f>SUMIF(C$8:C$1048576,"Köz Patlıcanlı Burger Menü",D$8:D$1048576)</f>
        <v>13</v>
      </c>
      <c r="AC31" s="5">
        <f>SUMIF(C:C,"Köz Patlıcanlı Burger Menü",H:H)</f>
        <v>6437.8099999999995</v>
      </c>
      <c r="AD31" s="68">
        <f>SUMIF(C:C,"Köz Patlıcanlı Burger Menü",O:O)</f>
        <v>241.00529999999998</v>
      </c>
      <c r="AE31" s="80">
        <f>AB31/AB62*100</f>
        <v>4.1009463722397479</v>
      </c>
    </row>
    <row r="32" spans="1:42" ht="18.75" x14ac:dyDescent="0.25">
      <c r="A32" s="164">
        <v>45812</v>
      </c>
      <c r="B32" s="164" t="s">
        <v>108</v>
      </c>
      <c r="C32" t="s">
        <v>355</v>
      </c>
      <c r="D32">
        <v>1</v>
      </c>
      <c r="E32">
        <v>100</v>
      </c>
      <c r="F32" t="s">
        <v>314</v>
      </c>
      <c r="G32">
        <v>349.9</v>
      </c>
      <c r="H32">
        <v>349.9</v>
      </c>
      <c r="I32" s="153">
        <f t="shared" si="0"/>
        <v>0</v>
      </c>
      <c r="J32" s="5">
        <f t="shared" si="1"/>
        <v>105.84444444444443</v>
      </c>
      <c r="K32" s="5">
        <f t="shared" si="2"/>
        <v>97.686645636172443</v>
      </c>
      <c r="L32" s="5">
        <f t="shared" si="3"/>
        <v>0</v>
      </c>
      <c r="M32" s="5">
        <f t="shared" si="4"/>
        <v>0</v>
      </c>
      <c r="N32" s="5">
        <f t="shared" si="5"/>
        <v>25.744700315457415</v>
      </c>
      <c r="O32" s="138">
        <f t="shared" si="6"/>
        <v>0</v>
      </c>
      <c r="P32" s="148" cm="1">
        <f t="array" ref="P32">_xlfn.XLOOKUP(C32,'Ürün Maliyeti1'!$I$162:$I$190,_xlfn.XLOOKUP(data!E32,'Ürün Maliyeti1'!$J$161:$O$161,'Ürün Maliyeti1'!$J$162:$O$190))</f>
        <v>105.84444444444443</v>
      </c>
      <c r="Q32" s="138">
        <f>IF(B32="burger",'Genel Gider'!$I$19,"₺ 0")</f>
        <v>97.686645636172443</v>
      </c>
      <c r="R32" s="138">
        <v>0</v>
      </c>
      <c r="S32" s="138">
        <v>0</v>
      </c>
      <c r="T32" s="138">
        <f>IF(B32="burger",'günlük genel gider maliyeti'!$H$10,"₺ 0")</f>
        <v>25.744700315457415</v>
      </c>
      <c r="U32" s="141">
        <f t="shared" si="7"/>
        <v>229.27579039607429</v>
      </c>
      <c r="V32" s="5">
        <f t="shared" si="8"/>
        <v>120.62420960392569</v>
      </c>
      <c r="W32" s="105">
        <f t="shared" si="9"/>
        <v>120.62420960392569</v>
      </c>
      <c r="X32" s="136">
        <f t="shared" si="10"/>
        <v>0.34473909575285994</v>
      </c>
      <c r="AA32" s="9" t="s">
        <v>11</v>
      </c>
      <c r="AB32" s="1">
        <f>SUMIF(C$8:C$1048576,"Mushroom Burger Menü",D$8:D$1048576)</f>
        <v>11</v>
      </c>
      <c r="AC32" s="5">
        <f>SUMIF(C:C,"Mushroom Burger Menü",H:H)</f>
        <v>6183.9099999999989</v>
      </c>
      <c r="AD32" s="68">
        <f>SUMIF(C:C,"Mushroom Burger Menü",O:O)</f>
        <v>556.96019999999999</v>
      </c>
      <c r="AE32" s="80">
        <f>AB32/AB62*100</f>
        <v>3.4700315457413247</v>
      </c>
    </row>
    <row r="33" spans="1:37" ht="18.75" x14ac:dyDescent="0.25">
      <c r="A33" s="164">
        <v>45812</v>
      </c>
      <c r="B33" s="164" t="s">
        <v>108</v>
      </c>
      <c r="C33" t="s">
        <v>359</v>
      </c>
      <c r="D33">
        <v>1</v>
      </c>
      <c r="E33">
        <v>100</v>
      </c>
      <c r="F33" t="s">
        <v>314</v>
      </c>
      <c r="G33">
        <v>349.9</v>
      </c>
      <c r="H33">
        <v>349.9</v>
      </c>
      <c r="I33" s="153">
        <f t="shared" si="0"/>
        <v>0</v>
      </c>
      <c r="J33" s="5">
        <f t="shared" si="1"/>
        <v>106.84444444444443</v>
      </c>
      <c r="K33" s="5">
        <f t="shared" si="2"/>
        <v>97.686645636172443</v>
      </c>
      <c r="L33" s="5">
        <f t="shared" si="3"/>
        <v>0</v>
      </c>
      <c r="M33" s="5">
        <f t="shared" si="4"/>
        <v>0</v>
      </c>
      <c r="N33" s="5">
        <f t="shared" si="5"/>
        <v>25.744700315457415</v>
      </c>
      <c r="O33" s="138">
        <f t="shared" si="6"/>
        <v>0</v>
      </c>
      <c r="P33" s="148" cm="1">
        <f t="array" ref="P33">_xlfn.XLOOKUP(C33,'Ürün Maliyeti1'!$I$162:$I$190,_xlfn.XLOOKUP(data!E33,'Ürün Maliyeti1'!$J$161:$O$161,'Ürün Maliyeti1'!$J$162:$O$190))</f>
        <v>106.84444444444443</v>
      </c>
      <c r="Q33" s="138">
        <f>IF(B33="burger",'Genel Gider'!$I$19,"₺ 0")</f>
        <v>97.686645636172443</v>
      </c>
      <c r="R33" s="138">
        <v>0</v>
      </c>
      <c r="S33" s="138">
        <v>0</v>
      </c>
      <c r="T33" s="138">
        <f>IF(B33="burger",'günlük genel gider maliyeti'!$H$10,"₺ 0")</f>
        <v>25.744700315457415</v>
      </c>
      <c r="U33" s="141">
        <f t="shared" si="7"/>
        <v>230.27579039607429</v>
      </c>
      <c r="V33" s="5">
        <f t="shared" si="8"/>
        <v>119.62420960392569</v>
      </c>
      <c r="W33" s="105">
        <f t="shared" si="9"/>
        <v>119.62420960392569</v>
      </c>
      <c r="X33" s="136">
        <f t="shared" si="10"/>
        <v>0.34188113633588368</v>
      </c>
      <c r="AA33" s="9" t="s">
        <v>13</v>
      </c>
      <c r="AB33" s="1">
        <f>SUMIF(C$8:C$1048576,"Sucuklu Burger Menü",D$8:D$1048576)</f>
        <v>1</v>
      </c>
      <c r="AC33" s="5">
        <f>SUMIF(C:C,"Sucuklu Burger Menü",H:H)</f>
        <v>549.9</v>
      </c>
      <c r="AD33" s="68">
        <f>SUMIF(C:C,"Sucuklu Burger Menü",O:O)</f>
        <v>80.835299999999989</v>
      </c>
      <c r="AE33" s="80">
        <f>AB33/AB62*100</f>
        <v>0.31545741324921134</v>
      </c>
    </row>
    <row r="34" spans="1:37" ht="18.75" x14ac:dyDescent="0.25">
      <c r="A34" s="164">
        <v>45812</v>
      </c>
      <c r="B34" s="164" t="s">
        <v>108</v>
      </c>
      <c r="C34" t="s">
        <v>358</v>
      </c>
      <c r="D34">
        <v>1</v>
      </c>
      <c r="E34">
        <v>100</v>
      </c>
      <c r="F34" t="s">
        <v>365</v>
      </c>
      <c r="G34">
        <v>349.9</v>
      </c>
      <c r="H34">
        <v>349.9</v>
      </c>
      <c r="I34" s="153">
        <f t="shared" si="0"/>
        <v>0</v>
      </c>
      <c r="J34" s="5">
        <f t="shared" si="1"/>
        <v>98.844444444444434</v>
      </c>
      <c r="K34" s="5">
        <f t="shared" si="2"/>
        <v>97.686645636172443</v>
      </c>
      <c r="L34" s="5">
        <f t="shared" si="3"/>
        <v>87.032967032967051</v>
      </c>
      <c r="M34" s="5">
        <f t="shared" si="4"/>
        <v>15.5</v>
      </c>
      <c r="N34" s="5">
        <f t="shared" si="5"/>
        <v>25.744700315457415</v>
      </c>
      <c r="O34" s="138">
        <f t="shared" si="6"/>
        <v>0</v>
      </c>
      <c r="P34" s="148" cm="1">
        <f t="array" ref="P34">_xlfn.XLOOKUP(C34,'Ürün Maliyeti1'!$I$162:$I$190,_xlfn.XLOOKUP(data!E34,'Ürün Maliyeti1'!$J$161:$O$161,'Ürün Maliyeti1'!$J$162:$O$190))</f>
        <v>98.844444444444434</v>
      </c>
      <c r="Q34" s="138">
        <f>IF(B34="burger",'Genel Gider'!$I$19,"₺ 0")</f>
        <v>97.686645636172443</v>
      </c>
      <c r="R34" s="138">
        <f>IF(B34="burger",'servis maliyeti'!$H$7,"₺ 0")</f>
        <v>87.032967032967051</v>
      </c>
      <c r="S34" s="138">
        <f>IF(B34="burger",'paketleme maliyeti'!$F$9,"₺ 0")</f>
        <v>15.5</v>
      </c>
      <c r="T34" s="138">
        <f>IF(B34="burger",'günlük genel gider maliyeti'!$H$10,"₺ 0")</f>
        <v>25.744700315457415</v>
      </c>
      <c r="U34" s="141">
        <f t="shared" si="7"/>
        <v>324.80875742904135</v>
      </c>
      <c r="V34" s="5">
        <f t="shared" si="8"/>
        <v>25.091242570958627</v>
      </c>
      <c r="W34" s="105">
        <f t="shared" si="9"/>
        <v>25.091242570958627</v>
      </c>
      <c r="X34" s="136">
        <f t="shared" si="10"/>
        <v>7.1709752989307318E-2</v>
      </c>
      <c r="AA34" s="9" t="s">
        <v>18</v>
      </c>
      <c r="AB34" s="1">
        <f>SUMIF(C$8:C$1048576,"Thunder Burger Menü",D$8:D$1048576)</f>
        <v>13</v>
      </c>
      <c r="AC34" s="5">
        <f>SUMIF(C:C,"Thunder Burger Menü",H:H)</f>
        <v>7150.6999999999989</v>
      </c>
      <c r="AD34" s="68">
        <f>SUMIF(C:C,"Thunder Burger Menü",O:O)</f>
        <v>401.54519999999997</v>
      </c>
      <c r="AE34" s="80">
        <f>AB34/AB62*100</f>
        <v>4.1009463722397479</v>
      </c>
    </row>
    <row r="35" spans="1:37" ht="18.75" x14ac:dyDescent="0.25">
      <c r="A35" s="164">
        <v>45812</v>
      </c>
      <c r="B35" s="164" t="s">
        <v>108</v>
      </c>
      <c r="C35" t="s">
        <v>358</v>
      </c>
      <c r="D35">
        <v>2</v>
      </c>
      <c r="E35">
        <v>100</v>
      </c>
      <c r="F35" t="s">
        <v>100</v>
      </c>
      <c r="G35">
        <v>359.91</v>
      </c>
      <c r="H35">
        <v>719.82</v>
      </c>
      <c r="I35" s="153">
        <f t="shared" si="0"/>
        <v>64.783799999999999</v>
      </c>
      <c r="J35" s="5">
        <f t="shared" si="1"/>
        <v>197.68888888888887</v>
      </c>
      <c r="K35" s="5">
        <f t="shared" si="2"/>
        <v>195.37329127234489</v>
      </c>
      <c r="L35" s="5">
        <f t="shared" si="3"/>
        <v>174.0659340659341</v>
      </c>
      <c r="M35" s="5">
        <f t="shared" si="4"/>
        <v>31</v>
      </c>
      <c r="N35" s="5">
        <f t="shared" si="5"/>
        <v>51.48940063091483</v>
      </c>
      <c r="O35" s="138">
        <f t="shared" si="6"/>
        <v>32.3919</v>
      </c>
      <c r="P35" s="148" cm="1">
        <f t="array" ref="P35">_xlfn.XLOOKUP(C35,'Ürün Maliyeti1'!$I$162:$I$190,_xlfn.XLOOKUP(data!E35,'Ürün Maliyeti1'!$J$161:$O$161,'Ürün Maliyeti1'!$J$162:$O$190))</f>
        <v>98.844444444444434</v>
      </c>
      <c r="Q35" s="138">
        <f>IF(B35="burger",'Genel Gider'!$I$19,"₺ 0")</f>
        <v>97.686645636172443</v>
      </c>
      <c r="R35" s="138">
        <f>IF(B35="burger",'servis maliyeti'!$H$7,"₺ 0")</f>
        <v>87.032967032967051</v>
      </c>
      <c r="S35" s="138">
        <f>IF(B35="burger",'paketleme maliyeti'!$F$9,"₺ 0")</f>
        <v>15.5</v>
      </c>
      <c r="T35" s="138">
        <f>IF(B35="burger",'günlük genel gider maliyeti'!$H$10,"₺ 0")</f>
        <v>25.744700315457415</v>
      </c>
      <c r="U35" s="141">
        <f t="shared" si="7"/>
        <v>714.40131485808263</v>
      </c>
      <c r="V35" s="5">
        <f t="shared" si="8"/>
        <v>5.4186851419174218</v>
      </c>
      <c r="W35" s="105">
        <f t="shared" si="9"/>
        <v>2.7093425709587109</v>
      </c>
      <c r="X35" s="136">
        <f t="shared" si="10"/>
        <v>7.5278335443825142E-3</v>
      </c>
      <c r="AA35" s="9" t="s">
        <v>135</v>
      </c>
      <c r="AB35" s="1">
        <f>SUMIF(C$8:C$1048576,"Truffles Burger Menü",D$8:D$1048576)</f>
        <v>33</v>
      </c>
      <c r="AC35" s="5">
        <f>SUMIF(C:C,"Truffles Burger Menü",H:H)</f>
        <v>17945.899999999998</v>
      </c>
      <c r="AD35" s="68">
        <f>SUMIF(C:C,"Truffles Burger Menü",O:O)</f>
        <v>1020.4010999999999</v>
      </c>
      <c r="AE35" s="80">
        <f>AB35/AB62*100</f>
        <v>10.410094637223976</v>
      </c>
    </row>
    <row r="36" spans="1:37" ht="18.75" x14ac:dyDescent="0.25">
      <c r="A36" s="164">
        <v>45812</v>
      </c>
      <c r="B36" s="164" t="s">
        <v>108</v>
      </c>
      <c r="C36" t="s">
        <v>357</v>
      </c>
      <c r="D36">
        <v>2</v>
      </c>
      <c r="E36">
        <v>100</v>
      </c>
      <c r="F36" t="s">
        <v>100</v>
      </c>
      <c r="G36">
        <v>377.91</v>
      </c>
      <c r="H36">
        <v>755.82</v>
      </c>
      <c r="I36" s="153">
        <f t="shared" si="0"/>
        <v>68.023800000000008</v>
      </c>
      <c r="J36" s="5">
        <f t="shared" si="1"/>
        <v>209.68888888888887</v>
      </c>
      <c r="K36" s="5">
        <f t="shared" si="2"/>
        <v>195.37329127234489</v>
      </c>
      <c r="L36" s="5">
        <f t="shared" si="3"/>
        <v>174.0659340659341</v>
      </c>
      <c r="M36" s="5">
        <f t="shared" si="4"/>
        <v>31</v>
      </c>
      <c r="N36" s="5">
        <f t="shared" si="5"/>
        <v>51.48940063091483</v>
      </c>
      <c r="O36" s="138">
        <f t="shared" si="6"/>
        <v>34.011900000000004</v>
      </c>
      <c r="P36" s="148" cm="1">
        <f t="array" ref="P36">_xlfn.XLOOKUP(C36,'Ürün Maliyeti1'!$I$162:$I$190,_xlfn.XLOOKUP(data!E36,'Ürün Maliyeti1'!$J$161:$O$161,'Ürün Maliyeti1'!$J$162:$O$190))</f>
        <v>104.84444444444443</v>
      </c>
      <c r="Q36" s="138">
        <f>IF(B36="burger",'Genel Gider'!$I$19,"₺ 0")</f>
        <v>97.686645636172443</v>
      </c>
      <c r="R36" s="138">
        <f>IF(B36="burger",'servis maliyeti'!$H$7,"₺ 0")</f>
        <v>87.032967032967051</v>
      </c>
      <c r="S36" s="138">
        <f>IF(B36="burger",'paketleme maliyeti'!$F$9,"₺ 0")</f>
        <v>15.5</v>
      </c>
      <c r="T36" s="138">
        <f>IF(B36="burger",'günlük genel gider maliyeti'!$H$10,"₺ 0")</f>
        <v>25.744700315457415</v>
      </c>
      <c r="U36" s="141">
        <f t="shared" si="7"/>
        <v>729.64131485808264</v>
      </c>
      <c r="V36" s="5">
        <f t="shared" si="8"/>
        <v>26.178685141917413</v>
      </c>
      <c r="W36" s="105">
        <f t="shared" si="9"/>
        <v>13.089342570958706</v>
      </c>
      <c r="X36" s="136">
        <f t="shared" si="10"/>
        <v>3.4636137098670861E-2</v>
      </c>
      <c r="AA36" s="239" t="s">
        <v>355</v>
      </c>
      <c r="AB36" s="1">
        <f>SUMIF(C$8:C$1048576,"Turffle Chicky Burger Menü",D$8:D$1048576)</f>
        <v>11</v>
      </c>
      <c r="AC36" s="5">
        <f>SUMIF(C:C,"Turffle Chicky Burger Menü",H:H)</f>
        <v>4604.8499999999995</v>
      </c>
      <c r="AD36" s="68">
        <f>SUMIF(C:C,"Turffle Chicky Burger Menü",O:O)</f>
        <v>268.93559999999997</v>
      </c>
      <c r="AE36" s="80">
        <f>AB36/AB63*100</f>
        <v>1100</v>
      </c>
    </row>
    <row r="37" spans="1:37" ht="18.75" x14ac:dyDescent="0.25">
      <c r="A37" s="164">
        <v>45812</v>
      </c>
      <c r="B37" s="164" t="s">
        <v>108</v>
      </c>
      <c r="C37" t="s">
        <v>356</v>
      </c>
      <c r="D37">
        <v>3</v>
      </c>
      <c r="E37">
        <v>100</v>
      </c>
      <c r="F37" t="s">
        <v>100</v>
      </c>
      <c r="G37">
        <v>377.91</v>
      </c>
      <c r="H37">
        <v>1133.73</v>
      </c>
      <c r="I37" s="153">
        <f t="shared" si="0"/>
        <v>102.03569999999999</v>
      </c>
      <c r="J37" s="5">
        <f t="shared" si="1"/>
        <v>314.5333333333333</v>
      </c>
      <c r="K37" s="5">
        <f t="shared" si="2"/>
        <v>293.05993690851733</v>
      </c>
      <c r="L37" s="5">
        <f t="shared" si="3"/>
        <v>261.09890109890114</v>
      </c>
      <c r="M37" s="5">
        <f t="shared" si="4"/>
        <v>46.5</v>
      </c>
      <c r="N37" s="5">
        <f t="shared" si="5"/>
        <v>77.234100946372251</v>
      </c>
      <c r="O37" s="138">
        <f t="shared" si="6"/>
        <v>34.011899999999997</v>
      </c>
      <c r="P37" s="148" cm="1">
        <f t="array" ref="P37">_xlfn.XLOOKUP(C37,'Ürün Maliyeti1'!$I$162:$I$190,_xlfn.XLOOKUP(data!E37,'Ürün Maliyeti1'!$J$161:$O$161,'Ürün Maliyeti1'!$J$162:$O$190))</f>
        <v>104.84444444444443</v>
      </c>
      <c r="Q37" s="138">
        <f>IF(B37="burger",'Genel Gider'!$I$19,"₺ 0")</f>
        <v>97.686645636172443</v>
      </c>
      <c r="R37" s="138">
        <f>IF(B37="burger",'servis maliyeti'!$H$7,"₺ 0")</f>
        <v>87.032967032967051</v>
      </c>
      <c r="S37" s="138">
        <f>IF(B37="burger",'paketleme maliyeti'!$F$9,"₺ 0")</f>
        <v>15.5</v>
      </c>
      <c r="T37" s="138">
        <f>IF(B37="burger",'günlük genel gider maliyeti'!$H$10,"₺ 0")</f>
        <v>25.744700315457415</v>
      </c>
      <c r="U37" s="141">
        <f t="shared" si="7"/>
        <v>1094.4619722871239</v>
      </c>
      <c r="V37" s="5">
        <f t="shared" si="8"/>
        <v>39.268027712876119</v>
      </c>
      <c r="W37" s="105">
        <f t="shared" si="9"/>
        <v>13.089342570958706</v>
      </c>
      <c r="X37" s="136">
        <f t="shared" si="10"/>
        <v>3.4636137098670861E-2</v>
      </c>
      <c r="AA37" s="239" t="s">
        <v>356</v>
      </c>
      <c r="AB37" s="1">
        <f>SUMIF(C$8:C$1048576,"Basic Chicky Burger Menü",D$8:D$1048576)</f>
        <v>6</v>
      </c>
      <c r="AC37" s="5">
        <f>SUMIF(C:C,"Basic Chicky Burger Menü",H:H)</f>
        <v>2453.4300000000003</v>
      </c>
      <c r="AD37" s="68">
        <f>SUMIF(C:C,"Basic Chicky Burger Menü",O:O)</f>
        <v>137.93819999999999</v>
      </c>
      <c r="AE37" s="80">
        <f>AB37/AB64*100</f>
        <v>12.76595744680851</v>
      </c>
    </row>
    <row r="38" spans="1:37" ht="18.75" x14ac:dyDescent="0.25">
      <c r="A38" s="164">
        <v>45812</v>
      </c>
      <c r="B38" s="164" t="s">
        <v>108</v>
      </c>
      <c r="C38" t="s">
        <v>355</v>
      </c>
      <c r="D38">
        <v>3</v>
      </c>
      <c r="E38">
        <v>100</v>
      </c>
      <c r="F38" t="s">
        <v>100</v>
      </c>
      <c r="G38">
        <v>377.91</v>
      </c>
      <c r="H38">
        <v>1133.73</v>
      </c>
      <c r="I38" s="153">
        <f t="shared" si="0"/>
        <v>102.03569999999999</v>
      </c>
      <c r="J38" s="5">
        <f t="shared" si="1"/>
        <v>317.5333333333333</v>
      </c>
      <c r="K38" s="5">
        <f t="shared" si="2"/>
        <v>293.05993690851733</v>
      </c>
      <c r="L38" s="5">
        <f t="shared" si="3"/>
        <v>261.09890109890114</v>
      </c>
      <c r="M38" s="5">
        <f t="shared" si="4"/>
        <v>46.5</v>
      </c>
      <c r="N38" s="5">
        <f t="shared" si="5"/>
        <v>77.234100946372251</v>
      </c>
      <c r="O38" s="138">
        <f t="shared" si="6"/>
        <v>34.011899999999997</v>
      </c>
      <c r="P38" s="148" cm="1">
        <f t="array" ref="P38">_xlfn.XLOOKUP(C38,'Ürün Maliyeti1'!$I$162:$I$190,_xlfn.XLOOKUP(data!E38,'Ürün Maliyeti1'!$J$161:$O$161,'Ürün Maliyeti1'!$J$162:$O$190))</f>
        <v>105.84444444444443</v>
      </c>
      <c r="Q38" s="138">
        <f>IF(B38="burger",'Genel Gider'!$I$19,"₺ 0")</f>
        <v>97.686645636172443</v>
      </c>
      <c r="R38" s="138">
        <f>IF(B38="burger",'servis maliyeti'!$H$7,"₺ 0")</f>
        <v>87.032967032967051</v>
      </c>
      <c r="S38" s="138">
        <f>IF(B38="burger",'paketleme maliyeti'!$F$9,"₺ 0")</f>
        <v>15.5</v>
      </c>
      <c r="T38" s="138">
        <f>IF(B38="burger",'günlük genel gider maliyeti'!$H$10,"₺ 0")</f>
        <v>25.744700315457415</v>
      </c>
      <c r="U38" s="141">
        <f t="shared" si="7"/>
        <v>1097.4619722871239</v>
      </c>
      <c r="V38" s="5">
        <f t="shared" si="8"/>
        <v>36.268027712876119</v>
      </c>
      <c r="W38" s="105">
        <f t="shared" si="9"/>
        <v>12.089342570958706</v>
      </c>
      <c r="X38" s="136">
        <f t="shared" si="10"/>
        <v>3.1990004421578434E-2</v>
      </c>
      <c r="AA38" s="239" t="s">
        <v>358</v>
      </c>
      <c r="AB38" s="1">
        <f>SUMIF(C$8:C$1048576,"Onion Chicky Burger Menü",D$8:D$1048576)</f>
        <v>5</v>
      </c>
      <c r="AC38" s="5">
        <f>SUMIF(C:C,"Onion Chicky Burger Menü",H:H)</f>
        <v>1939.52</v>
      </c>
      <c r="AD38" s="68">
        <f>SUMIF(C:C,"Onion Chicky Burger Menü",O:O)</f>
        <v>160.2525</v>
      </c>
      <c r="AE38" s="80">
        <f>AB38/AB65*100</f>
        <v>11.111111111111111</v>
      </c>
      <c r="AG38" s="281" t="s">
        <v>149</v>
      </c>
      <c r="AH38" s="282"/>
      <c r="AI38" s="233" t="s">
        <v>16</v>
      </c>
      <c r="AJ38" s="4" t="s">
        <v>150</v>
      </c>
      <c r="AK38" s="4" t="s">
        <v>151</v>
      </c>
    </row>
    <row r="39" spans="1:37" ht="18.75" x14ac:dyDescent="0.25">
      <c r="A39" s="164">
        <v>45812</v>
      </c>
      <c r="B39" s="164" t="s">
        <v>108</v>
      </c>
      <c r="C39" t="s">
        <v>7</v>
      </c>
      <c r="D39">
        <v>1</v>
      </c>
      <c r="E39">
        <v>100</v>
      </c>
      <c r="F39" t="s">
        <v>314</v>
      </c>
      <c r="G39">
        <v>399.6</v>
      </c>
      <c r="H39">
        <v>399.6</v>
      </c>
      <c r="I39" s="153">
        <f t="shared" si="0"/>
        <v>0</v>
      </c>
      <c r="J39" s="5">
        <f t="shared" si="1"/>
        <v>123.24444444444444</v>
      </c>
      <c r="K39" s="5">
        <f t="shared" si="2"/>
        <v>97.686645636172443</v>
      </c>
      <c r="L39" s="5">
        <f t="shared" si="3"/>
        <v>0</v>
      </c>
      <c r="M39" s="5">
        <f t="shared" si="4"/>
        <v>0</v>
      </c>
      <c r="N39" s="5">
        <f t="shared" si="5"/>
        <v>25.744700315457415</v>
      </c>
      <c r="O39" s="138">
        <f t="shared" si="6"/>
        <v>0</v>
      </c>
      <c r="P39" s="148" cm="1">
        <f t="array" ref="P39">_xlfn.XLOOKUP(C39,'Ürün Maliyeti1'!$I$162:$I$190,_xlfn.XLOOKUP(data!E39,'Ürün Maliyeti1'!$J$161:$O$161,'Ürün Maliyeti1'!$J$162:$O$190))</f>
        <v>123.24444444444444</v>
      </c>
      <c r="Q39" s="138">
        <f>IF(B39="burger",'Genel Gider'!$I$19,"₺ 0")</f>
        <v>97.686645636172443</v>
      </c>
      <c r="R39" s="138">
        <v>0</v>
      </c>
      <c r="S39" s="138">
        <v>0</v>
      </c>
      <c r="T39" s="138">
        <f>IF(B39="burger",'günlük genel gider maliyeti'!$H$10,"₺ 0")</f>
        <v>25.744700315457415</v>
      </c>
      <c r="U39" s="141">
        <f t="shared" si="7"/>
        <v>246.67579039607429</v>
      </c>
      <c r="V39" s="5">
        <f t="shared" si="8"/>
        <v>152.92420960392573</v>
      </c>
      <c r="W39" s="105">
        <f t="shared" si="9"/>
        <v>152.92420960392573</v>
      </c>
      <c r="X39" s="136">
        <f t="shared" si="10"/>
        <v>0.38269321722704136</v>
      </c>
      <c r="AA39" s="239" t="s">
        <v>359</v>
      </c>
      <c r="AB39" s="1">
        <f>SUMIF(C$8:C$1048576,"Burning Chicky Burger Menü",D$8:D$1048576)</f>
        <v>6</v>
      </c>
      <c r="AC39" s="5">
        <f>SUMIF(C:C,"Burning Chicky Burger Menü",H:H)</f>
        <v>2479.4</v>
      </c>
      <c r="AD39" s="68">
        <f>SUMIF(C:C,"Burning Chicky Burger Menü",O:O)</f>
        <v>127.86059999999998</v>
      </c>
      <c r="AE39" s="80">
        <f>AB39/AB66*100</f>
        <v>1.4634146341463417</v>
      </c>
      <c r="AG39" s="4" t="s">
        <v>312</v>
      </c>
      <c r="AH39" s="5">
        <f>SUMIF(F$8:F$126,"Migros Yemek",H$8:H$126)</f>
        <v>910.32</v>
      </c>
      <c r="AI39" s="158">
        <f>SUMIF(F$8:F$135,"Migros Yemek",D$8:D$135)</f>
        <v>2</v>
      </c>
      <c r="AJ39" s="237">
        <f ca="1">AH39/AH45</f>
        <v>6.6834364398821828E-3</v>
      </c>
      <c r="AK39" s="5">
        <f>SUMIF(F$9:F$1048576,"Migros Yemek",I$9:I$1048576)</f>
        <v>117.43128000000002</v>
      </c>
    </row>
    <row r="40" spans="1:37" ht="19.5" thickBot="1" x14ac:dyDescent="0.3">
      <c r="A40" s="164">
        <v>45812</v>
      </c>
      <c r="B40" s="164" t="s">
        <v>108</v>
      </c>
      <c r="C40" t="s">
        <v>7</v>
      </c>
      <c r="D40">
        <v>15</v>
      </c>
      <c r="E40">
        <v>100</v>
      </c>
      <c r="F40" t="s">
        <v>365</v>
      </c>
      <c r="G40">
        <v>399.6</v>
      </c>
      <c r="H40">
        <v>5978</v>
      </c>
      <c r="I40" s="153">
        <f t="shared" ref="I40:I71" si="17">O40*D40</f>
        <v>0</v>
      </c>
      <c r="J40" s="5">
        <f t="shared" ref="J40:J71" si="18">P40*D40</f>
        <v>1848.6666666666665</v>
      </c>
      <c r="K40" s="5">
        <f t="shared" ref="K40:K71" si="19">Q40*D40</f>
        <v>1465.2996845425866</v>
      </c>
      <c r="L40" s="5">
        <f t="shared" ref="L40:L71" si="20">R40*D40</f>
        <v>1305.4945054945058</v>
      </c>
      <c r="M40" s="5">
        <f t="shared" ref="M40:M71" si="21">S40*D40</f>
        <v>232.5</v>
      </c>
      <c r="N40" s="5">
        <f t="shared" ref="N40:N71" si="22">T40*D40</f>
        <v>386.17050473186123</v>
      </c>
      <c r="O40" s="138">
        <f t="shared" ref="O40:O71" si="23">IF(F40="Restoran Satış",0,IF(F40="Getir Yemek",H40*0.129,IF(F40="Migros Yemek",H40*0.129,IF(F40="Yemek Sepeti",H40*0.147,IF(F40="Trendyol",H40*0.09)))))/D40</f>
        <v>0</v>
      </c>
      <c r="P40" s="148" cm="1">
        <f t="array" ref="P40">_xlfn.XLOOKUP(C40,'Ürün Maliyeti1'!$I$162:$I$190,_xlfn.XLOOKUP(data!E40,'Ürün Maliyeti1'!$J$161:$O$161,'Ürün Maliyeti1'!$J$162:$O$190))</f>
        <v>123.24444444444444</v>
      </c>
      <c r="Q40" s="138">
        <f>IF(B40="burger",'Genel Gider'!$I$19,"₺ 0")</f>
        <v>97.686645636172443</v>
      </c>
      <c r="R40" s="138">
        <f>IF(B40="burger",'servis maliyeti'!$H$7,"₺ 0")</f>
        <v>87.032967032967051</v>
      </c>
      <c r="S40" s="138">
        <f>IF(B40="burger",'paketleme maliyeti'!$F$9,"₺ 0")</f>
        <v>15.5</v>
      </c>
      <c r="T40" s="138">
        <f>IF(B40="burger",'günlük genel gider maliyeti'!$H$10,"₺ 0")</f>
        <v>25.744700315457415</v>
      </c>
      <c r="U40" s="141">
        <f t="shared" ref="U40:U71" si="24">SUM(O40:T40)*D40</f>
        <v>5238.1313614356195</v>
      </c>
      <c r="V40" s="5">
        <f t="shared" ref="V40:V72" si="25">H40-U40</f>
        <v>739.86863856438049</v>
      </c>
      <c r="W40" s="105">
        <f t="shared" ref="W40:W71" si="26">V40/D40</f>
        <v>49.324575904292033</v>
      </c>
      <c r="X40" s="136">
        <f t="shared" ref="X40:X71" si="27">(G40-(U40/D40))/G40</f>
        <v>0.12610421063803476</v>
      </c>
      <c r="AA40" s="240" t="s">
        <v>357</v>
      </c>
      <c r="AB40" s="11">
        <f>SUMIF(C$8:C$1048576,"Chili Chicky Burger Menü",D$8:D$1048576)</f>
        <v>4</v>
      </c>
      <c r="AC40" s="14">
        <f>SUMIF(C:C,"Chili Chicky Burger Menü",H:H)</f>
        <v>1724.45</v>
      </c>
      <c r="AD40" s="73">
        <f>SUMIF(C:C,"Chili Chicky Burger Menü",O:O)</f>
        <v>121.18859999999999</v>
      </c>
      <c r="AE40" s="236">
        <v>0</v>
      </c>
      <c r="AG40" s="4" t="s">
        <v>139</v>
      </c>
      <c r="AH40" s="5">
        <f>SUMIF(F$8:F$126,"Trendyol",H$8:H$126)</f>
        <v>30959.360000000001</v>
      </c>
      <c r="AI40" s="158">
        <f>SUMIF(F$8:F$135,"Trendyol",D$8:D$135)</f>
        <v>73</v>
      </c>
      <c r="AJ40" s="237">
        <f ca="1">AH40/AH45</f>
        <v>0.22729909787704417</v>
      </c>
      <c r="AK40" s="5">
        <f>SUMIF(F$9:F$1048576,"Trendyol",I$9:I$1048576)</f>
        <v>3402.2420999999999</v>
      </c>
    </row>
    <row r="41" spans="1:37" ht="18.75" x14ac:dyDescent="0.25">
      <c r="A41" s="164">
        <v>45812</v>
      </c>
      <c r="B41" s="164" t="s">
        <v>108</v>
      </c>
      <c r="C41" t="s">
        <v>7</v>
      </c>
      <c r="D41">
        <v>14</v>
      </c>
      <c r="E41">
        <v>100</v>
      </c>
      <c r="F41" t="s">
        <v>314</v>
      </c>
      <c r="G41">
        <v>399.6</v>
      </c>
      <c r="H41">
        <v>5584.4</v>
      </c>
      <c r="I41" s="153">
        <f t="shared" si="17"/>
        <v>0</v>
      </c>
      <c r="J41" s="5">
        <f t="shared" si="18"/>
        <v>1725.4222222222222</v>
      </c>
      <c r="K41" s="5">
        <f t="shared" si="19"/>
        <v>1367.6130389064142</v>
      </c>
      <c r="L41" s="5">
        <f t="shared" si="20"/>
        <v>0</v>
      </c>
      <c r="M41" s="5">
        <f t="shared" si="21"/>
        <v>0</v>
      </c>
      <c r="N41" s="5">
        <f t="shared" si="22"/>
        <v>360.42580441640382</v>
      </c>
      <c r="O41" s="138">
        <f t="shared" si="23"/>
        <v>0</v>
      </c>
      <c r="P41" s="148" cm="1">
        <f t="array" ref="P41">_xlfn.XLOOKUP(C41,'Ürün Maliyeti1'!$I$162:$I$190,_xlfn.XLOOKUP(data!E41,'Ürün Maliyeti1'!$J$161:$O$161,'Ürün Maliyeti1'!$J$162:$O$190))</f>
        <v>123.24444444444444</v>
      </c>
      <c r="Q41" s="138">
        <f>IF(B41="burger",'Genel Gider'!$I$19,"₺ 0")</f>
        <v>97.686645636172443</v>
      </c>
      <c r="R41" s="138">
        <v>0</v>
      </c>
      <c r="S41" s="138">
        <v>0</v>
      </c>
      <c r="T41" s="138">
        <f>IF(B41="burger",'günlük genel gider maliyeti'!$H$10,"₺ 0")</f>
        <v>25.744700315457415</v>
      </c>
      <c r="U41" s="141">
        <f t="shared" si="24"/>
        <v>3453.4610655450401</v>
      </c>
      <c r="V41" s="5">
        <f t="shared" si="25"/>
        <v>2130.9389344549595</v>
      </c>
      <c r="W41" s="105">
        <f t="shared" si="26"/>
        <v>152.20992388963995</v>
      </c>
      <c r="X41" s="136">
        <f t="shared" si="27"/>
        <v>0.38269321722704136</v>
      </c>
      <c r="AE41" s="66">
        <f>AB45/AB62*100</f>
        <v>100</v>
      </c>
      <c r="AG41" s="4" t="s">
        <v>140</v>
      </c>
      <c r="AH41" s="5">
        <f>SUMIF(F$8:F$126,"Yemek sepeti",H$8:H$126)</f>
        <v>50711.100000000013</v>
      </c>
      <c r="AI41" s="158">
        <f>SUMIF(F$8:F$135,"Yemek Sepeti",D$8:D$135)</f>
        <v>171</v>
      </c>
      <c r="AJ41" s="237">
        <f ca="1">AH41/AH45</f>
        <v>0.3723134871764977</v>
      </c>
      <c r="AK41" s="5">
        <f>SUMIF(F$9:F$1048576,"Yemek sepeti",I$9:I$1048576)</f>
        <v>10797.252899999998</v>
      </c>
    </row>
    <row r="42" spans="1:37" ht="18.75" x14ac:dyDescent="0.25">
      <c r="A42" s="164">
        <v>45812</v>
      </c>
      <c r="B42" s="164" t="s">
        <v>108</v>
      </c>
      <c r="C42" t="s">
        <v>6</v>
      </c>
      <c r="D42">
        <v>1</v>
      </c>
      <c r="E42">
        <v>100</v>
      </c>
      <c r="F42" t="s">
        <v>365</v>
      </c>
      <c r="G42">
        <v>399.9</v>
      </c>
      <c r="H42">
        <v>399.9</v>
      </c>
      <c r="I42" s="153">
        <f t="shared" si="17"/>
        <v>0</v>
      </c>
      <c r="J42" s="5">
        <f t="shared" si="18"/>
        <v>124.74444444444444</v>
      </c>
      <c r="K42" s="5">
        <f t="shared" si="19"/>
        <v>97.686645636172443</v>
      </c>
      <c r="L42" s="5">
        <f t="shared" si="20"/>
        <v>87.032967032967051</v>
      </c>
      <c r="M42" s="5">
        <f t="shared" si="21"/>
        <v>15.5</v>
      </c>
      <c r="N42" s="5">
        <f t="shared" si="22"/>
        <v>25.744700315457415</v>
      </c>
      <c r="O42" s="138">
        <f t="shared" si="23"/>
        <v>0</v>
      </c>
      <c r="P42" s="148" cm="1">
        <f t="array" ref="P42">_xlfn.XLOOKUP(C42,'Ürün Maliyeti1'!$I$162:$I$190,_xlfn.XLOOKUP(data!E42,'Ürün Maliyeti1'!$J$161:$O$161,'Ürün Maliyeti1'!$J$162:$O$190))</f>
        <v>124.74444444444444</v>
      </c>
      <c r="Q42" s="138">
        <f>IF(B42="burger",'Genel Gider'!$I$19,"₺ 0")</f>
        <v>97.686645636172443</v>
      </c>
      <c r="R42" s="138">
        <f>IF(B42="burger",'servis maliyeti'!$H$7,"₺ 0")</f>
        <v>87.032967032967051</v>
      </c>
      <c r="S42" s="138">
        <f>IF(B42="burger",'paketleme maliyeti'!$F$9,"₺ 0")</f>
        <v>15.5</v>
      </c>
      <c r="T42" s="138">
        <f>IF(B42="burger",'günlük genel gider maliyeti'!$H$10,"₺ 0")</f>
        <v>25.744700315457415</v>
      </c>
      <c r="U42" s="141">
        <f t="shared" si="24"/>
        <v>350.70875742904133</v>
      </c>
      <c r="V42" s="5">
        <f t="shared" si="25"/>
        <v>49.19124257095865</v>
      </c>
      <c r="W42" s="105">
        <f t="shared" si="26"/>
        <v>49.19124257095865</v>
      </c>
      <c r="X42" s="136">
        <f t="shared" si="27"/>
        <v>0.12300885864205714</v>
      </c>
      <c r="AA42" s="234"/>
      <c r="AG42" s="4" t="s">
        <v>99</v>
      </c>
      <c r="AH42" s="5">
        <f>SUMIF(F$8:F$126,"Getir yemek",H$8:H$126)</f>
        <v>17689.900000000001</v>
      </c>
      <c r="AI42" s="158">
        <f>SUMIF(F$8:F$135,"Getir Yemek",D$8:D$135)</f>
        <v>46</v>
      </c>
      <c r="AJ42" s="237">
        <f ca="1">AH42/AH45</f>
        <v>0.12987666125963598</v>
      </c>
      <c r="AK42" s="5">
        <f>SUMIF(F$8:F$1048576,"Getir yemek",I$8:I$1048576)</f>
        <v>3054.2040000000002</v>
      </c>
    </row>
    <row r="43" spans="1:37" ht="18.75" x14ac:dyDescent="0.25">
      <c r="A43" s="164">
        <v>45812</v>
      </c>
      <c r="B43" s="164" t="s">
        <v>108</v>
      </c>
      <c r="C43" t="s">
        <v>6</v>
      </c>
      <c r="D43">
        <v>1</v>
      </c>
      <c r="E43">
        <v>100</v>
      </c>
      <c r="F43" t="s">
        <v>314</v>
      </c>
      <c r="G43">
        <v>399.9</v>
      </c>
      <c r="H43">
        <v>393.9</v>
      </c>
      <c r="I43" s="153">
        <f t="shared" si="17"/>
        <v>0</v>
      </c>
      <c r="J43" s="5">
        <f t="shared" si="18"/>
        <v>124.74444444444444</v>
      </c>
      <c r="K43" s="5">
        <f t="shared" si="19"/>
        <v>97.686645636172443</v>
      </c>
      <c r="L43" s="5">
        <f t="shared" si="20"/>
        <v>0</v>
      </c>
      <c r="M43" s="5">
        <f t="shared" si="21"/>
        <v>0</v>
      </c>
      <c r="N43" s="5">
        <f t="shared" si="22"/>
        <v>25.744700315457415</v>
      </c>
      <c r="O43" s="138">
        <f t="shared" si="23"/>
        <v>0</v>
      </c>
      <c r="P43" s="148" cm="1">
        <f t="array" ref="P43">_xlfn.XLOOKUP(C43,'Ürün Maliyeti1'!$I$162:$I$190,_xlfn.XLOOKUP(data!E43,'Ürün Maliyeti1'!$J$161:$O$161,'Ürün Maliyeti1'!$J$162:$O$190))</f>
        <v>124.74444444444444</v>
      </c>
      <c r="Q43" s="138">
        <f>IF(B43="burger",'Genel Gider'!$I$19,"₺ 0")</f>
        <v>97.686645636172443</v>
      </c>
      <c r="R43" s="138">
        <v>0</v>
      </c>
      <c r="S43" s="138">
        <v>0</v>
      </c>
      <c r="T43" s="138">
        <f>IF(B43="burger",'günlük genel gider maliyeti'!$H$10,"₺ 0")</f>
        <v>25.744700315457415</v>
      </c>
      <c r="U43" s="141">
        <f t="shared" si="24"/>
        <v>248.17579039607429</v>
      </c>
      <c r="V43" s="5">
        <f t="shared" si="25"/>
        <v>145.72420960392569</v>
      </c>
      <c r="W43" s="105">
        <f t="shared" si="26"/>
        <v>145.72420960392569</v>
      </c>
      <c r="X43" s="136">
        <f t="shared" si="27"/>
        <v>0.37940537535365265</v>
      </c>
      <c r="AA43" s="234"/>
      <c r="AG43" s="4" t="s">
        <v>148</v>
      </c>
      <c r="AH43" s="5">
        <f ca="1">SUMIF(F$8:F$135,"Restoran Satış",H$8:H$126)</f>
        <v>17960.5</v>
      </c>
      <c r="AI43" s="158">
        <f>SUMIF(F$8:F$135,"Restoran Satış",D$8:D$135)</f>
        <v>44</v>
      </c>
      <c r="AJ43" s="237">
        <f ca="1">AH43/AH45</f>
        <v>0.1318633669242727</v>
      </c>
      <c r="AK43" s="5">
        <f>SUMIF(F$8:F$1048576,"Restoran Satış",I$8:I$1048576)</f>
        <v>0</v>
      </c>
    </row>
    <row r="44" spans="1:37" ht="18.75" x14ac:dyDescent="0.25">
      <c r="A44" s="164">
        <v>45812</v>
      </c>
      <c r="B44" s="164" t="s">
        <v>108</v>
      </c>
      <c r="C44" t="s">
        <v>10</v>
      </c>
      <c r="D44">
        <v>1</v>
      </c>
      <c r="E44">
        <v>100</v>
      </c>
      <c r="F44" t="s">
        <v>314</v>
      </c>
      <c r="G44">
        <v>419</v>
      </c>
      <c r="H44">
        <v>419</v>
      </c>
      <c r="I44" s="153">
        <f t="shared" si="17"/>
        <v>0</v>
      </c>
      <c r="J44" s="5">
        <f t="shared" si="18"/>
        <v>123.24444444444444</v>
      </c>
      <c r="K44" s="5">
        <f t="shared" si="19"/>
        <v>97.686645636172443</v>
      </c>
      <c r="L44" s="5">
        <f t="shared" si="20"/>
        <v>0</v>
      </c>
      <c r="M44" s="5">
        <f t="shared" si="21"/>
        <v>0</v>
      </c>
      <c r="N44" s="5">
        <f t="shared" si="22"/>
        <v>25.744700315457415</v>
      </c>
      <c r="O44" s="138">
        <f t="shared" si="23"/>
        <v>0</v>
      </c>
      <c r="P44" s="148" cm="1">
        <f t="array" ref="P44">_xlfn.XLOOKUP(C44,'Ürün Maliyeti1'!$I$162:$I$190,_xlfn.XLOOKUP(data!E44,'Ürün Maliyeti1'!$J$161:$O$161,'Ürün Maliyeti1'!$J$162:$O$190))</f>
        <v>123.24444444444444</v>
      </c>
      <c r="Q44" s="138">
        <f>IF(B44="burger",'Genel Gider'!$I$19,"₺ 0")</f>
        <v>97.686645636172443</v>
      </c>
      <c r="R44" s="138">
        <v>0</v>
      </c>
      <c r="S44" s="138">
        <v>0</v>
      </c>
      <c r="T44" s="138">
        <f>IF(B44="burger",'günlük genel gider maliyeti'!$H$10,"₺ 0")</f>
        <v>25.744700315457415</v>
      </c>
      <c r="U44" s="141">
        <f t="shared" si="24"/>
        <v>246.67579039607429</v>
      </c>
      <c r="V44" s="5">
        <f t="shared" si="25"/>
        <v>172.32420960392571</v>
      </c>
      <c r="W44" s="105">
        <f t="shared" si="26"/>
        <v>172.32420960392571</v>
      </c>
      <c r="X44" s="136">
        <f t="shared" si="27"/>
        <v>0.41127496325519264</v>
      </c>
      <c r="AA44" s="234"/>
      <c r="AG44" s="235" t="s">
        <v>365</v>
      </c>
      <c r="AH44" s="5">
        <f ca="1">SUMIF(F$8:F$135,"Paket Sipariş",H$8:H$126)</f>
        <v>17974.2</v>
      </c>
      <c r="AI44" s="158">
        <f>SUMIF(F$8:F$135,"Paket Sipariş",D$8:D$135)</f>
        <v>45</v>
      </c>
      <c r="AJ44" s="237">
        <f ca="1">AH44/AH45</f>
        <v>0.13196395032266711</v>
      </c>
      <c r="AK44" s="5">
        <f>SUMIF(F$8:F$1048576,"Paket Sipariş",I$8:I$1048576)</f>
        <v>0</v>
      </c>
    </row>
    <row r="45" spans="1:37" ht="19.5" thickBot="1" x14ac:dyDescent="0.3">
      <c r="A45" s="164">
        <v>45812</v>
      </c>
      <c r="B45" s="164" t="s">
        <v>108</v>
      </c>
      <c r="C45" t="s">
        <v>135</v>
      </c>
      <c r="D45">
        <v>2</v>
      </c>
      <c r="E45">
        <v>100</v>
      </c>
      <c r="F45" t="s">
        <v>314</v>
      </c>
      <c r="G45">
        <v>419</v>
      </c>
      <c r="H45">
        <v>838</v>
      </c>
      <c r="I45" s="153">
        <f t="shared" si="17"/>
        <v>0</v>
      </c>
      <c r="J45" s="5">
        <f t="shared" si="18"/>
        <v>263.48888888888888</v>
      </c>
      <c r="K45" s="5">
        <f t="shared" si="19"/>
        <v>195.37329127234489</v>
      </c>
      <c r="L45" s="5">
        <f t="shared" si="20"/>
        <v>0</v>
      </c>
      <c r="M45" s="5">
        <f t="shared" si="21"/>
        <v>0</v>
      </c>
      <c r="N45" s="5">
        <f t="shared" si="22"/>
        <v>51.48940063091483</v>
      </c>
      <c r="O45" s="138">
        <f t="shared" si="23"/>
        <v>0</v>
      </c>
      <c r="P45" s="148" cm="1">
        <f t="array" ref="P45">_xlfn.XLOOKUP(C45,'Ürün Maliyeti1'!$I$162:$I$190,_xlfn.XLOOKUP(data!E45,'Ürün Maliyeti1'!$J$161:$O$161,'Ürün Maliyeti1'!$J$162:$O$190))</f>
        <v>131.74444444444444</v>
      </c>
      <c r="Q45" s="138">
        <f>IF(B45="burger",'Genel Gider'!$I$19,"₺ 0")</f>
        <v>97.686645636172443</v>
      </c>
      <c r="R45" s="138">
        <v>0</v>
      </c>
      <c r="S45" s="138">
        <v>0</v>
      </c>
      <c r="T45" s="138">
        <f>IF(B45="burger",'günlük genel gider maliyeti'!$H$10,"₺ 0")</f>
        <v>25.744700315457415</v>
      </c>
      <c r="U45" s="141">
        <f t="shared" si="24"/>
        <v>510.35158079214858</v>
      </c>
      <c r="V45" s="5">
        <f t="shared" si="25"/>
        <v>327.64841920785142</v>
      </c>
      <c r="W45" s="105">
        <f t="shared" si="26"/>
        <v>163.82420960392571</v>
      </c>
      <c r="X45" s="136">
        <f t="shared" si="27"/>
        <v>0.39098856707380836</v>
      </c>
      <c r="AA45" s="234" t="s">
        <v>373</v>
      </c>
      <c r="AB45" s="11">
        <f>SUM(AB27:AB44)</f>
        <v>317</v>
      </c>
      <c r="AG45" s="4" t="s">
        <v>313</v>
      </c>
      <c r="AH45" s="68">
        <f ca="1">SUM(AH39:AH44)</f>
        <v>136205.38000000003</v>
      </c>
      <c r="AI45" s="68">
        <f>SUM(AI39:AI44)</f>
        <v>381</v>
      </c>
      <c r="AJ45" s="237">
        <f ca="1">SUM(AJ39:AJ44)</f>
        <v>1</v>
      </c>
      <c r="AK45" s="5">
        <f>AK41+AK42+AK43+AK40+AK39+AK44</f>
        <v>17371.130279999998</v>
      </c>
    </row>
    <row r="46" spans="1:37" ht="18.75" x14ac:dyDescent="0.25">
      <c r="A46" s="164">
        <v>45812</v>
      </c>
      <c r="B46" s="164" t="s">
        <v>108</v>
      </c>
      <c r="C46" t="s">
        <v>357</v>
      </c>
      <c r="D46">
        <v>1</v>
      </c>
      <c r="E46">
        <v>100</v>
      </c>
      <c r="F46" t="s">
        <v>100</v>
      </c>
      <c r="G46">
        <v>419.9</v>
      </c>
      <c r="H46">
        <v>419.9</v>
      </c>
      <c r="I46" s="153">
        <f t="shared" si="17"/>
        <v>37.790999999999997</v>
      </c>
      <c r="J46" s="5">
        <f t="shared" si="18"/>
        <v>104.84444444444443</v>
      </c>
      <c r="K46" s="5">
        <f t="shared" si="19"/>
        <v>97.686645636172443</v>
      </c>
      <c r="L46" s="5">
        <f t="shared" si="20"/>
        <v>87.032967032967051</v>
      </c>
      <c r="M46" s="5">
        <f t="shared" si="21"/>
        <v>15.5</v>
      </c>
      <c r="N46" s="5">
        <f t="shared" si="22"/>
        <v>25.744700315457415</v>
      </c>
      <c r="O46" s="138">
        <f t="shared" si="23"/>
        <v>37.790999999999997</v>
      </c>
      <c r="P46" s="148" cm="1">
        <f t="array" ref="P46">_xlfn.XLOOKUP(C46,'Ürün Maliyeti1'!$I$162:$I$190,_xlfn.XLOOKUP(data!E46,'Ürün Maliyeti1'!$J$161:$O$161,'Ürün Maliyeti1'!$J$162:$O$190))</f>
        <v>104.84444444444443</v>
      </c>
      <c r="Q46" s="138">
        <f>IF(B46="burger",'Genel Gider'!$I$19,"₺ 0")</f>
        <v>97.686645636172443</v>
      </c>
      <c r="R46" s="138">
        <f>IF(B46="burger",'servis maliyeti'!$H$7,"₺ 0")</f>
        <v>87.032967032967051</v>
      </c>
      <c r="S46" s="138">
        <f>IF(B46="burger",'paketleme maliyeti'!$F$9,"₺ 0")</f>
        <v>15.5</v>
      </c>
      <c r="T46" s="138">
        <f>IF(B46="burger",'günlük genel gider maliyeti'!$H$10,"₺ 0")</f>
        <v>25.744700315457415</v>
      </c>
      <c r="U46" s="141">
        <f t="shared" si="24"/>
        <v>368.59975742904135</v>
      </c>
      <c r="V46" s="5">
        <f t="shared" si="25"/>
        <v>51.30024257095863</v>
      </c>
      <c r="W46" s="105">
        <f t="shared" si="26"/>
        <v>51.30024257095863</v>
      </c>
      <c r="X46" s="136">
        <f t="shared" si="27"/>
        <v>0.12217252338880361</v>
      </c>
      <c r="AA46" s="234"/>
    </row>
    <row r="47" spans="1:37" ht="18.75" x14ac:dyDescent="0.25">
      <c r="A47" s="164">
        <v>45812</v>
      </c>
      <c r="B47" s="164" t="s">
        <v>108</v>
      </c>
      <c r="C47" t="s">
        <v>356</v>
      </c>
      <c r="D47">
        <v>1</v>
      </c>
      <c r="E47">
        <v>100</v>
      </c>
      <c r="F47" t="s">
        <v>100</v>
      </c>
      <c r="G47">
        <v>419.9</v>
      </c>
      <c r="H47">
        <v>419.9</v>
      </c>
      <c r="I47" s="153">
        <f t="shared" si="17"/>
        <v>37.790999999999997</v>
      </c>
      <c r="J47" s="5">
        <f t="shared" si="18"/>
        <v>104.84444444444443</v>
      </c>
      <c r="K47" s="5">
        <f t="shared" si="19"/>
        <v>97.686645636172443</v>
      </c>
      <c r="L47" s="5">
        <f t="shared" si="20"/>
        <v>87.032967032967051</v>
      </c>
      <c r="M47" s="5">
        <f t="shared" si="21"/>
        <v>15.5</v>
      </c>
      <c r="N47" s="5">
        <f t="shared" si="22"/>
        <v>25.744700315457415</v>
      </c>
      <c r="O47" s="138">
        <f t="shared" si="23"/>
        <v>37.790999999999997</v>
      </c>
      <c r="P47" s="148" cm="1">
        <f t="array" ref="P47">_xlfn.XLOOKUP(C47,'Ürün Maliyeti1'!$I$162:$I$190,_xlfn.XLOOKUP(data!E47,'Ürün Maliyeti1'!$J$161:$O$161,'Ürün Maliyeti1'!$J$162:$O$190))</f>
        <v>104.84444444444443</v>
      </c>
      <c r="Q47" s="138">
        <f>IF(B47="burger",'Genel Gider'!$I$19,"₺ 0")</f>
        <v>97.686645636172443</v>
      </c>
      <c r="R47" s="138">
        <f>IF(B47="burger",'servis maliyeti'!$H$7,"₺ 0")</f>
        <v>87.032967032967051</v>
      </c>
      <c r="S47" s="138">
        <f>IF(B47="burger",'paketleme maliyeti'!$F$9,"₺ 0")</f>
        <v>15.5</v>
      </c>
      <c r="T47" s="138">
        <f>IF(B47="burger",'günlük genel gider maliyeti'!$H$10,"₺ 0")</f>
        <v>25.744700315457415</v>
      </c>
      <c r="U47" s="141">
        <f t="shared" si="24"/>
        <v>368.59975742904135</v>
      </c>
      <c r="V47" s="5">
        <f t="shared" si="25"/>
        <v>51.30024257095863</v>
      </c>
      <c r="W47" s="105">
        <f t="shared" si="26"/>
        <v>51.30024257095863</v>
      </c>
      <c r="X47" s="136">
        <f t="shared" si="27"/>
        <v>0.12217252338880361</v>
      </c>
      <c r="AA47" s="234"/>
      <c r="AH47" s="146"/>
      <c r="AI47" s="146"/>
    </row>
    <row r="48" spans="1:37" ht="18.75" x14ac:dyDescent="0.25">
      <c r="A48" s="164">
        <v>45812</v>
      </c>
      <c r="B48" s="164" t="s">
        <v>108</v>
      </c>
      <c r="C48" t="s">
        <v>359</v>
      </c>
      <c r="D48">
        <v>4</v>
      </c>
      <c r="E48">
        <v>100</v>
      </c>
      <c r="F48" t="s">
        <v>340</v>
      </c>
      <c r="G48">
        <v>419.9</v>
      </c>
      <c r="H48">
        <v>1679.6</v>
      </c>
      <c r="I48" s="153">
        <f t="shared" si="17"/>
        <v>246.90119999999996</v>
      </c>
      <c r="J48" s="5">
        <f t="shared" si="18"/>
        <v>427.37777777777774</v>
      </c>
      <c r="K48" s="5">
        <f t="shared" si="19"/>
        <v>390.74658254468977</v>
      </c>
      <c r="L48" s="5">
        <f t="shared" si="20"/>
        <v>348.1318681318682</v>
      </c>
      <c r="M48" s="5">
        <f t="shared" si="21"/>
        <v>62</v>
      </c>
      <c r="N48" s="5">
        <f t="shared" si="22"/>
        <v>102.97880126182966</v>
      </c>
      <c r="O48" s="138">
        <f t="shared" si="23"/>
        <v>61.72529999999999</v>
      </c>
      <c r="P48" s="148" cm="1">
        <f t="array" ref="P48">_xlfn.XLOOKUP(C48,'Ürün Maliyeti1'!$I$162:$I$190,_xlfn.XLOOKUP(data!E48,'Ürün Maliyeti1'!$J$161:$O$161,'Ürün Maliyeti1'!$J$162:$O$190))</f>
        <v>106.84444444444443</v>
      </c>
      <c r="Q48" s="138">
        <f>IF(B48="burger",'Genel Gider'!$I$19,"₺ 0")</f>
        <v>97.686645636172443</v>
      </c>
      <c r="R48" s="138">
        <f>IF(B48="burger",'servis maliyeti'!$H$7,"₺ 0")</f>
        <v>87.032967032967051</v>
      </c>
      <c r="S48" s="138">
        <f>IF(B48="burger",'paketleme maliyeti'!$F$9,"₺ 0")</f>
        <v>15.5</v>
      </c>
      <c r="T48" s="138">
        <f>IF(B48="burger",'günlük genel gider maliyeti'!$H$10,"₺ 0")</f>
        <v>25.744700315457415</v>
      </c>
      <c r="U48" s="141">
        <f t="shared" si="24"/>
        <v>1578.1362297161654</v>
      </c>
      <c r="V48" s="5">
        <f t="shared" si="25"/>
        <v>101.46377028383449</v>
      </c>
      <c r="W48" s="105">
        <f t="shared" si="26"/>
        <v>25.365942570958623</v>
      </c>
      <c r="X48" s="136">
        <f t="shared" si="27"/>
        <v>6.0409484570037211E-2</v>
      </c>
      <c r="AA48" s="234"/>
    </row>
    <row r="49" spans="1:38" ht="18.75" x14ac:dyDescent="0.25">
      <c r="A49" s="164">
        <v>45812</v>
      </c>
      <c r="B49" s="164" t="s">
        <v>108</v>
      </c>
      <c r="C49" t="s">
        <v>358</v>
      </c>
      <c r="D49">
        <v>1</v>
      </c>
      <c r="E49">
        <v>100</v>
      </c>
      <c r="F49" t="s">
        <v>340</v>
      </c>
      <c r="G49">
        <v>419.9</v>
      </c>
      <c r="H49">
        <v>419.9</v>
      </c>
      <c r="I49" s="153">
        <f t="shared" si="17"/>
        <v>61.72529999999999</v>
      </c>
      <c r="J49" s="5">
        <f t="shared" si="18"/>
        <v>98.844444444444434</v>
      </c>
      <c r="K49" s="5">
        <f t="shared" si="19"/>
        <v>97.686645636172443</v>
      </c>
      <c r="L49" s="5">
        <f t="shared" si="20"/>
        <v>87.032967032967051</v>
      </c>
      <c r="M49" s="5">
        <f t="shared" si="21"/>
        <v>15.5</v>
      </c>
      <c r="N49" s="5">
        <f t="shared" si="22"/>
        <v>25.744700315457415</v>
      </c>
      <c r="O49" s="138">
        <f t="shared" si="23"/>
        <v>61.72529999999999</v>
      </c>
      <c r="P49" s="148" cm="1">
        <f t="array" ref="P49">_xlfn.XLOOKUP(C49,'Ürün Maliyeti1'!$I$162:$I$190,_xlfn.XLOOKUP(data!E49,'Ürün Maliyeti1'!$J$161:$O$161,'Ürün Maliyeti1'!$J$162:$O$190))</f>
        <v>98.844444444444434</v>
      </c>
      <c r="Q49" s="138">
        <f>IF(B49="burger",'Genel Gider'!$I$19,"₺ 0")</f>
        <v>97.686645636172443</v>
      </c>
      <c r="R49" s="138">
        <f>IF(B49="burger",'servis maliyeti'!$H$7,"₺ 0")</f>
        <v>87.032967032967051</v>
      </c>
      <c r="S49" s="138">
        <f>IF(B49="burger",'paketleme maliyeti'!$F$9,"₺ 0")</f>
        <v>15.5</v>
      </c>
      <c r="T49" s="138">
        <f>IF(B49="burger",'günlük genel gider maliyeti'!$H$10,"₺ 0")</f>
        <v>25.744700315457415</v>
      </c>
      <c r="U49" s="141">
        <f t="shared" si="24"/>
        <v>386.53405742904135</v>
      </c>
      <c r="V49" s="5">
        <f t="shared" si="25"/>
        <v>33.365942570958623</v>
      </c>
      <c r="W49" s="105">
        <f t="shared" si="26"/>
        <v>33.365942570958623</v>
      </c>
      <c r="X49" s="136">
        <f t="shared" si="27"/>
        <v>7.9461639845102697E-2</v>
      </c>
      <c r="AA49" s="234"/>
    </row>
    <row r="50" spans="1:38" ht="18.75" x14ac:dyDescent="0.25">
      <c r="A50" s="164">
        <v>45812</v>
      </c>
      <c r="B50" s="164" t="s">
        <v>108</v>
      </c>
      <c r="C50" t="s">
        <v>355</v>
      </c>
      <c r="D50">
        <v>1</v>
      </c>
      <c r="E50">
        <v>100</v>
      </c>
      <c r="F50" t="s">
        <v>340</v>
      </c>
      <c r="G50">
        <v>419.9</v>
      </c>
      <c r="H50">
        <v>419.9</v>
      </c>
      <c r="I50" s="153">
        <f t="shared" si="17"/>
        <v>61.72529999999999</v>
      </c>
      <c r="J50" s="5">
        <f t="shared" si="18"/>
        <v>105.84444444444443</v>
      </c>
      <c r="K50" s="5">
        <f t="shared" si="19"/>
        <v>97.686645636172443</v>
      </c>
      <c r="L50" s="5">
        <f t="shared" si="20"/>
        <v>87.032967032967051</v>
      </c>
      <c r="M50" s="5">
        <f t="shared" si="21"/>
        <v>15.5</v>
      </c>
      <c r="N50" s="5">
        <f t="shared" si="22"/>
        <v>25.744700315457415</v>
      </c>
      <c r="O50" s="138">
        <f t="shared" si="23"/>
        <v>61.72529999999999</v>
      </c>
      <c r="P50" s="148" cm="1">
        <f t="array" ref="P50">_xlfn.XLOOKUP(C50,'Ürün Maliyeti1'!$I$162:$I$190,_xlfn.XLOOKUP(data!E50,'Ürün Maliyeti1'!$J$161:$O$161,'Ürün Maliyeti1'!$J$162:$O$190))</f>
        <v>105.84444444444443</v>
      </c>
      <c r="Q50" s="138">
        <f>IF(B50="burger",'Genel Gider'!$I$19,"₺ 0")</f>
        <v>97.686645636172443</v>
      </c>
      <c r="R50" s="138">
        <f>IF(B50="burger",'servis maliyeti'!$H$7,"₺ 0")</f>
        <v>87.032967032967051</v>
      </c>
      <c r="S50" s="138">
        <f>IF(B50="burger",'paketleme maliyeti'!$F$9,"₺ 0")</f>
        <v>15.5</v>
      </c>
      <c r="T50" s="138">
        <f>IF(B50="burger",'günlük genel gider maliyeti'!$H$10,"₺ 0")</f>
        <v>25.744700315457415</v>
      </c>
      <c r="U50" s="141">
        <f t="shared" si="24"/>
        <v>393.53405742904135</v>
      </c>
      <c r="V50" s="5">
        <f t="shared" si="25"/>
        <v>26.365942570958623</v>
      </c>
      <c r="W50" s="105">
        <f t="shared" si="26"/>
        <v>26.365942570958623</v>
      </c>
      <c r="X50" s="136">
        <f t="shared" si="27"/>
        <v>6.279100397942039E-2</v>
      </c>
    </row>
    <row r="51" spans="1:38" ht="18.75" x14ac:dyDescent="0.25">
      <c r="A51" s="164">
        <v>45812</v>
      </c>
      <c r="B51" s="164" t="s">
        <v>108</v>
      </c>
      <c r="C51" t="s">
        <v>10</v>
      </c>
      <c r="D51">
        <v>1</v>
      </c>
      <c r="E51">
        <v>100</v>
      </c>
      <c r="F51" t="s">
        <v>365</v>
      </c>
      <c r="G51">
        <v>419.9</v>
      </c>
      <c r="H51">
        <v>419.9</v>
      </c>
      <c r="I51" s="153">
        <f t="shared" si="17"/>
        <v>0</v>
      </c>
      <c r="J51" s="5">
        <f t="shared" si="18"/>
        <v>123.24444444444444</v>
      </c>
      <c r="K51" s="5">
        <f t="shared" si="19"/>
        <v>97.686645636172443</v>
      </c>
      <c r="L51" s="5">
        <f t="shared" si="20"/>
        <v>87.032967032967051</v>
      </c>
      <c r="M51" s="5">
        <f t="shared" si="21"/>
        <v>15.5</v>
      </c>
      <c r="N51" s="5">
        <f t="shared" si="22"/>
        <v>25.744700315457415</v>
      </c>
      <c r="O51" s="138">
        <f t="shared" si="23"/>
        <v>0</v>
      </c>
      <c r="P51" s="148" cm="1">
        <f t="array" ref="P51">_xlfn.XLOOKUP(C51,'Ürün Maliyeti1'!$I$162:$I$190,_xlfn.XLOOKUP(data!E51,'Ürün Maliyeti1'!$J$161:$O$161,'Ürün Maliyeti1'!$J$162:$O$190))</f>
        <v>123.24444444444444</v>
      </c>
      <c r="Q51" s="138">
        <f>IF(B51="burger",'Genel Gider'!$I$19,"₺ 0")</f>
        <v>97.686645636172443</v>
      </c>
      <c r="R51" s="138">
        <f>IF(B51="burger",'servis maliyeti'!$H$7,"₺ 0")</f>
        <v>87.032967032967051</v>
      </c>
      <c r="S51" s="138">
        <f>IF(B51="burger",'paketleme maliyeti'!$F$9,"₺ 0")</f>
        <v>15.5</v>
      </c>
      <c r="T51" s="138">
        <f>IF(B51="burger",'günlük genel gider maliyeti'!$H$10,"₺ 0")</f>
        <v>25.744700315457415</v>
      </c>
      <c r="U51" s="141">
        <f t="shared" si="24"/>
        <v>349.20875742904133</v>
      </c>
      <c r="V51" s="5">
        <f t="shared" si="25"/>
        <v>70.69124257095865</v>
      </c>
      <c r="W51" s="105">
        <f t="shared" si="26"/>
        <v>70.69124257095865</v>
      </c>
      <c r="X51" s="136">
        <f t="shared" si="27"/>
        <v>0.16835256625615302</v>
      </c>
    </row>
    <row r="52" spans="1:38" ht="19.5" thickBot="1" x14ac:dyDescent="0.3">
      <c r="A52" s="164">
        <v>45812</v>
      </c>
      <c r="B52" s="164" t="s">
        <v>108</v>
      </c>
      <c r="C52" t="s">
        <v>10</v>
      </c>
      <c r="D52">
        <v>1</v>
      </c>
      <c r="E52">
        <v>100</v>
      </c>
      <c r="F52" t="s">
        <v>314</v>
      </c>
      <c r="G52">
        <v>419.9</v>
      </c>
      <c r="H52">
        <v>419.9</v>
      </c>
      <c r="I52" s="153">
        <f t="shared" si="17"/>
        <v>0</v>
      </c>
      <c r="J52" s="5">
        <f t="shared" si="18"/>
        <v>123.24444444444444</v>
      </c>
      <c r="K52" s="5">
        <f t="shared" si="19"/>
        <v>97.686645636172443</v>
      </c>
      <c r="L52" s="5">
        <f t="shared" si="20"/>
        <v>0</v>
      </c>
      <c r="M52" s="5">
        <f t="shared" si="21"/>
        <v>0</v>
      </c>
      <c r="N52" s="5">
        <f t="shared" si="22"/>
        <v>25.744700315457415</v>
      </c>
      <c r="O52" s="138">
        <f t="shared" si="23"/>
        <v>0</v>
      </c>
      <c r="P52" s="148" cm="1">
        <f t="array" ref="P52">_xlfn.XLOOKUP(C52,'Ürün Maliyeti1'!$I$162:$I$190,_xlfn.XLOOKUP(data!E52,'Ürün Maliyeti1'!$J$161:$O$161,'Ürün Maliyeti1'!$J$162:$O$190))</f>
        <v>123.24444444444444</v>
      </c>
      <c r="Q52" s="138">
        <f>IF(B52="burger",'Genel Gider'!$I$19,"₺ 0")</f>
        <v>97.686645636172443</v>
      </c>
      <c r="R52" s="138">
        <v>0</v>
      </c>
      <c r="S52" s="138">
        <v>0</v>
      </c>
      <c r="T52" s="138">
        <f>IF(B52="burger",'günlük genel gider maliyeti'!$H$10,"₺ 0")</f>
        <v>25.744700315457415</v>
      </c>
      <c r="U52" s="141">
        <f t="shared" si="24"/>
        <v>246.67579039607429</v>
      </c>
      <c r="V52" s="5">
        <f t="shared" si="25"/>
        <v>173.22420960392569</v>
      </c>
      <c r="W52" s="105">
        <f t="shared" si="26"/>
        <v>173.22420960392569</v>
      </c>
      <c r="X52" s="136">
        <f t="shared" si="27"/>
        <v>0.41253681734681041</v>
      </c>
      <c r="AC52" s="3"/>
      <c r="AD52" s="2"/>
      <c r="AE52" s="2"/>
    </row>
    <row r="53" spans="1:38" ht="18.75" x14ac:dyDescent="0.25">
      <c r="A53" s="164">
        <v>45812</v>
      </c>
      <c r="B53" s="164" t="s">
        <v>108</v>
      </c>
      <c r="C53" t="s">
        <v>9</v>
      </c>
      <c r="D53">
        <v>2</v>
      </c>
      <c r="E53">
        <v>100</v>
      </c>
      <c r="F53" t="s">
        <v>365</v>
      </c>
      <c r="G53">
        <v>419.9</v>
      </c>
      <c r="H53">
        <v>839.8</v>
      </c>
      <c r="I53" s="153">
        <f t="shared" si="17"/>
        <v>0</v>
      </c>
      <c r="J53" s="5">
        <f t="shared" si="18"/>
        <v>249.48888888888888</v>
      </c>
      <c r="K53" s="5">
        <f t="shared" si="19"/>
        <v>195.37329127234489</v>
      </c>
      <c r="L53" s="5">
        <f t="shared" si="20"/>
        <v>174.0659340659341</v>
      </c>
      <c r="M53" s="5">
        <f t="shared" si="21"/>
        <v>31</v>
      </c>
      <c r="N53" s="5">
        <f t="shared" si="22"/>
        <v>51.48940063091483</v>
      </c>
      <c r="O53" s="138">
        <f t="shared" si="23"/>
        <v>0</v>
      </c>
      <c r="P53" s="148" cm="1">
        <f t="array" ref="P53">_xlfn.XLOOKUP(C53,'Ürün Maliyeti1'!$I$162:$I$190,_xlfn.XLOOKUP(data!E53,'Ürün Maliyeti1'!$J$161:$O$161,'Ürün Maliyeti1'!$J$162:$O$190))</f>
        <v>124.74444444444444</v>
      </c>
      <c r="Q53" s="138">
        <f>IF(B53="burger",'Genel Gider'!$I$19,"₺ 0")</f>
        <v>97.686645636172443</v>
      </c>
      <c r="R53" s="138">
        <f>IF(B53="burger",'servis maliyeti'!$H$7,"₺ 0")</f>
        <v>87.032967032967051</v>
      </c>
      <c r="S53" s="138">
        <f>IF(B53="burger",'paketleme maliyeti'!$F$9,"₺ 0")</f>
        <v>15.5</v>
      </c>
      <c r="T53" s="138">
        <f>IF(B53="burger",'günlük genel gider maliyeti'!$H$10,"₺ 0")</f>
        <v>25.744700315457415</v>
      </c>
      <c r="U53" s="141">
        <f t="shared" si="24"/>
        <v>701.41751485808265</v>
      </c>
      <c r="V53" s="5">
        <f t="shared" si="25"/>
        <v>138.3824851419173</v>
      </c>
      <c r="W53" s="105">
        <f t="shared" si="26"/>
        <v>69.19124257095865</v>
      </c>
      <c r="X53" s="136">
        <f t="shared" si="27"/>
        <v>0.16478028714207824</v>
      </c>
      <c r="AA53" s="6" t="s">
        <v>25</v>
      </c>
      <c r="AB53" s="76" t="s">
        <v>26</v>
      </c>
      <c r="AC53" s="77" t="s">
        <v>27</v>
      </c>
      <c r="AD53" s="78" t="s">
        <v>38</v>
      </c>
      <c r="AE53" s="79" t="s">
        <v>198</v>
      </c>
    </row>
    <row r="54" spans="1:38" ht="19.5" thickBot="1" x14ac:dyDescent="0.3">
      <c r="A54" s="164">
        <v>45812</v>
      </c>
      <c r="B54" s="164" t="s">
        <v>108</v>
      </c>
      <c r="C54" t="s">
        <v>9</v>
      </c>
      <c r="D54">
        <v>1</v>
      </c>
      <c r="E54">
        <v>100</v>
      </c>
      <c r="F54" t="s">
        <v>314</v>
      </c>
      <c r="G54">
        <v>419.9</v>
      </c>
      <c r="H54">
        <v>419.9</v>
      </c>
      <c r="I54" s="153">
        <f t="shared" si="17"/>
        <v>0</v>
      </c>
      <c r="J54" s="5">
        <f t="shared" si="18"/>
        <v>124.74444444444444</v>
      </c>
      <c r="K54" s="5">
        <f t="shared" si="19"/>
        <v>97.686645636172443</v>
      </c>
      <c r="L54" s="5">
        <f t="shared" si="20"/>
        <v>0</v>
      </c>
      <c r="M54" s="5">
        <f t="shared" si="21"/>
        <v>0</v>
      </c>
      <c r="N54" s="5">
        <f t="shared" si="22"/>
        <v>25.744700315457415</v>
      </c>
      <c r="O54" s="138">
        <f t="shared" si="23"/>
        <v>0</v>
      </c>
      <c r="P54" s="148" cm="1">
        <f t="array" ref="P54">_xlfn.XLOOKUP(C54,'Ürün Maliyeti1'!$I$162:$I$190,_xlfn.XLOOKUP(data!E54,'Ürün Maliyeti1'!$J$161:$O$161,'Ürün Maliyeti1'!$J$162:$O$190))</f>
        <v>124.74444444444444</v>
      </c>
      <c r="Q54" s="138">
        <f>IF(B54="burger",'Genel Gider'!$I$19,"₺ 0")</f>
        <v>97.686645636172443</v>
      </c>
      <c r="R54" s="138">
        <v>0</v>
      </c>
      <c r="S54" s="138">
        <v>0</v>
      </c>
      <c r="T54" s="138">
        <f>IF(B54="burger",'günlük genel gider maliyeti'!$H$10,"₺ 0")</f>
        <v>25.744700315457415</v>
      </c>
      <c r="U54" s="141">
        <f t="shared" si="24"/>
        <v>248.17579039607429</v>
      </c>
      <c r="V54" s="5">
        <f t="shared" si="25"/>
        <v>171.72420960392569</v>
      </c>
      <c r="W54" s="105">
        <f t="shared" si="26"/>
        <v>171.72420960392569</v>
      </c>
      <c r="X54" s="136">
        <f t="shared" si="27"/>
        <v>0.40896453823273565</v>
      </c>
      <c r="AA54" s="9" t="s">
        <v>30</v>
      </c>
      <c r="AB54" s="1">
        <f>SUMIF(B$8:B$1048576,"Burger",D$8:D$1048576)</f>
        <v>317</v>
      </c>
      <c r="AC54" s="5">
        <f>SUM(AC27:AC40)</f>
        <v>164522.53</v>
      </c>
      <c r="AD54" s="68">
        <f>SUM(AD19:AD29)</f>
        <v>3645.7237799999994</v>
      </c>
      <c r="AE54" s="80">
        <f>AC62/AC66*100</f>
        <v>95.778253582707706</v>
      </c>
    </row>
    <row r="55" spans="1:38" ht="19.5" thickBot="1" x14ac:dyDescent="0.3">
      <c r="A55" s="164">
        <v>45812</v>
      </c>
      <c r="B55" s="164" t="s">
        <v>108</v>
      </c>
      <c r="C55" t="s">
        <v>11</v>
      </c>
      <c r="D55">
        <v>2</v>
      </c>
      <c r="E55">
        <v>100</v>
      </c>
      <c r="F55" t="s">
        <v>365</v>
      </c>
      <c r="G55">
        <v>419.9</v>
      </c>
      <c r="H55">
        <v>834.8</v>
      </c>
      <c r="I55" s="153">
        <f t="shared" si="17"/>
        <v>0</v>
      </c>
      <c r="J55" s="5">
        <f t="shared" si="18"/>
        <v>252.48888888888888</v>
      </c>
      <c r="K55" s="5">
        <f t="shared" si="19"/>
        <v>195.37329127234489</v>
      </c>
      <c r="L55" s="5">
        <f t="shared" si="20"/>
        <v>174.0659340659341</v>
      </c>
      <c r="M55" s="5">
        <f t="shared" si="21"/>
        <v>31</v>
      </c>
      <c r="N55" s="5">
        <f t="shared" si="22"/>
        <v>51.48940063091483</v>
      </c>
      <c r="O55" s="138">
        <f t="shared" si="23"/>
        <v>0</v>
      </c>
      <c r="P55" s="148" cm="1">
        <f t="array" ref="P55">_xlfn.XLOOKUP(C55,'Ürün Maliyeti1'!$I$162:$I$190,_xlfn.XLOOKUP(data!E55,'Ürün Maliyeti1'!$J$161:$O$161,'Ürün Maliyeti1'!$J$162:$O$190))</f>
        <v>126.24444444444444</v>
      </c>
      <c r="Q55" s="138">
        <f>IF(B55="burger",'Genel Gider'!$I$19,"₺ 0")</f>
        <v>97.686645636172443</v>
      </c>
      <c r="R55" s="138">
        <f>IF(B55="burger",'servis maliyeti'!$H$7,"₺ 0")</f>
        <v>87.032967032967051</v>
      </c>
      <c r="S55" s="138">
        <f>IF(B55="burger",'paketleme maliyeti'!$F$9,"₺ 0")</f>
        <v>15.5</v>
      </c>
      <c r="T55" s="138">
        <f>IF(B55="burger",'günlük genel gider maliyeti'!$H$10,"₺ 0")</f>
        <v>25.744700315457415</v>
      </c>
      <c r="U55" s="141">
        <f t="shared" si="24"/>
        <v>704.41751485808265</v>
      </c>
      <c r="V55" s="5">
        <f t="shared" si="25"/>
        <v>130.3824851419173</v>
      </c>
      <c r="W55" s="105">
        <f t="shared" si="26"/>
        <v>65.19124257095865</v>
      </c>
      <c r="X55" s="136">
        <f t="shared" si="27"/>
        <v>0.16120800802800347</v>
      </c>
      <c r="AA55" s="12" t="s">
        <v>21</v>
      </c>
      <c r="AB55" s="13">
        <f>SUMIF(B:B,"soslar",D:D)</f>
        <v>47</v>
      </c>
      <c r="AC55" s="15">
        <f>SUMIF(B:B,"soslar",H:H)</f>
        <v>1056.4000000000001</v>
      </c>
      <c r="AD55" s="55">
        <f>SUMIF(B:B,"soslar",O:O)</f>
        <v>24.8523</v>
      </c>
      <c r="AE55" s="80">
        <f>AC63/AC66*100</f>
        <v>4.651449537797861E-2</v>
      </c>
    </row>
    <row r="56" spans="1:38" ht="19.5" thickBot="1" x14ac:dyDescent="0.3">
      <c r="A56" s="164">
        <v>45812</v>
      </c>
      <c r="B56" s="164" t="s">
        <v>108</v>
      </c>
      <c r="C56" t="s">
        <v>135</v>
      </c>
      <c r="D56">
        <v>5</v>
      </c>
      <c r="E56">
        <v>100</v>
      </c>
      <c r="F56" t="s">
        <v>365</v>
      </c>
      <c r="G56">
        <v>419.9</v>
      </c>
      <c r="H56">
        <v>2099.5</v>
      </c>
      <c r="I56" s="153">
        <f t="shared" si="17"/>
        <v>0</v>
      </c>
      <c r="J56" s="5">
        <f t="shared" si="18"/>
        <v>658.72222222222217</v>
      </c>
      <c r="K56" s="5">
        <f t="shared" si="19"/>
        <v>488.43322818086222</v>
      </c>
      <c r="L56" s="5">
        <f t="shared" si="20"/>
        <v>435.16483516483527</v>
      </c>
      <c r="M56" s="5">
        <f t="shared" si="21"/>
        <v>77.5</v>
      </c>
      <c r="N56" s="5">
        <f t="shared" si="22"/>
        <v>128.72350157728707</v>
      </c>
      <c r="O56" s="138">
        <f t="shared" si="23"/>
        <v>0</v>
      </c>
      <c r="P56" s="148" cm="1">
        <f t="array" ref="P56">_xlfn.XLOOKUP(C56,'Ürün Maliyeti1'!$I$162:$I$190,_xlfn.XLOOKUP(data!E56,'Ürün Maliyeti1'!$J$161:$O$161,'Ürün Maliyeti1'!$J$162:$O$190))</f>
        <v>131.74444444444444</v>
      </c>
      <c r="Q56" s="138">
        <f>IF(B56="burger",'Genel Gider'!$I$19,"₺ 0")</f>
        <v>97.686645636172443</v>
      </c>
      <c r="R56" s="138">
        <f>IF(B56="burger",'servis maliyeti'!$H$7,"₺ 0")</f>
        <v>87.032967032967051</v>
      </c>
      <c r="S56" s="138">
        <f>IF(B56="burger",'paketleme maliyeti'!$F$9,"₺ 0")</f>
        <v>15.5</v>
      </c>
      <c r="T56" s="138">
        <f>IF(B56="burger",'günlük genel gider maliyeti'!$H$10,"₺ 0")</f>
        <v>25.744700315457415</v>
      </c>
      <c r="U56" s="141">
        <f t="shared" si="24"/>
        <v>1788.5437871452066</v>
      </c>
      <c r="V56" s="5">
        <f t="shared" si="25"/>
        <v>310.95621285479342</v>
      </c>
      <c r="W56" s="105">
        <f t="shared" si="26"/>
        <v>62.191242570958686</v>
      </c>
      <c r="X56" s="136">
        <f t="shared" si="27"/>
        <v>0.14810965127639594</v>
      </c>
      <c r="AA56" s="12" t="s">
        <v>22</v>
      </c>
      <c r="AB56" s="13">
        <f>SUMIF(B:B,"içecekler",D:D)</f>
        <v>1</v>
      </c>
      <c r="AC56" s="15">
        <f>SUMIF(B:B,"içecekler",H:H)</f>
        <v>79.900000000000006</v>
      </c>
      <c r="AD56" s="55">
        <f>SUMIF(B:B,"içecekler",O:O)</f>
        <v>0</v>
      </c>
      <c r="AE56" s="80">
        <f>AC64/AC66*100</f>
        <v>0.61499265228155942</v>
      </c>
    </row>
    <row r="57" spans="1:38" ht="19.5" thickBot="1" x14ac:dyDescent="0.3">
      <c r="A57" s="164">
        <v>45812</v>
      </c>
      <c r="B57" s="164" t="s">
        <v>108</v>
      </c>
      <c r="C57" t="s">
        <v>355</v>
      </c>
      <c r="D57">
        <v>2</v>
      </c>
      <c r="E57">
        <v>100</v>
      </c>
      <c r="F57" t="s">
        <v>340</v>
      </c>
      <c r="G57">
        <v>441.9</v>
      </c>
      <c r="H57">
        <v>883.8</v>
      </c>
      <c r="I57" s="153">
        <f t="shared" si="17"/>
        <v>129.9186</v>
      </c>
      <c r="J57" s="5">
        <f t="shared" si="18"/>
        <v>211.68888888888887</v>
      </c>
      <c r="K57" s="5">
        <f t="shared" si="19"/>
        <v>195.37329127234489</v>
      </c>
      <c r="L57" s="5">
        <f t="shared" si="20"/>
        <v>174.0659340659341</v>
      </c>
      <c r="M57" s="5">
        <f t="shared" si="21"/>
        <v>31</v>
      </c>
      <c r="N57" s="5">
        <f t="shared" si="22"/>
        <v>51.48940063091483</v>
      </c>
      <c r="O57" s="138">
        <f t="shared" si="23"/>
        <v>64.959299999999999</v>
      </c>
      <c r="P57" s="148" cm="1">
        <f t="array" ref="P57">_xlfn.XLOOKUP(C57,'Ürün Maliyeti1'!$I$162:$I$190,_xlfn.XLOOKUP(data!E57,'Ürün Maliyeti1'!$J$161:$O$161,'Ürün Maliyeti1'!$J$162:$O$190))</f>
        <v>105.84444444444443</v>
      </c>
      <c r="Q57" s="138">
        <f>IF(B57="burger",'Genel Gider'!$I$19,"₺ 0")</f>
        <v>97.686645636172443</v>
      </c>
      <c r="R57" s="138">
        <f>IF(B57="burger",'servis maliyeti'!$H$7,"₺ 0")</f>
        <v>87.032967032967051</v>
      </c>
      <c r="S57" s="138">
        <f>IF(B57="burger",'paketleme maliyeti'!$F$9,"₺ 0")</f>
        <v>15.5</v>
      </c>
      <c r="T57" s="138">
        <f>IF(B57="burger",'günlük genel gider maliyeti'!$H$10,"₺ 0")</f>
        <v>25.744700315457415</v>
      </c>
      <c r="U57" s="141">
        <f t="shared" si="24"/>
        <v>793.53611485808267</v>
      </c>
      <c r="V57" s="5">
        <f t="shared" si="25"/>
        <v>90.263885141917285</v>
      </c>
      <c r="W57" s="105">
        <f t="shared" si="26"/>
        <v>45.131942570958643</v>
      </c>
      <c r="X57" s="136">
        <f t="shared" si="27"/>
        <v>0.10213157404607071</v>
      </c>
      <c r="AA57" s="12" t="s">
        <v>23</v>
      </c>
      <c r="AB57" s="13">
        <f>SUMIF(B:B,"extralar",D:D)</f>
        <v>45</v>
      </c>
      <c r="AC57" s="15">
        <f>SUMIF(B:B,"extralar",H:H)</f>
        <v>6115.58</v>
      </c>
      <c r="AD57" s="55">
        <f>SUMIF(B:B,"extralar",O:O)</f>
        <v>152.7732</v>
      </c>
      <c r="AE57" s="80">
        <f>AC65/AC66*100</f>
        <v>3.5602392696327709</v>
      </c>
    </row>
    <row r="58" spans="1:38" ht="19.5" thickBot="1" x14ac:dyDescent="0.3">
      <c r="A58" s="164">
        <v>45812</v>
      </c>
      <c r="B58" s="164" t="s">
        <v>108</v>
      </c>
      <c r="C58" t="s">
        <v>355</v>
      </c>
      <c r="D58">
        <v>3</v>
      </c>
      <c r="E58">
        <v>100</v>
      </c>
      <c r="F58" t="s">
        <v>340</v>
      </c>
      <c r="G58">
        <v>449.9</v>
      </c>
      <c r="H58">
        <v>1349.7</v>
      </c>
      <c r="I58" s="153">
        <f t="shared" si="17"/>
        <v>198.4059</v>
      </c>
      <c r="J58" s="5">
        <f t="shared" si="18"/>
        <v>317.5333333333333</v>
      </c>
      <c r="K58" s="5">
        <f t="shared" si="19"/>
        <v>293.05993690851733</v>
      </c>
      <c r="L58" s="5">
        <f t="shared" si="20"/>
        <v>261.09890109890114</v>
      </c>
      <c r="M58" s="5">
        <f t="shared" si="21"/>
        <v>46.5</v>
      </c>
      <c r="N58" s="5">
        <f t="shared" si="22"/>
        <v>77.234100946372251</v>
      </c>
      <c r="O58" s="138">
        <f t="shared" si="23"/>
        <v>66.135300000000001</v>
      </c>
      <c r="P58" s="148" cm="1">
        <f t="array" ref="P58">_xlfn.XLOOKUP(C58,'Ürün Maliyeti1'!$I$162:$I$190,_xlfn.XLOOKUP(data!E58,'Ürün Maliyeti1'!$J$161:$O$161,'Ürün Maliyeti1'!$J$162:$O$190))</f>
        <v>105.84444444444443</v>
      </c>
      <c r="Q58" s="138">
        <f>IF(B58="burger",'Genel Gider'!$I$19,"₺ 0")</f>
        <v>97.686645636172443</v>
      </c>
      <c r="R58" s="138">
        <f>IF(B58="burger",'servis maliyeti'!$H$7,"₺ 0")</f>
        <v>87.032967032967051</v>
      </c>
      <c r="S58" s="138">
        <f>IF(B58="burger",'paketleme maliyeti'!$F$9,"₺ 0")</f>
        <v>15.5</v>
      </c>
      <c r="T58" s="138">
        <f>IF(B58="burger",'günlük genel gider maliyeti'!$H$10,"₺ 0")</f>
        <v>25.744700315457415</v>
      </c>
      <c r="U58" s="141">
        <f t="shared" si="24"/>
        <v>1193.8321722871242</v>
      </c>
      <c r="V58" s="5">
        <f t="shared" si="25"/>
        <v>155.86782771287585</v>
      </c>
      <c r="W58" s="105">
        <f t="shared" si="26"/>
        <v>51.955942570958619</v>
      </c>
      <c r="X58" s="136">
        <f t="shared" si="27"/>
        <v>0.11548331311615603</v>
      </c>
      <c r="AC58" s="3"/>
      <c r="AD58" s="2"/>
      <c r="AE58" s="54">
        <f>SUM(AE54:AE57)</f>
        <v>100.00000000000001</v>
      </c>
    </row>
    <row r="59" spans="1:38" ht="18.75" x14ac:dyDescent="0.25">
      <c r="A59" s="164">
        <v>45812</v>
      </c>
      <c r="B59" s="164" t="s">
        <v>108</v>
      </c>
      <c r="C59" t="s">
        <v>356</v>
      </c>
      <c r="D59">
        <v>2</v>
      </c>
      <c r="E59">
        <v>100</v>
      </c>
      <c r="F59" t="s">
        <v>340</v>
      </c>
      <c r="G59">
        <v>449.9</v>
      </c>
      <c r="H59">
        <v>899.8</v>
      </c>
      <c r="I59" s="153">
        <f t="shared" si="17"/>
        <v>132.27059999999997</v>
      </c>
      <c r="J59" s="5">
        <f t="shared" si="18"/>
        <v>209.68888888888887</v>
      </c>
      <c r="K59" s="5">
        <f t="shared" si="19"/>
        <v>195.37329127234489</v>
      </c>
      <c r="L59" s="5">
        <f t="shared" si="20"/>
        <v>174.0659340659341</v>
      </c>
      <c r="M59" s="5">
        <f t="shared" si="21"/>
        <v>31</v>
      </c>
      <c r="N59" s="5">
        <f t="shared" si="22"/>
        <v>51.48940063091483</v>
      </c>
      <c r="O59" s="138">
        <f t="shared" si="23"/>
        <v>66.135299999999987</v>
      </c>
      <c r="P59" s="148" cm="1">
        <f t="array" ref="P59">_xlfn.XLOOKUP(C59,'Ürün Maliyeti1'!$I$162:$I$190,_xlfn.XLOOKUP(data!E59,'Ürün Maliyeti1'!$J$161:$O$161,'Ürün Maliyeti1'!$J$162:$O$190))</f>
        <v>104.84444444444443</v>
      </c>
      <c r="Q59" s="138">
        <f>IF(B59="burger",'Genel Gider'!$I$19,"₺ 0")</f>
        <v>97.686645636172443</v>
      </c>
      <c r="R59" s="138">
        <f>IF(B59="burger",'servis maliyeti'!$H$7,"₺ 0")</f>
        <v>87.032967032967051</v>
      </c>
      <c r="S59" s="138">
        <f>IF(B59="burger",'paketleme maliyeti'!$F$9,"₺ 0")</f>
        <v>15.5</v>
      </c>
      <c r="T59" s="138">
        <f>IF(B59="burger",'günlük genel gider maliyeti'!$H$10,"₺ 0")</f>
        <v>25.744700315457415</v>
      </c>
      <c r="U59" s="141">
        <f t="shared" si="24"/>
        <v>793.88811485808264</v>
      </c>
      <c r="V59" s="5">
        <f t="shared" si="25"/>
        <v>105.91188514191731</v>
      </c>
      <c r="W59" s="105">
        <f t="shared" si="26"/>
        <v>52.955942570958655</v>
      </c>
      <c r="X59" s="136">
        <f t="shared" si="27"/>
        <v>0.11770602927530265</v>
      </c>
      <c r="AE59" s="50"/>
    </row>
    <row r="60" spans="1:38" ht="19.5" thickBot="1" x14ac:dyDescent="0.3">
      <c r="A60" s="164">
        <v>45812</v>
      </c>
      <c r="B60" s="164" t="s">
        <v>108</v>
      </c>
      <c r="C60" t="s">
        <v>358</v>
      </c>
      <c r="D60">
        <v>1</v>
      </c>
      <c r="E60">
        <v>100</v>
      </c>
      <c r="F60" t="s">
        <v>340</v>
      </c>
      <c r="G60">
        <v>449.9</v>
      </c>
      <c r="H60">
        <v>449.9</v>
      </c>
      <c r="I60" s="153">
        <f t="shared" si="17"/>
        <v>66.135299999999987</v>
      </c>
      <c r="J60" s="5">
        <f t="shared" si="18"/>
        <v>98.844444444444434</v>
      </c>
      <c r="K60" s="5">
        <f t="shared" si="19"/>
        <v>97.686645636172443</v>
      </c>
      <c r="L60" s="5">
        <f t="shared" si="20"/>
        <v>87.032967032967051</v>
      </c>
      <c r="M60" s="5">
        <f t="shared" si="21"/>
        <v>15.5</v>
      </c>
      <c r="N60" s="5">
        <f t="shared" si="22"/>
        <v>25.744700315457415</v>
      </c>
      <c r="O60" s="138">
        <f t="shared" si="23"/>
        <v>66.135299999999987</v>
      </c>
      <c r="P60" s="148" cm="1">
        <f t="array" ref="P60">_xlfn.XLOOKUP(C60,'Ürün Maliyeti1'!$I$162:$I$190,_xlfn.XLOOKUP(data!E60,'Ürün Maliyeti1'!$J$161:$O$161,'Ürün Maliyeti1'!$J$162:$O$190))</f>
        <v>98.844444444444434</v>
      </c>
      <c r="Q60" s="138">
        <f>IF(B60="burger",'Genel Gider'!$I$19,"₺ 0")</f>
        <v>97.686645636172443</v>
      </c>
      <c r="R60" s="138">
        <f>IF(B60="burger",'servis maliyeti'!$H$7,"₺ 0")</f>
        <v>87.032967032967051</v>
      </c>
      <c r="S60" s="138">
        <f>IF(B60="burger",'paketleme maliyeti'!$F$9,"₺ 0")</f>
        <v>15.5</v>
      </c>
      <c r="T60" s="138">
        <f>IF(B60="burger",'günlük genel gider maliyeti'!$H$10,"₺ 0")</f>
        <v>25.744700315457415</v>
      </c>
      <c r="U60" s="141">
        <f t="shared" si="24"/>
        <v>390.94405742904132</v>
      </c>
      <c r="V60" s="5">
        <f t="shared" si="25"/>
        <v>58.955942570958655</v>
      </c>
      <c r="W60" s="105">
        <f t="shared" si="26"/>
        <v>58.955942570958655</v>
      </c>
      <c r="X60" s="136">
        <f t="shared" si="27"/>
        <v>0.1310423262301815</v>
      </c>
      <c r="AC60" s="3"/>
      <c r="AD60" s="2"/>
      <c r="AE60" s="2"/>
    </row>
    <row r="61" spans="1:38" ht="18.75" x14ac:dyDescent="0.25">
      <c r="A61" s="164">
        <v>45812</v>
      </c>
      <c r="B61" s="164" t="s">
        <v>108</v>
      </c>
      <c r="C61" t="s">
        <v>359</v>
      </c>
      <c r="D61">
        <v>1</v>
      </c>
      <c r="E61">
        <v>100</v>
      </c>
      <c r="F61" t="s">
        <v>340</v>
      </c>
      <c r="G61">
        <v>449.9</v>
      </c>
      <c r="H61">
        <v>449.9</v>
      </c>
      <c r="I61" s="153">
        <f t="shared" si="17"/>
        <v>66.135299999999987</v>
      </c>
      <c r="J61" s="5">
        <f t="shared" si="18"/>
        <v>106.84444444444443</v>
      </c>
      <c r="K61" s="5">
        <f t="shared" si="19"/>
        <v>97.686645636172443</v>
      </c>
      <c r="L61" s="5">
        <f t="shared" si="20"/>
        <v>87.032967032967051</v>
      </c>
      <c r="M61" s="5">
        <f t="shared" si="21"/>
        <v>15.5</v>
      </c>
      <c r="N61" s="5">
        <f t="shared" si="22"/>
        <v>25.744700315457415</v>
      </c>
      <c r="O61" s="138">
        <f t="shared" si="23"/>
        <v>66.135299999999987</v>
      </c>
      <c r="P61" s="148" cm="1">
        <f t="array" ref="P61">_xlfn.XLOOKUP(C61,'Ürün Maliyeti1'!$I$162:$I$190,_xlfn.XLOOKUP(data!E61,'Ürün Maliyeti1'!$J$161:$O$161,'Ürün Maliyeti1'!$J$162:$O$190))</f>
        <v>106.84444444444443</v>
      </c>
      <c r="Q61" s="138">
        <f>IF(B61="burger",'Genel Gider'!$I$19,"₺ 0")</f>
        <v>97.686645636172443</v>
      </c>
      <c r="R61" s="138">
        <f>IF(B61="burger",'servis maliyeti'!$H$7,"₺ 0")</f>
        <v>87.032967032967051</v>
      </c>
      <c r="S61" s="138">
        <f>IF(B61="burger",'paketleme maliyeti'!$F$9,"₺ 0")</f>
        <v>15.5</v>
      </c>
      <c r="T61" s="138">
        <f>IF(B61="burger",'günlük genel gider maliyeti'!$H$10,"₺ 0")</f>
        <v>25.744700315457415</v>
      </c>
      <c r="U61" s="141">
        <f t="shared" si="24"/>
        <v>398.94405742904132</v>
      </c>
      <c r="V61" s="5">
        <f t="shared" si="25"/>
        <v>50.955942570958655</v>
      </c>
      <c r="W61" s="105">
        <f t="shared" si="26"/>
        <v>50.955942570958655</v>
      </c>
      <c r="X61" s="136">
        <f t="shared" si="27"/>
        <v>0.11326059695700968</v>
      </c>
      <c r="AA61" s="6" t="s">
        <v>25</v>
      </c>
      <c r="AB61" s="76" t="s">
        <v>26</v>
      </c>
      <c r="AC61" s="77" t="s">
        <v>27</v>
      </c>
      <c r="AD61" s="78" t="s">
        <v>38</v>
      </c>
    </row>
    <row r="62" spans="1:38" ht="18.75" x14ac:dyDescent="0.25">
      <c r="A62" s="164">
        <v>45812</v>
      </c>
      <c r="B62" s="164" t="s">
        <v>108</v>
      </c>
      <c r="C62" t="s">
        <v>7</v>
      </c>
      <c r="D62">
        <v>1</v>
      </c>
      <c r="E62">
        <v>140</v>
      </c>
      <c r="F62" t="s">
        <v>314</v>
      </c>
      <c r="G62">
        <v>449.9</v>
      </c>
      <c r="H62">
        <v>449.9</v>
      </c>
      <c r="I62" s="153">
        <f t="shared" si="17"/>
        <v>0</v>
      </c>
      <c r="J62" s="5">
        <f t="shared" si="18"/>
        <v>142.44444444444443</v>
      </c>
      <c r="K62" s="5">
        <f t="shared" si="19"/>
        <v>97.686645636172443</v>
      </c>
      <c r="L62" s="5">
        <f t="shared" si="20"/>
        <v>0</v>
      </c>
      <c r="M62" s="5">
        <f t="shared" si="21"/>
        <v>0</v>
      </c>
      <c r="N62" s="5">
        <f t="shared" si="22"/>
        <v>25.744700315457415</v>
      </c>
      <c r="O62" s="138">
        <f t="shared" si="23"/>
        <v>0</v>
      </c>
      <c r="P62" s="148" cm="1">
        <f t="array" ref="P62">_xlfn.XLOOKUP(C62,'Ürün Maliyeti1'!$I$162:$I$190,_xlfn.XLOOKUP(data!E62,'Ürün Maliyeti1'!$J$161:$O$161,'Ürün Maliyeti1'!$J$162:$O$190))</f>
        <v>142.44444444444443</v>
      </c>
      <c r="Q62" s="138">
        <f>IF(B62="burger",'Genel Gider'!$I$19,"₺ 0")</f>
        <v>97.686645636172443</v>
      </c>
      <c r="R62" s="138">
        <v>0</v>
      </c>
      <c r="S62" s="138">
        <v>0</v>
      </c>
      <c r="T62" s="138">
        <f>IF(B62="burger",'günlük genel gider maliyeti'!$H$10,"₺ 0")</f>
        <v>25.744700315457415</v>
      </c>
      <c r="U62" s="141">
        <f t="shared" si="24"/>
        <v>265.87579039607431</v>
      </c>
      <c r="V62" s="5">
        <f t="shared" si="25"/>
        <v>184.02420960392567</v>
      </c>
      <c r="W62" s="105">
        <f t="shared" si="26"/>
        <v>184.02420960392567</v>
      </c>
      <c r="X62" s="136">
        <f t="shared" si="27"/>
        <v>0.40903358436080389</v>
      </c>
      <c r="AA62" s="9" t="s">
        <v>30</v>
      </c>
      <c r="AB62" s="1">
        <f>SUMIF(B$8:B$1048576,"Burger",D$8:D$1048576)</f>
        <v>317</v>
      </c>
      <c r="AC62" s="5">
        <f>SUM(AC27:AC40)</f>
        <v>164522.53</v>
      </c>
      <c r="AD62" s="68">
        <f>SUM(AD27:AD37)</f>
        <v>6634.4071799999974</v>
      </c>
    </row>
    <row r="63" spans="1:38" ht="18.75" x14ac:dyDescent="0.25">
      <c r="A63" s="164">
        <v>45812</v>
      </c>
      <c r="B63" s="164" t="s">
        <v>108</v>
      </c>
      <c r="C63" t="s">
        <v>7</v>
      </c>
      <c r="D63">
        <v>7</v>
      </c>
      <c r="E63">
        <v>140</v>
      </c>
      <c r="F63" t="s">
        <v>365</v>
      </c>
      <c r="G63">
        <v>449.9</v>
      </c>
      <c r="H63">
        <v>3149.3</v>
      </c>
      <c r="I63" s="153">
        <f t="shared" si="17"/>
        <v>0</v>
      </c>
      <c r="J63" s="5">
        <f t="shared" si="18"/>
        <v>997.11111111111097</v>
      </c>
      <c r="K63" s="5">
        <f t="shared" si="19"/>
        <v>683.8065194532071</v>
      </c>
      <c r="L63" s="5">
        <f t="shared" si="20"/>
        <v>609.2307692307694</v>
      </c>
      <c r="M63" s="5">
        <f t="shared" si="21"/>
        <v>108.5</v>
      </c>
      <c r="N63" s="5">
        <f t="shared" si="22"/>
        <v>180.21290220820191</v>
      </c>
      <c r="O63" s="138">
        <f t="shared" si="23"/>
        <v>0</v>
      </c>
      <c r="P63" s="148" cm="1">
        <f t="array" ref="P63">_xlfn.XLOOKUP(C63,'Ürün Maliyeti1'!$I$162:$I$190,_xlfn.XLOOKUP(data!E63,'Ürün Maliyeti1'!$J$161:$O$161,'Ürün Maliyeti1'!$J$162:$O$190))</f>
        <v>142.44444444444443</v>
      </c>
      <c r="Q63" s="138">
        <f>IF(B63="burger",'Genel Gider'!$I$19,"₺ 0")</f>
        <v>97.686645636172443</v>
      </c>
      <c r="R63" s="138">
        <f>IF(B63="burger",'servis maliyeti'!$H$7,"₺ 0")</f>
        <v>87.032967032967051</v>
      </c>
      <c r="S63" s="138">
        <f>IF(B63="burger",'paketleme maliyeti'!$F$9,"₺ 0")</f>
        <v>15.5</v>
      </c>
      <c r="T63" s="138">
        <f>IF(B63="burger",'günlük genel gider maliyeti'!$H$10,"₺ 0")</f>
        <v>25.744700315457415</v>
      </c>
      <c r="U63" s="141">
        <f t="shared" si="24"/>
        <v>2578.861302003289</v>
      </c>
      <c r="V63" s="5">
        <f t="shared" si="25"/>
        <v>570.4386979967112</v>
      </c>
      <c r="W63" s="105">
        <f t="shared" si="26"/>
        <v>81.491242570958747</v>
      </c>
      <c r="X63" s="136">
        <f t="shared" si="27"/>
        <v>0.18113190169139526</v>
      </c>
      <c r="AA63" s="9" t="s">
        <v>28</v>
      </c>
      <c r="AB63" s="1">
        <f>AB56</f>
        <v>1</v>
      </c>
      <c r="AC63" s="5">
        <f>AC56</f>
        <v>79.900000000000006</v>
      </c>
      <c r="AD63" s="5">
        <f>AD56</f>
        <v>0</v>
      </c>
      <c r="AK63" s="280"/>
      <c r="AL63" s="280"/>
    </row>
    <row r="64" spans="1:38" ht="18.75" x14ac:dyDescent="0.25">
      <c r="A64" s="164">
        <v>45812</v>
      </c>
      <c r="B64" s="164" t="s">
        <v>108</v>
      </c>
      <c r="C64" t="s">
        <v>7</v>
      </c>
      <c r="D64">
        <v>5</v>
      </c>
      <c r="E64">
        <v>140</v>
      </c>
      <c r="F64" t="s">
        <v>314</v>
      </c>
      <c r="G64">
        <v>449.9</v>
      </c>
      <c r="H64">
        <v>2249.5</v>
      </c>
      <c r="I64" s="153">
        <f t="shared" si="17"/>
        <v>0</v>
      </c>
      <c r="J64" s="5">
        <f t="shared" si="18"/>
        <v>712.22222222222217</v>
      </c>
      <c r="K64" s="5">
        <f t="shared" si="19"/>
        <v>488.43322818086222</v>
      </c>
      <c r="L64" s="5">
        <f t="shared" si="20"/>
        <v>0</v>
      </c>
      <c r="M64" s="5">
        <f t="shared" si="21"/>
        <v>0</v>
      </c>
      <c r="N64" s="5">
        <f t="shared" si="22"/>
        <v>128.72350157728707</v>
      </c>
      <c r="O64" s="138">
        <f t="shared" si="23"/>
        <v>0</v>
      </c>
      <c r="P64" s="148" cm="1">
        <f t="array" ref="P64">_xlfn.XLOOKUP(C64,'Ürün Maliyeti1'!$I$162:$I$190,_xlfn.XLOOKUP(data!E64,'Ürün Maliyeti1'!$J$161:$O$161,'Ürün Maliyeti1'!$J$162:$O$190))</f>
        <v>142.44444444444443</v>
      </c>
      <c r="Q64" s="138">
        <f>IF(B64="burger",'Genel Gider'!$I$19,"₺ 0")</f>
        <v>97.686645636172443</v>
      </c>
      <c r="R64" s="138">
        <v>0</v>
      </c>
      <c r="S64" s="138">
        <v>0</v>
      </c>
      <c r="T64" s="138">
        <f>IF(B64="burger",'günlük genel gider maliyeti'!$H$10,"₺ 0")</f>
        <v>25.744700315457415</v>
      </c>
      <c r="U64" s="141">
        <f t="shared" si="24"/>
        <v>1329.3789519803715</v>
      </c>
      <c r="V64" s="5">
        <f t="shared" si="25"/>
        <v>920.12104801962846</v>
      </c>
      <c r="W64" s="105">
        <f t="shared" si="26"/>
        <v>184.0242096039257</v>
      </c>
      <c r="X64" s="136">
        <f t="shared" si="27"/>
        <v>0.40903358436080389</v>
      </c>
      <c r="AA64" s="9" t="s">
        <v>29</v>
      </c>
      <c r="AB64" s="1">
        <f>AB55</f>
        <v>47</v>
      </c>
      <c r="AC64" s="5">
        <f>AC55</f>
        <v>1056.4000000000001</v>
      </c>
      <c r="AD64" s="5">
        <f>AD55</f>
        <v>24.8523</v>
      </c>
      <c r="AK64" s="46"/>
      <c r="AL64" s="46"/>
    </row>
    <row r="65" spans="1:30" ht="18.75" x14ac:dyDescent="0.25">
      <c r="A65" s="164">
        <v>45812</v>
      </c>
      <c r="B65" s="164" t="s">
        <v>108</v>
      </c>
      <c r="C65" t="s">
        <v>7</v>
      </c>
      <c r="D65">
        <v>1</v>
      </c>
      <c r="E65">
        <v>100</v>
      </c>
      <c r="F65" t="s">
        <v>341</v>
      </c>
      <c r="G65">
        <v>455.16</v>
      </c>
      <c r="H65">
        <v>455.16</v>
      </c>
      <c r="I65" s="153">
        <f t="shared" si="17"/>
        <v>58.715640000000008</v>
      </c>
      <c r="J65" s="5">
        <f t="shared" si="18"/>
        <v>123.24444444444444</v>
      </c>
      <c r="K65" s="5">
        <f t="shared" si="19"/>
        <v>97.686645636172443</v>
      </c>
      <c r="L65" s="5">
        <f t="shared" si="20"/>
        <v>87.032967032967051</v>
      </c>
      <c r="M65" s="5">
        <f t="shared" si="21"/>
        <v>15.5</v>
      </c>
      <c r="N65" s="5">
        <f t="shared" si="22"/>
        <v>25.744700315457415</v>
      </c>
      <c r="O65" s="138">
        <f t="shared" si="23"/>
        <v>58.715640000000008</v>
      </c>
      <c r="P65" s="148" cm="1">
        <f t="array" ref="P65">_xlfn.XLOOKUP(C65,'Ürün Maliyeti1'!$I$162:$I$190,_xlfn.XLOOKUP(data!E65,'Ürün Maliyeti1'!$J$161:$O$161,'Ürün Maliyeti1'!$J$162:$O$190))</f>
        <v>123.24444444444444</v>
      </c>
      <c r="Q65" s="138">
        <f>IF(B65="burger",'Genel Gider'!$I$19,"₺ 0")</f>
        <v>97.686645636172443</v>
      </c>
      <c r="R65" s="138">
        <f>IF(B65="burger",'servis maliyeti'!$H$7,"₺ 0")</f>
        <v>87.032967032967051</v>
      </c>
      <c r="S65" s="138">
        <f>IF(B65="burger",'paketleme maliyeti'!$F$9,"₺ 0")</f>
        <v>15.5</v>
      </c>
      <c r="T65" s="138">
        <f>IF(B65="burger",'günlük genel gider maliyeti'!$H$10,"₺ 0")</f>
        <v>25.744700315457415</v>
      </c>
      <c r="U65" s="141">
        <f t="shared" si="24"/>
        <v>407.92439742904133</v>
      </c>
      <c r="V65" s="5">
        <f t="shared" si="25"/>
        <v>47.23560257095869</v>
      </c>
      <c r="W65" s="105">
        <f t="shared" si="26"/>
        <v>47.23560257095869</v>
      </c>
      <c r="X65" s="136">
        <f t="shared" si="27"/>
        <v>0.10377801777607586</v>
      </c>
      <c r="AA65" s="9" t="s">
        <v>23</v>
      </c>
      <c r="AB65" s="1">
        <f>AB57</f>
        <v>45</v>
      </c>
      <c r="AC65" s="5">
        <f>AC57</f>
        <v>6115.58</v>
      </c>
      <c r="AD65" s="5">
        <f>AD57</f>
        <v>152.7732</v>
      </c>
    </row>
    <row r="66" spans="1:30" ht="19.5" thickBot="1" x14ac:dyDescent="0.3">
      <c r="A66" s="164">
        <v>45812</v>
      </c>
      <c r="B66" s="164" t="s">
        <v>108</v>
      </c>
      <c r="C66" t="s">
        <v>377</v>
      </c>
      <c r="D66">
        <v>1</v>
      </c>
      <c r="E66">
        <v>100</v>
      </c>
      <c r="F66" t="s">
        <v>341</v>
      </c>
      <c r="G66">
        <v>455.16</v>
      </c>
      <c r="H66">
        <v>455.16</v>
      </c>
      <c r="I66" s="153">
        <f t="shared" si="17"/>
        <v>58.715640000000008</v>
      </c>
      <c r="J66" s="5">
        <f t="shared" si="18"/>
        <v>124.74444444444444</v>
      </c>
      <c r="K66" s="5">
        <f t="shared" si="19"/>
        <v>97.686645636172443</v>
      </c>
      <c r="L66" s="5">
        <f t="shared" si="20"/>
        <v>87.032967032967051</v>
      </c>
      <c r="M66" s="5">
        <f t="shared" si="21"/>
        <v>15.5</v>
      </c>
      <c r="N66" s="5">
        <f t="shared" si="22"/>
        <v>25.744700315457415</v>
      </c>
      <c r="O66" s="138">
        <f t="shared" si="23"/>
        <v>58.715640000000008</v>
      </c>
      <c r="P66" s="148" cm="1">
        <f t="array" ref="P66">_xlfn.XLOOKUP(C66,'Ürün Maliyeti1'!$I$162:$I$190,_xlfn.XLOOKUP(data!E66,'Ürün Maliyeti1'!$J$161:$O$161,'Ürün Maliyeti1'!$J$162:$O$190))</f>
        <v>124.74444444444444</v>
      </c>
      <c r="Q66" s="138">
        <f>IF(B66="burger",'Genel Gider'!$I$19,"₺ 0")</f>
        <v>97.686645636172443</v>
      </c>
      <c r="R66" s="138">
        <f>IF(B66="burger",'servis maliyeti'!$H$7,"₺ 0")</f>
        <v>87.032967032967051</v>
      </c>
      <c r="S66" s="138">
        <f>IF(B66="burger",'paketleme maliyeti'!$F$9,"₺ 0")</f>
        <v>15.5</v>
      </c>
      <c r="T66" s="138">
        <f>IF(B66="burger",'günlük genel gider maliyeti'!$H$10,"₺ 0")</f>
        <v>25.744700315457415</v>
      </c>
      <c r="U66" s="141">
        <f t="shared" si="24"/>
        <v>409.42439742904133</v>
      </c>
      <c r="V66" s="5">
        <f t="shared" si="25"/>
        <v>45.73560257095869</v>
      </c>
      <c r="W66" s="105">
        <f t="shared" si="26"/>
        <v>45.73560257095869</v>
      </c>
      <c r="X66" s="136">
        <f t="shared" si="27"/>
        <v>0.10048247335213703</v>
      </c>
      <c r="AA66" s="10"/>
      <c r="AB66" s="11">
        <f>SUM(AB62:AB65)</f>
        <v>410</v>
      </c>
      <c r="AC66" s="81">
        <f>SUM(AC62:AC65)</f>
        <v>171774.40999999997</v>
      </c>
      <c r="AD66" s="73">
        <f>SUM(AD62:AD65)</f>
        <v>6812.0326799999966</v>
      </c>
    </row>
    <row r="67" spans="1:30" ht="18.75" x14ac:dyDescent="0.25">
      <c r="A67" s="164">
        <v>45812</v>
      </c>
      <c r="B67" s="164" t="s">
        <v>108</v>
      </c>
      <c r="C67" t="s">
        <v>5</v>
      </c>
      <c r="D67">
        <v>1</v>
      </c>
      <c r="E67">
        <v>100</v>
      </c>
      <c r="F67" t="s">
        <v>314</v>
      </c>
      <c r="G67">
        <v>459</v>
      </c>
      <c r="H67">
        <v>459</v>
      </c>
      <c r="I67" s="153">
        <f t="shared" si="17"/>
        <v>0</v>
      </c>
      <c r="J67" s="5">
        <f t="shared" si="18"/>
        <v>163.57222222222222</v>
      </c>
      <c r="K67" s="5">
        <f t="shared" si="19"/>
        <v>97.686645636172443</v>
      </c>
      <c r="L67" s="5">
        <f t="shared" si="20"/>
        <v>0</v>
      </c>
      <c r="M67" s="5">
        <f t="shared" si="21"/>
        <v>0</v>
      </c>
      <c r="N67" s="5">
        <f t="shared" si="22"/>
        <v>25.744700315457415</v>
      </c>
      <c r="O67" s="138">
        <f t="shared" si="23"/>
        <v>0</v>
      </c>
      <c r="P67" s="148" cm="1">
        <f t="array" ref="P67">_xlfn.XLOOKUP(C67,'Ürün Maliyeti1'!$I$162:$I$190,_xlfn.XLOOKUP(data!E67,'Ürün Maliyeti1'!$J$161:$O$161,'Ürün Maliyeti1'!$J$162:$O$190))</f>
        <v>163.57222222222222</v>
      </c>
      <c r="Q67" s="138">
        <f>IF(B67="burger",'Genel Gider'!$I$19,"₺ 0")</f>
        <v>97.686645636172443</v>
      </c>
      <c r="R67" s="138">
        <v>0</v>
      </c>
      <c r="S67" s="138">
        <v>0</v>
      </c>
      <c r="T67" s="138">
        <f>IF(B67="burger",'günlük genel gider maliyeti'!$H$10,"₺ 0")</f>
        <v>25.744700315457415</v>
      </c>
      <c r="U67" s="141">
        <f t="shared" si="24"/>
        <v>287.00356817385205</v>
      </c>
      <c r="V67" s="5">
        <f t="shared" si="25"/>
        <v>171.99643182614795</v>
      </c>
      <c r="W67" s="105">
        <f t="shared" si="26"/>
        <v>171.99643182614795</v>
      </c>
      <c r="X67" s="136">
        <f t="shared" si="27"/>
        <v>0.374719895046074</v>
      </c>
    </row>
    <row r="68" spans="1:30" ht="18.75" x14ac:dyDescent="0.25">
      <c r="A68" s="164">
        <v>45812</v>
      </c>
      <c r="B68" s="164" t="s">
        <v>108</v>
      </c>
      <c r="C68" t="s">
        <v>18</v>
      </c>
      <c r="D68">
        <v>2</v>
      </c>
      <c r="E68">
        <v>100</v>
      </c>
      <c r="F68" t="s">
        <v>365</v>
      </c>
      <c r="G68">
        <v>459.9</v>
      </c>
      <c r="H68">
        <v>919.8</v>
      </c>
      <c r="I68" s="153">
        <f t="shared" si="17"/>
        <v>0</v>
      </c>
      <c r="J68" s="5">
        <f t="shared" si="18"/>
        <v>295.95555555555552</v>
      </c>
      <c r="K68" s="5">
        <f t="shared" si="19"/>
        <v>195.37329127234489</v>
      </c>
      <c r="L68" s="5">
        <f t="shared" si="20"/>
        <v>174.0659340659341</v>
      </c>
      <c r="M68" s="5">
        <f t="shared" si="21"/>
        <v>31</v>
      </c>
      <c r="N68" s="5">
        <f t="shared" si="22"/>
        <v>51.48940063091483</v>
      </c>
      <c r="O68" s="138">
        <f t="shared" si="23"/>
        <v>0</v>
      </c>
      <c r="P68" s="148" cm="1">
        <f t="array" ref="P68">_xlfn.XLOOKUP(C68,'Ürün Maliyeti1'!$I$162:$I$190,_xlfn.XLOOKUP(data!E68,'Ürün Maliyeti1'!$J$161:$O$161,'Ürün Maliyeti1'!$J$162:$O$190))</f>
        <v>147.97777777777776</v>
      </c>
      <c r="Q68" s="138">
        <f>IF(B68="burger",'Genel Gider'!$I$19,"₺ 0")</f>
        <v>97.686645636172443</v>
      </c>
      <c r="R68" s="138">
        <f>IF(B68="burger",'servis maliyeti'!$H$7,"₺ 0")</f>
        <v>87.032967032967051</v>
      </c>
      <c r="S68" s="138">
        <f>IF(B68="burger",'paketleme maliyeti'!$F$9,"₺ 0")</f>
        <v>15.5</v>
      </c>
      <c r="T68" s="138">
        <f>IF(B68="burger",'günlük genel gider maliyeti'!$H$10,"₺ 0")</f>
        <v>25.744700315457415</v>
      </c>
      <c r="U68" s="141">
        <f t="shared" si="24"/>
        <v>747.88418152474935</v>
      </c>
      <c r="V68" s="5">
        <f t="shared" si="25"/>
        <v>171.9158184752506</v>
      </c>
      <c r="W68" s="105">
        <f t="shared" si="26"/>
        <v>85.957909237625302</v>
      </c>
      <c r="X68" s="136">
        <f t="shared" si="27"/>
        <v>0.18690565174521701</v>
      </c>
    </row>
    <row r="69" spans="1:30" ht="21.75" thickBot="1" x14ac:dyDescent="0.4">
      <c r="A69" s="164">
        <v>45812</v>
      </c>
      <c r="B69" s="164" t="s">
        <v>108</v>
      </c>
      <c r="C69" t="s">
        <v>5</v>
      </c>
      <c r="D69">
        <v>1</v>
      </c>
      <c r="E69">
        <v>100</v>
      </c>
      <c r="F69" t="s">
        <v>365</v>
      </c>
      <c r="G69">
        <v>459.9</v>
      </c>
      <c r="H69">
        <v>459.9</v>
      </c>
      <c r="I69" s="153">
        <f t="shared" si="17"/>
        <v>0</v>
      </c>
      <c r="J69" s="5">
        <f t="shared" si="18"/>
        <v>163.57222222222222</v>
      </c>
      <c r="K69" s="5">
        <f t="shared" si="19"/>
        <v>97.686645636172443</v>
      </c>
      <c r="L69" s="5">
        <f t="shared" si="20"/>
        <v>87.032967032967051</v>
      </c>
      <c r="M69" s="5">
        <f t="shared" si="21"/>
        <v>15.5</v>
      </c>
      <c r="N69" s="5">
        <f t="shared" si="22"/>
        <v>25.744700315457415</v>
      </c>
      <c r="O69" s="138">
        <f t="shared" si="23"/>
        <v>0</v>
      </c>
      <c r="P69" s="148" cm="1">
        <f t="array" ref="P69">_xlfn.XLOOKUP(C69,'Ürün Maliyeti1'!$I$162:$I$190,_xlfn.XLOOKUP(data!E69,'Ürün Maliyeti1'!$J$161:$O$161,'Ürün Maliyeti1'!$J$162:$O$190))</f>
        <v>163.57222222222222</v>
      </c>
      <c r="Q69" s="138">
        <f>IF(B69="burger",'Genel Gider'!$I$19,"₺ 0")</f>
        <v>97.686645636172443</v>
      </c>
      <c r="R69" s="138">
        <f>IF(B69="burger",'servis maliyeti'!$H$7,"₺ 0")</f>
        <v>87.032967032967051</v>
      </c>
      <c r="S69" s="138">
        <f>IF(B69="burger",'paketleme maliyeti'!$F$9,"₺ 0")</f>
        <v>15.5</v>
      </c>
      <c r="T69" s="138">
        <f>IF(B69="burger",'günlük genel gider maliyeti'!$H$10,"₺ 0")</f>
        <v>25.744700315457415</v>
      </c>
      <c r="U69" s="141">
        <f t="shared" si="24"/>
        <v>389.53653520681911</v>
      </c>
      <c r="V69" s="5">
        <f t="shared" si="25"/>
        <v>70.363464793180867</v>
      </c>
      <c r="W69" s="105">
        <f t="shared" si="26"/>
        <v>70.363464793180867</v>
      </c>
      <c r="X69" s="136">
        <f t="shared" si="27"/>
        <v>0.15299731418391144</v>
      </c>
      <c r="AA69" s="84"/>
      <c r="AB69" s="84"/>
      <c r="AC69" s="85">
        <v>45200</v>
      </c>
    </row>
    <row r="70" spans="1:30" ht="21" x14ac:dyDescent="0.35">
      <c r="A70" s="164">
        <v>45812</v>
      </c>
      <c r="B70" s="164" t="s">
        <v>108</v>
      </c>
      <c r="C70" t="s">
        <v>5</v>
      </c>
      <c r="D70">
        <v>3</v>
      </c>
      <c r="E70">
        <v>100</v>
      </c>
      <c r="F70" t="s">
        <v>314</v>
      </c>
      <c r="G70">
        <v>459.9</v>
      </c>
      <c r="H70">
        <v>1379.7</v>
      </c>
      <c r="I70" s="153">
        <f t="shared" si="17"/>
        <v>0</v>
      </c>
      <c r="J70" s="5">
        <f t="shared" si="18"/>
        <v>490.7166666666667</v>
      </c>
      <c r="K70" s="5">
        <f t="shared" si="19"/>
        <v>293.05993690851733</v>
      </c>
      <c r="L70" s="5">
        <f t="shared" si="20"/>
        <v>0</v>
      </c>
      <c r="M70" s="5">
        <f t="shared" si="21"/>
        <v>0</v>
      </c>
      <c r="N70" s="5">
        <f t="shared" si="22"/>
        <v>77.234100946372251</v>
      </c>
      <c r="O70" s="138">
        <f t="shared" si="23"/>
        <v>0</v>
      </c>
      <c r="P70" s="148" cm="1">
        <f t="array" ref="P70">_xlfn.XLOOKUP(C70,'Ürün Maliyeti1'!$I$162:$I$190,_xlfn.XLOOKUP(data!E70,'Ürün Maliyeti1'!$J$161:$O$161,'Ürün Maliyeti1'!$J$162:$O$190))</f>
        <v>163.57222222222222</v>
      </c>
      <c r="Q70" s="138">
        <f>IF(B70="burger",'Genel Gider'!$I$19,"₺ 0")</f>
        <v>97.686645636172443</v>
      </c>
      <c r="R70" s="138">
        <v>0</v>
      </c>
      <c r="S70" s="138">
        <v>0</v>
      </c>
      <c r="T70" s="138">
        <f>IF(B70="burger",'günlük genel gider maliyeti'!$H$10,"₺ 0")</f>
        <v>25.744700315457415</v>
      </c>
      <c r="U70" s="141">
        <f t="shared" si="24"/>
        <v>861.01070452155614</v>
      </c>
      <c r="V70" s="5">
        <f t="shared" si="25"/>
        <v>518.68929547844391</v>
      </c>
      <c r="W70" s="105">
        <f t="shared" si="26"/>
        <v>172.89643182614796</v>
      </c>
      <c r="X70" s="136">
        <f t="shared" si="27"/>
        <v>0.37594353517318535</v>
      </c>
      <c r="AA70" s="86" t="s">
        <v>196</v>
      </c>
      <c r="AB70" s="87">
        <v>100</v>
      </c>
      <c r="AC70" s="88">
        <f>SUMIF(E:E,"100",D:D)</f>
        <v>309</v>
      </c>
    </row>
    <row r="71" spans="1:30" ht="21" x14ac:dyDescent="0.35">
      <c r="A71" s="164">
        <v>45812</v>
      </c>
      <c r="B71" s="164" t="s">
        <v>108</v>
      </c>
      <c r="C71" t="s">
        <v>10</v>
      </c>
      <c r="D71">
        <v>1</v>
      </c>
      <c r="E71">
        <v>140</v>
      </c>
      <c r="F71" t="s">
        <v>365</v>
      </c>
      <c r="G71">
        <v>459.9</v>
      </c>
      <c r="H71">
        <v>459.9</v>
      </c>
      <c r="I71" s="153">
        <f t="shared" si="17"/>
        <v>0</v>
      </c>
      <c r="J71" s="5">
        <f t="shared" si="18"/>
        <v>142.44444444444443</v>
      </c>
      <c r="K71" s="5">
        <f t="shared" si="19"/>
        <v>97.686645636172443</v>
      </c>
      <c r="L71" s="5">
        <f t="shared" si="20"/>
        <v>87.032967032967051</v>
      </c>
      <c r="M71" s="5">
        <f t="shared" si="21"/>
        <v>15.5</v>
      </c>
      <c r="N71" s="5">
        <f t="shared" si="22"/>
        <v>25.744700315457415</v>
      </c>
      <c r="O71" s="138">
        <f t="shared" si="23"/>
        <v>0</v>
      </c>
      <c r="P71" s="148" cm="1">
        <f t="array" ref="P71">_xlfn.XLOOKUP(C71,'Ürün Maliyeti1'!$I$162:$I$190,_xlfn.XLOOKUP(data!E71,'Ürün Maliyeti1'!$J$161:$O$161,'Ürün Maliyeti1'!$J$162:$O$190))</f>
        <v>142.44444444444443</v>
      </c>
      <c r="Q71" s="138">
        <f>IF(B71="burger",'Genel Gider'!$I$19,"₺ 0")</f>
        <v>97.686645636172443</v>
      </c>
      <c r="R71" s="138">
        <f>IF(B71="burger",'servis maliyeti'!$H$7,"₺ 0")</f>
        <v>87.032967032967051</v>
      </c>
      <c r="S71" s="138">
        <f>IF(B71="burger",'paketleme maliyeti'!$F$9,"₺ 0")</f>
        <v>15.5</v>
      </c>
      <c r="T71" s="138">
        <f>IF(B71="burger",'günlük genel gider maliyeti'!$H$10,"₺ 0")</f>
        <v>25.744700315457415</v>
      </c>
      <c r="U71" s="141">
        <f t="shared" si="24"/>
        <v>368.40875742904132</v>
      </c>
      <c r="V71" s="5">
        <f t="shared" si="25"/>
        <v>91.491242570958661</v>
      </c>
      <c r="W71" s="105">
        <f t="shared" si="26"/>
        <v>91.491242570958661</v>
      </c>
      <c r="X71" s="136">
        <f t="shared" si="27"/>
        <v>0.19893725281791405</v>
      </c>
      <c r="AA71" s="89"/>
      <c r="AB71" s="90">
        <v>140</v>
      </c>
      <c r="AC71" s="91">
        <f>SUMIF(E:E,"140",D:D)</f>
        <v>66</v>
      </c>
    </row>
    <row r="72" spans="1:30" ht="21" x14ac:dyDescent="0.35">
      <c r="A72" s="164">
        <v>45812</v>
      </c>
      <c r="B72" s="164" t="s">
        <v>108</v>
      </c>
      <c r="C72" t="s">
        <v>355</v>
      </c>
      <c r="D72">
        <v>1</v>
      </c>
      <c r="E72">
        <v>100</v>
      </c>
      <c r="F72" t="s">
        <v>100</v>
      </c>
      <c r="G72">
        <v>467.82</v>
      </c>
      <c r="H72">
        <v>467.82</v>
      </c>
      <c r="I72" s="153">
        <f t="shared" ref="I72:I103" si="28">O72*D72</f>
        <v>42.1038</v>
      </c>
      <c r="J72" s="5">
        <f t="shared" ref="J72:J103" si="29">P72*D72</f>
        <v>105.84444444444443</v>
      </c>
      <c r="K72" s="5">
        <f t="shared" ref="K72:K103" si="30">Q72*D72</f>
        <v>97.686645636172443</v>
      </c>
      <c r="L72" s="5">
        <f t="shared" ref="L72:L103" si="31">R72*D72</f>
        <v>87.032967032967051</v>
      </c>
      <c r="M72" s="5">
        <f t="shared" ref="M72:M103" si="32">S72*D72</f>
        <v>15.5</v>
      </c>
      <c r="N72" s="5">
        <f t="shared" ref="N72:N103" si="33">T72*D72</f>
        <v>25.744700315457415</v>
      </c>
      <c r="O72" s="138">
        <f t="shared" ref="O72:O103" si="34">IF(F72="Restoran Satış",0,IF(F72="Getir Yemek",H72*0.129,IF(F72="Migros Yemek",H72*0.129,IF(F72="Yemek Sepeti",H72*0.147,IF(F72="Trendyol",H72*0.09)))))/D72</f>
        <v>42.1038</v>
      </c>
      <c r="P72" s="148" cm="1">
        <f t="array" ref="P72">_xlfn.XLOOKUP(C72,'Ürün Maliyeti1'!$I$162:$I$190,_xlfn.XLOOKUP(data!E72,'Ürün Maliyeti1'!$J$161:$O$161,'Ürün Maliyeti1'!$J$162:$O$190))</f>
        <v>105.84444444444443</v>
      </c>
      <c r="Q72" s="138">
        <f>IF(B72="burger",'Genel Gider'!$I$19,"₺ 0")</f>
        <v>97.686645636172443</v>
      </c>
      <c r="R72" s="138">
        <f>IF(B72="burger",'servis maliyeti'!$H$7,"₺ 0")</f>
        <v>87.032967032967051</v>
      </c>
      <c r="S72" s="138">
        <f>IF(B72="burger",'paketleme maliyeti'!$F$9,"₺ 0")</f>
        <v>15.5</v>
      </c>
      <c r="T72" s="138">
        <f>IF(B72="burger",'günlük genel gider maliyeti'!$H$10,"₺ 0")</f>
        <v>25.744700315457415</v>
      </c>
      <c r="U72" s="141">
        <f t="shared" ref="U72:U103" si="35">SUM(O72:T72)*D72</f>
        <v>373.91255742904133</v>
      </c>
      <c r="V72" s="5">
        <f t="shared" si="25"/>
        <v>93.907442570958665</v>
      </c>
      <c r="W72" s="105">
        <f t="shared" ref="W72:W103" si="36">V72/D72</f>
        <v>93.907442570958665</v>
      </c>
      <c r="X72" s="136">
        <f t="shared" ref="X72:X103" si="37">(G72-(U72/D72))/G72</f>
        <v>0.20073413400658088</v>
      </c>
      <c r="AA72" s="89"/>
      <c r="AB72" s="90">
        <v>200</v>
      </c>
      <c r="AC72" s="91">
        <f>SUMIF(E:E,"200",D:D)</f>
        <v>26</v>
      </c>
    </row>
    <row r="73" spans="1:30" ht="21" x14ac:dyDescent="0.35">
      <c r="A73" s="164">
        <v>45812</v>
      </c>
      <c r="B73" s="164" t="s">
        <v>108</v>
      </c>
      <c r="C73" t="s">
        <v>135</v>
      </c>
      <c r="D73">
        <v>1</v>
      </c>
      <c r="E73">
        <v>140</v>
      </c>
      <c r="F73" t="s">
        <v>365</v>
      </c>
      <c r="G73">
        <v>479.9</v>
      </c>
      <c r="H73">
        <v>479.9</v>
      </c>
      <c r="I73" s="153">
        <f t="shared" si="28"/>
        <v>0</v>
      </c>
      <c r="J73" s="5">
        <f t="shared" si="29"/>
        <v>150.94444444444443</v>
      </c>
      <c r="K73" s="5">
        <f t="shared" si="30"/>
        <v>97.686645636172443</v>
      </c>
      <c r="L73" s="5">
        <f t="shared" si="31"/>
        <v>87.032967032967051</v>
      </c>
      <c r="M73" s="5">
        <f t="shared" si="32"/>
        <v>15.5</v>
      </c>
      <c r="N73" s="5">
        <f t="shared" si="33"/>
        <v>25.744700315457415</v>
      </c>
      <c r="O73" s="138">
        <f t="shared" si="34"/>
        <v>0</v>
      </c>
      <c r="P73" s="148" cm="1">
        <f t="array" ref="P73">_xlfn.XLOOKUP(C73,'Ürün Maliyeti1'!$I$162:$I$190,_xlfn.XLOOKUP(data!E73,'Ürün Maliyeti1'!$J$161:$O$161,'Ürün Maliyeti1'!$J$162:$O$190))</f>
        <v>150.94444444444443</v>
      </c>
      <c r="Q73" s="138">
        <f>IF(B73="burger",'Genel Gider'!$I$19,"₺ 0")</f>
        <v>97.686645636172443</v>
      </c>
      <c r="R73" s="138">
        <f>IF(B73="burger",'servis maliyeti'!$H$7,"₺ 0")</f>
        <v>87.032967032967051</v>
      </c>
      <c r="S73" s="138">
        <f>IF(B73="burger",'paketleme maliyeti'!$F$9,"₺ 0")</f>
        <v>15.5</v>
      </c>
      <c r="T73" s="138">
        <f>IF(B73="burger",'günlük genel gider maliyeti'!$H$10,"₺ 0")</f>
        <v>25.744700315457415</v>
      </c>
      <c r="U73" s="141">
        <f t="shared" si="35"/>
        <v>376.90875742904132</v>
      </c>
      <c r="V73" s="5">
        <f t="shared" ref="V73:V104" si="38">H73-U73</f>
        <v>102.99124257095866</v>
      </c>
      <c r="W73" s="105">
        <f t="shared" si="36"/>
        <v>102.99124257095866</v>
      </c>
      <c r="X73" s="136">
        <f t="shared" si="37"/>
        <v>0.21460979906430228</v>
      </c>
      <c r="AA73" s="89"/>
      <c r="AB73" s="90">
        <v>280</v>
      </c>
      <c r="AC73" s="91">
        <f>SUMIF(E:E,"280",D:D)</f>
        <v>9</v>
      </c>
    </row>
    <row r="74" spans="1:30" ht="21" x14ac:dyDescent="0.35">
      <c r="A74" s="164">
        <v>45812</v>
      </c>
      <c r="B74" s="164" t="s">
        <v>108</v>
      </c>
      <c r="C74" t="s">
        <v>6</v>
      </c>
      <c r="D74">
        <v>2</v>
      </c>
      <c r="E74">
        <v>100</v>
      </c>
      <c r="F74" t="s">
        <v>216</v>
      </c>
      <c r="G74">
        <v>494.9</v>
      </c>
      <c r="H74">
        <v>989.8</v>
      </c>
      <c r="I74" s="153">
        <f t="shared" si="28"/>
        <v>127.6842</v>
      </c>
      <c r="J74" s="5">
        <f t="shared" si="29"/>
        <v>249.48888888888888</v>
      </c>
      <c r="K74" s="5">
        <f t="shared" si="30"/>
        <v>195.37329127234489</v>
      </c>
      <c r="L74" s="5">
        <f t="shared" si="31"/>
        <v>174.0659340659341</v>
      </c>
      <c r="M74" s="5">
        <f t="shared" si="32"/>
        <v>31</v>
      </c>
      <c r="N74" s="5">
        <f t="shared" si="33"/>
        <v>51.48940063091483</v>
      </c>
      <c r="O74" s="138">
        <f t="shared" si="34"/>
        <v>63.842100000000002</v>
      </c>
      <c r="P74" s="148" cm="1">
        <f t="array" ref="P74">_xlfn.XLOOKUP(C74,'Ürün Maliyeti1'!$I$162:$I$190,_xlfn.XLOOKUP(data!E74,'Ürün Maliyeti1'!$J$161:$O$161,'Ürün Maliyeti1'!$J$162:$O$190))</f>
        <v>124.74444444444444</v>
      </c>
      <c r="Q74" s="138">
        <f>IF(B74="burger",'Genel Gider'!$I$19,"₺ 0")</f>
        <v>97.686645636172443</v>
      </c>
      <c r="R74" s="138">
        <f>IF(B74="burger",'servis maliyeti'!$H$7,"₺ 0")</f>
        <v>87.032967032967051</v>
      </c>
      <c r="S74" s="138">
        <f>IF(B74="burger",'paketleme maliyeti'!$F$9,"₺ 0")</f>
        <v>15.5</v>
      </c>
      <c r="T74" s="138">
        <f>IF(B74="burger",'günlük genel gider maliyeti'!$H$10,"₺ 0")</f>
        <v>25.744700315457415</v>
      </c>
      <c r="U74" s="141">
        <f t="shared" si="35"/>
        <v>829.10171485808269</v>
      </c>
      <c r="V74" s="5">
        <f t="shared" si="38"/>
        <v>160.69828514191727</v>
      </c>
      <c r="W74" s="105" t="s">
        <v>374</v>
      </c>
      <c r="X74" s="136">
        <f t="shared" si="37"/>
        <v>0.16235429899163192</v>
      </c>
      <c r="AA74" s="89"/>
      <c r="AB74" s="90">
        <v>300</v>
      </c>
      <c r="AC74" s="91">
        <f>SUMIF(E:E,"300",D:D)</f>
        <v>0</v>
      </c>
    </row>
    <row r="75" spans="1:30" ht="21" x14ac:dyDescent="0.35">
      <c r="A75" s="164">
        <v>45812</v>
      </c>
      <c r="B75" s="164" t="s">
        <v>108</v>
      </c>
      <c r="C75" t="s">
        <v>7</v>
      </c>
      <c r="D75">
        <v>13</v>
      </c>
      <c r="E75">
        <v>100</v>
      </c>
      <c r="F75" t="s">
        <v>216</v>
      </c>
      <c r="G75">
        <v>494.9</v>
      </c>
      <c r="H75">
        <v>6433.7</v>
      </c>
      <c r="I75" s="153">
        <f t="shared" si="28"/>
        <v>829.94730000000004</v>
      </c>
      <c r="J75" s="5">
        <f t="shared" si="29"/>
        <v>1602.1777777777777</v>
      </c>
      <c r="K75" s="5">
        <f t="shared" si="30"/>
        <v>1269.9263932702418</v>
      </c>
      <c r="L75" s="5">
        <f t="shared" si="31"/>
        <v>1131.4285714285716</v>
      </c>
      <c r="M75" s="5">
        <f t="shared" si="32"/>
        <v>201.5</v>
      </c>
      <c r="N75" s="5">
        <f t="shared" si="33"/>
        <v>334.68110410094641</v>
      </c>
      <c r="O75" s="138">
        <f t="shared" si="34"/>
        <v>63.842100000000002</v>
      </c>
      <c r="P75" s="148" cm="1">
        <f t="array" ref="P75">_xlfn.XLOOKUP(C75,'Ürün Maliyeti1'!$I$162:$I$190,_xlfn.XLOOKUP(data!E75,'Ürün Maliyeti1'!$J$161:$O$161,'Ürün Maliyeti1'!$J$162:$O$190))</f>
        <v>123.24444444444444</v>
      </c>
      <c r="Q75" s="138">
        <f>IF(B75="burger",'Genel Gider'!$I$19,"₺ 0")</f>
        <v>97.686645636172443</v>
      </c>
      <c r="R75" s="138">
        <f>IF(B75="burger",'servis maliyeti'!$H$7,"₺ 0")</f>
        <v>87.032967032967051</v>
      </c>
      <c r="S75" s="138">
        <f>IF(B75="burger",'paketleme maliyeti'!$F$9,"₺ 0")</f>
        <v>15.5</v>
      </c>
      <c r="T75" s="138">
        <f>IF(B75="burger",'günlük genel gider maliyeti'!$H$10,"₺ 0")</f>
        <v>25.744700315457415</v>
      </c>
      <c r="U75" s="141">
        <f t="shared" si="35"/>
        <v>5369.6611465775377</v>
      </c>
      <c r="V75" s="5">
        <f t="shared" si="38"/>
        <v>1064.0388534224621</v>
      </c>
      <c r="W75" s="105">
        <f t="shared" si="36"/>
        <v>81.84914257095862</v>
      </c>
      <c r="X75" s="136">
        <f t="shared" si="37"/>
        <v>0.16538521432806352</v>
      </c>
      <c r="AA75" s="89"/>
      <c r="AB75" s="90">
        <v>340</v>
      </c>
      <c r="AC75" s="91">
        <f>SUMIF(E:E,"340",D:D)</f>
        <v>0</v>
      </c>
      <c r="AD75" s="82"/>
    </row>
    <row r="76" spans="1:30" ht="21" x14ac:dyDescent="0.35">
      <c r="A76" s="164">
        <v>45812</v>
      </c>
      <c r="B76" s="164" t="s">
        <v>108</v>
      </c>
      <c r="C76" t="s">
        <v>10</v>
      </c>
      <c r="D76">
        <v>3</v>
      </c>
      <c r="E76">
        <v>100</v>
      </c>
      <c r="F76" t="s">
        <v>216</v>
      </c>
      <c r="G76">
        <v>494.9</v>
      </c>
      <c r="H76">
        <v>1484.7</v>
      </c>
      <c r="I76" s="153">
        <f t="shared" si="28"/>
        <v>191.52630000000002</v>
      </c>
      <c r="J76" s="5">
        <f t="shared" si="29"/>
        <v>369.73333333333335</v>
      </c>
      <c r="K76" s="5">
        <f t="shared" si="30"/>
        <v>293.05993690851733</v>
      </c>
      <c r="L76" s="5">
        <f t="shared" si="31"/>
        <v>261.09890109890114</v>
      </c>
      <c r="M76" s="5">
        <f t="shared" si="32"/>
        <v>46.5</v>
      </c>
      <c r="N76" s="5">
        <f t="shared" si="33"/>
        <v>77.234100946372251</v>
      </c>
      <c r="O76" s="138">
        <f t="shared" si="34"/>
        <v>63.842100000000009</v>
      </c>
      <c r="P76" s="148" cm="1">
        <f t="array" ref="P76">_xlfn.XLOOKUP(C76,'Ürün Maliyeti1'!$I$162:$I$190,_xlfn.XLOOKUP(data!E76,'Ürün Maliyeti1'!$J$161:$O$161,'Ürün Maliyeti1'!$J$162:$O$190))</f>
        <v>123.24444444444444</v>
      </c>
      <c r="Q76" s="138">
        <f>IF(B76="burger",'Genel Gider'!$I$19,"₺ 0")</f>
        <v>97.686645636172443</v>
      </c>
      <c r="R76" s="138">
        <f>IF(B76="burger",'servis maliyeti'!$H$7,"₺ 0")</f>
        <v>87.032967032967051</v>
      </c>
      <c r="S76" s="138">
        <f>IF(B76="burger",'paketleme maliyeti'!$F$9,"₺ 0")</f>
        <v>15.5</v>
      </c>
      <c r="T76" s="138">
        <f>IF(B76="burger",'günlük genel gider maliyeti'!$H$10,"₺ 0")</f>
        <v>25.744700315457415</v>
      </c>
      <c r="U76" s="141">
        <f t="shared" si="35"/>
        <v>1239.1525722871243</v>
      </c>
      <c r="V76" s="5">
        <f t="shared" si="38"/>
        <v>245.54742771287579</v>
      </c>
      <c r="W76" s="105">
        <f t="shared" si="36"/>
        <v>81.849142570958591</v>
      </c>
      <c r="X76" s="136">
        <f t="shared" si="37"/>
        <v>0.16538521432806341</v>
      </c>
      <c r="AA76" s="89"/>
      <c r="AB76" s="90">
        <v>380</v>
      </c>
      <c r="AC76" s="91">
        <f>SUMIF(E:E,"380",D:D)</f>
        <v>0</v>
      </c>
      <c r="AD76" s="42"/>
    </row>
    <row r="77" spans="1:30" ht="21.75" thickBot="1" x14ac:dyDescent="0.4">
      <c r="A77" s="164">
        <v>45812</v>
      </c>
      <c r="B77" s="164" t="s">
        <v>108</v>
      </c>
      <c r="C77" t="s">
        <v>9</v>
      </c>
      <c r="D77">
        <v>1</v>
      </c>
      <c r="E77">
        <v>100</v>
      </c>
      <c r="F77" t="s">
        <v>216</v>
      </c>
      <c r="G77">
        <v>494.9</v>
      </c>
      <c r="H77">
        <v>494.9</v>
      </c>
      <c r="I77" s="153">
        <f t="shared" si="28"/>
        <v>63.842100000000002</v>
      </c>
      <c r="J77" s="5">
        <f t="shared" si="29"/>
        <v>124.74444444444444</v>
      </c>
      <c r="K77" s="5">
        <f t="shared" si="30"/>
        <v>97.686645636172443</v>
      </c>
      <c r="L77" s="5">
        <f t="shared" si="31"/>
        <v>87.032967032967051</v>
      </c>
      <c r="M77" s="5">
        <f t="shared" si="32"/>
        <v>15.5</v>
      </c>
      <c r="N77" s="5">
        <f t="shared" si="33"/>
        <v>25.744700315457415</v>
      </c>
      <c r="O77" s="138">
        <f t="shared" si="34"/>
        <v>63.842100000000002</v>
      </c>
      <c r="P77" s="148" cm="1">
        <f t="array" ref="P77">_xlfn.XLOOKUP(C77,'Ürün Maliyeti1'!$I$162:$I$190,_xlfn.XLOOKUP(data!E77,'Ürün Maliyeti1'!$J$161:$O$161,'Ürün Maliyeti1'!$J$162:$O$190))</f>
        <v>124.74444444444444</v>
      </c>
      <c r="Q77" s="138">
        <f>IF(B77="burger",'Genel Gider'!$I$19,"₺ 0")</f>
        <v>97.686645636172443</v>
      </c>
      <c r="R77" s="138">
        <f>IF(B77="burger",'servis maliyeti'!$H$7,"₺ 0")</f>
        <v>87.032967032967051</v>
      </c>
      <c r="S77" s="138">
        <f>IF(B77="burger",'paketleme maliyeti'!$F$9,"₺ 0")</f>
        <v>15.5</v>
      </c>
      <c r="T77" s="138">
        <f>IF(B77="burger",'günlük genel gider maliyeti'!$H$10,"₺ 0")</f>
        <v>25.744700315457415</v>
      </c>
      <c r="U77" s="141">
        <f t="shared" si="35"/>
        <v>414.55085742904134</v>
      </c>
      <c r="V77" s="5">
        <f t="shared" si="38"/>
        <v>80.349142570958634</v>
      </c>
      <c r="W77" s="105">
        <f t="shared" si="36"/>
        <v>80.349142570958634</v>
      </c>
      <c r="X77" s="136">
        <f t="shared" si="37"/>
        <v>0.16235429899163192</v>
      </c>
      <c r="AA77" s="92"/>
      <c r="AB77" s="93">
        <v>420</v>
      </c>
      <c r="AC77" s="94">
        <f>SUMIF(E:E,"420",D:D)</f>
        <v>0</v>
      </c>
      <c r="AD77" s="42"/>
    </row>
    <row r="78" spans="1:30" ht="21.75" thickBot="1" x14ac:dyDescent="0.4">
      <c r="A78" s="164">
        <v>45812</v>
      </c>
      <c r="B78" s="164" t="s">
        <v>108</v>
      </c>
      <c r="C78" t="s">
        <v>18</v>
      </c>
      <c r="D78">
        <v>7</v>
      </c>
      <c r="E78">
        <v>140</v>
      </c>
      <c r="F78" t="s">
        <v>314</v>
      </c>
      <c r="G78">
        <v>499.9</v>
      </c>
      <c r="H78">
        <v>3499.3</v>
      </c>
      <c r="I78" s="153">
        <f t="shared" si="28"/>
        <v>0</v>
      </c>
      <c r="J78" s="5">
        <f t="shared" si="29"/>
        <v>1170.2444444444443</v>
      </c>
      <c r="K78" s="5">
        <f t="shared" si="30"/>
        <v>683.8065194532071</v>
      </c>
      <c r="L78" s="5">
        <f t="shared" si="31"/>
        <v>0</v>
      </c>
      <c r="M78" s="5">
        <f t="shared" si="32"/>
        <v>0</v>
      </c>
      <c r="N78" s="5">
        <f t="shared" si="33"/>
        <v>180.21290220820191</v>
      </c>
      <c r="O78" s="138">
        <f t="shared" si="34"/>
        <v>0</v>
      </c>
      <c r="P78" s="148" cm="1">
        <f t="array" ref="P78">_xlfn.XLOOKUP(C78,'Ürün Maliyeti1'!$I$162:$I$190,_xlfn.XLOOKUP(data!E78,'Ürün Maliyeti1'!$J$161:$O$161,'Ürün Maliyeti1'!$J$162:$O$190))</f>
        <v>167.17777777777775</v>
      </c>
      <c r="Q78" s="138">
        <f>IF(B78="burger",'Genel Gider'!$I$19,"₺ 0")</f>
        <v>97.686645636172443</v>
      </c>
      <c r="R78" s="138">
        <v>0</v>
      </c>
      <c r="S78" s="138">
        <v>0</v>
      </c>
      <c r="T78" s="138">
        <f>IF(B78="burger",'günlük genel gider maliyeti'!$H$10,"₺ 0")</f>
        <v>25.744700315457415</v>
      </c>
      <c r="U78" s="141">
        <f t="shared" si="35"/>
        <v>2034.2638661058531</v>
      </c>
      <c r="V78" s="5">
        <f t="shared" si="38"/>
        <v>1465.036133894147</v>
      </c>
      <c r="W78" s="105">
        <f t="shared" si="36"/>
        <v>209.29087627059243</v>
      </c>
      <c r="X78" s="136">
        <f t="shared" si="37"/>
        <v>0.41866548563831246</v>
      </c>
      <c r="AA78" s="84"/>
      <c r="AB78" s="103"/>
      <c r="AC78" s="94">
        <f>SUMIF(E:E,"600",D:D)</f>
        <v>0</v>
      </c>
    </row>
    <row r="79" spans="1:30" ht="21.75" thickBot="1" x14ac:dyDescent="0.4">
      <c r="A79" s="164">
        <v>45812</v>
      </c>
      <c r="B79" s="164" t="s">
        <v>108</v>
      </c>
      <c r="C79" t="s">
        <v>7</v>
      </c>
      <c r="D79">
        <v>2</v>
      </c>
      <c r="E79">
        <v>200</v>
      </c>
      <c r="F79" t="s">
        <v>365</v>
      </c>
      <c r="G79">
        <v>499.9</v>
      </c>
      <c r="H79">
        <v>999.8</v>
      </c>
      <c r="I79" s="153">
        <f t="shared" si="28"/>
        <v>0</v>
      </c>
      <c r="J79" s="5">
        <f t="shared" si="29"/>
        <v>369.57777777777773</v>
      </c>
      <c r="K79" s="5">
        <f t="shared" si="30"/>
        <v>195.37329127234489</v>
      </c>
      <c r="L79" s="5">
        <f t="shared" si="31"/>
        <v>174.0659340659341</v>
      </c>
      <c r="M79" s="5">
        <f t="shared" si="32"/>
        <v>31</v>
      </c>
      <c r="N79" s="5">
        <f t="shared" si="33"/>
        <v>51.48940063091483</v>
      </c>
      <c r="O79" s="138">
        <f t="shared" si="34"/>
        <v>0</v>
      </c>
      <c r="P79" s="148" cm="1">
        <f t="array" ref="P79">_xlfn.XLOOKUP(C79,'Ürün Maliyeti1'!$I$162:$I$190,_xlfn.XLOOKUP(data!E79,'Ürün Maliyeti1'!$J$161:$O$161,'Ürün Maliyeti1'!$J$162:$O$190))</f>
        <v>184.78888888888886</v>
      </c>
      <c r="Q79" s="138">
        <f>IF(B79="burger",'Genel Gider'!$I$19,"₺ 0")</f>
        <v>97.686645636172443</v>
      </c>
      <c r="R79" s="138">
        <f>IF(B79="burger",'servis maliyeti'!$H$7,"₺ 0")</f>
        <v>87.032967032967051</v>
      </c>
      <c r="S79" s="138">
        <f>IF(B79="burger",'paketleme maliyeti'!$F$9,"₺ 0")</f>
        <v>15.5</v>
      </c>
      <c r="T79" s="138">
        <f>IF(B79="burger",'günlük genel gider maliyeti'!$H$10,"₺ 0")</f>
        <v>25.744700315457415</v>
      </c>
      <c r="U79" s="141">
        <f t="shared" si="35"/>
        <v>821.50640374697161</v>
      </c>
      <c r="V79" s="5">
        <f t="shared" si="38"/>
        <v>178.29359625302834</v>
      </c>
      <c r="W79" s="105">
        <f t="shared" si="36"/>
        <v>89.14679812651417</v>
      </c>
      <c r="X79" s="136">
        <f t="shared" si="37"/>
        <v>0.17832926210544944</v>
      </c>
      <c r="AA79" s="95" t="s">
        <v>200</v>
      </c>
      <c r="AB79" s="96">
        <f>SUMIF(B$8:B$1048576,"Burger",D$8:D$1048576)</f>
        <v>317</v>
      </c>
      <c r="AC79" s="84"/>
    </row>
    <row r="80" spans="1:30" ht="21.75" thickBot="1" x14ac:dyDescent="0.4">
      <c r="A80" s="164">
        <v>45812</v>
      </c>
      <c r="B80" s="164" t="s">
        <v>108</v>
      </c>
      <c r="C80" t="s">
        <v>7</v>
      </c>
      <c r="D80">
        <v>1</v>
      </c>
      <c r="E80">
        <v>200</v>
      </c>
      <c r="F80" t="s">
        <v>314</v>
      </c>
      <c r="G80">
        <v>499.9</v>
      </c>
      <c r="H80">
        <v>498.9</v>
      </c>
      <c r="I80" s="153">
        <f t="shared" si="28"/>
        <v>0</v>
      </c>
      <c r="J80" s="5">
        <f t="shared" si="29"/>
        <v>184.78888888888886</v>
      </c>
      <c r="K80" s="5">
        <f t="shared" si="30"/>
        <v>97.686645636172443</v>
      </c>
      <c r="L80" s="5">
        <f t="shared" si="31"/>
        <v>0</v>
      </c>
      <c r="M80" s="5">
        <f t="shared" si="32"/>
        <v>0</v>
      </c>
      <c r="N80" s="5">
        <f t="shared" si="33"/>
        <v>25.744700315457415</v>
      </c>
      <c r="O80" s="138">
        <f t="shared" si="34"/>
        <v>0</v>
      </c>
      <c r="P80" s="148" cm="1">
        <f t="array" ref="P80">_xlfn.XLOOKUP(C80,'Ürün Maliyeti1'!$I$162:$I$190,_xlfn.XLOOKUP(data!E80,'Ürün Maliyeti1'!$J$161:$O$161,'Ürün Maliyeti1'!$J$162:$O$190))</f>
        <v>184.78888888888886</v>
      </c>
      <c r="Q80" s="138">
        <f>IF(B80="burger",'Genel Gider'!$I$19,"₺ 0")</f>
        <v>97.686645636172443</v>
      </c>
      <c r="R80" s="138">
        <v>0</v>
      </c>
      <c r="S80" s="138">
        <v>0</v>
      </c>
      <c r="T80" s="138">
        <f>IF(B80="burger",'günlük genel gider maliyeti'!$H$10,"₺ 0")</f>
        <v>25.744700315457415</v>
      </c>
      <c r="U80" s="141">
        <f t="shared" si="35"/>
        <v>308.22023484051874</v>
      </c>
      <c r="V80" s="5">
        <f t="shared" si="38"/>
        <v>190.67976515948124</v>
      </c>
      <c r="W80" s="105">
        <f t="shared" si="36"/>
        <v>190.67976515948124</v>
      </c>
      <c r="X80" s="136">
        <f t="shared" si="37"/>
        <v>0.38343621756247498</v>
      </c>
      <c r="AA80" s="84"/>
      <c r="AB80" s="84"/>
      <c r="AC80" s="84"/>
      <c r="AD80" s="51"/>
    </row>
    <row r="81" spans="1:34" ht="21" x14ac:dyDescent="0.35">
      <c r="A81" s="164">
        <v>45812</v>
      </c>
      <c r="B81" s="164" t="s">
        <v>108</v>
      </c>
      <c r="C81" t="s">
        <v>135</v>
      </c>
      <c r="D81">
        <v>1</v>
      </c>
      <c r="E81">
        <v>100</v>
      </c>
      <c r="F81" t="s">
        <v>216</v>
      </c>
      <c r="G81">
        <v>506.9</v>
      </c>
      <c r="H81">
        <v>506.9</v>
      </c>
      <c r="I81" s="153">
        <f t="shared" si="28"/>
        <v>65.390100000000004</v>
      </c>
      <c r="J81" s="5">
        <f t="shared" si="29"/>
        <v>131.74444444444444</v>
      </c>
      <c r="K81" s="5">
        <f t="shared" si="30"/>
        <v>97.686645636172443</v>
      </c>
      <c r="L81" s="5">
        <f t="shared" si="31"/>
        <v>87.032967032967051</v>
      </c>
      <c r="M81" s="5">
        <f t="shared" si="32"/>
        <v>15.5</v>
      </c>
      <c r="N81" s="5">
        <f t="shared" si="33"/>
        <v>25.744700315457415</v>
      </c>
      <c r="O81" s="138">
        <f t="shared" si="34"/>
        <v>65.390100000000004</v>
      </c>
      <c r="P81" s="148" cm="1">
        <f t="array" ref="P81">_xlfn.XLOOKUP(C81,'Ürün Maliyeti1'!$I$162:$I$190,_xlfn.XLOOKUP(data!E81,'Ürün Maliyeti1'!$J$161:$O$161,'Ürün Maliyeti1'!$J$162:$O$190))</f>
        <v>131.74444444444444</v>
      </c>
      <c r="Q81" s="138">
        <f>IF(B81="burger",'Genel Gider'!$I$19,"₺ 0")</f>
        <v>97.686645636172443</v>
      </c>
      <c r="R81" s="138">
        <f>IF(B81="burger",'servis maliyeti'!$H$7,"₺ 0")</f>
        <v>87.032967032967051</v>
      </c>
      <c r="S81" s="138">
        <f>IF(B81="burger",'paketleme maliyeti'!$F$9,"₺ 0")</f>
        <v>15.5</v>
      </c>
      <c r="T81" s="138">
        <f>IF(B81="burger",'günlük genel gider maliyeti'!$H$10,"₺ 0")</f>
        <v>25.744700315457415</v>
      </c>
      <c r="U81" s="141">
        <f t="shared" si="35"/>
        <v>423.09885742904135</v>
      </c>
      <c r="V81" s="5">
        <f t="shared" si="38"/>
        <v>83.801142570958632</v>
      </c>
      <c r="W81" s="105">
        <f t="shared" si="36"/>
        <v>83.801142570958632</v>
      </c>
      <c r="X81" s="136">
        <f t="shared" si="37"/>
        <v>0.16532085731102514</v>
      </c>
      <c r="AA81" s="97" t="s">
        <v>197</v>
      </c>
      <c r="AB81" s="98" t="s">
        <v>26</v>
      </c>
      <c r="AC81" s="165" t="s">
        <v>291</v>
      </c>
    </row>
    <row r="82" spans="1:34" ht="21" x14ac:dyDescent="0.35">
      <c r="A82" s="164">
        <v>45812</v>
      </c>
      <c r="B82" s="164" t="s">
        <v>108</v>
      </c>
      <c r="C82" t="s">
        <v>11</v>
      </c>
      <c r="D82">
        <v>1</v>
      </c>
      <c r="E82">
        <v>100</v>
      </c>
      <c r="F82" t="s">
        <v>216</v>
      </c>
      <c r="G82">
        <v>506.9</v>
      </c>
      <c r="H82">
        <v>506.9</v>
      </c>
      <c r="I82" s="153">
        <f t="shared" si="28"/>
        <v>65.390100000000004</v>
      </c>
      <c r="J82" s="5">
        <f t="shared" si="29"/>
        <v>126.24444444444444</v>
      </c>
      <c r="K82" s="5">
        <f t="shared" si="30"/>
        <v>97.686645636172443</v>
      </c>
      <c r="L82" s="5">
        <f t="shared" si="31"/>
        <v>87.032967032967051</v>
      </c>
      <c r="M82" s="5">
        <f t="shared" si="32"/>
        <v>15.5</v>
      </c>
      <c r="N82" s="5">
        <f t="shared" si="33"/>
        <v>25.744700315457415</v>
      </c>
      <c r="O82" s="138">
        <f t="shared" si="34"/>
        <v>65.390100000000004</v>
      </c>
      <c r="P82" s="148" cm="1">
        <f t="array" ref="P82">_xlfn.XLOOKUP(C82,'Ürün Maliyeti1'!$I$162:$I$190,_xlfn.XLOOKUP(data!E82,'Ürün Maliyeti1'!$J$161:$O$161,'Ürün Maliyeti1'!$J$162:$O$190))</f>
        <v>126.24444444444444</v>
      </c>
      <c r="Q82" s="138">
        <f>IF(B82="burger",'Genel Gider'!$I$19,"₺ 0")</f>
        <v>97.686645636172443</v>
      </c>
      <c r="R82" s="138">
        <f>IF(B82="burger",'servis maliyeti'!$H$7,"₺ 0")</f>
        <v>87.032967032967051</v>
      </c>
      <c r="S82" s="138">
        <f>IF(B82="burger",'paketleme maliyeti'!$F$9,"₺ 0")</f>
        <v>15.5</v>
      </c>
      <c r="T82" s="138">
        <f>IF(B82="burger",'günlük genel gider maliyeti'!$H$10,"₺ 0")</f>
        <v>25.744700315457415</v>
      </c>
      <c r="U82" s="141">
        <f t="shared" si="35"/>
        <v>417.59885742904135</v>
      </c>
      <c r="V82" s="5">
        <f t="shared" si="38"/>
        <v>89.301142570958632</v>
      </c>
      <c r="W82" s="105">
        <f t="shared" si="36"/>
        <v>89.301142570958632</v>
      </c>
      <c r="X82" s="136">
        <f t="shared" si="37"/>
        <v>0.176171123635744</v>
      </c>
      <c r="AA82" s="99" t="s">
        <v>218</v>
      </c>
      <c r="AB82" s="100">
        <f>AC70+(AC72*2)+(AC74*3)+(AC75*2)+AC76+(AC78*6)</f>
        <v>361</v>
      </c>
      <c r="AC82" s="84">
        <f>AB82*0.1</f>
        <v>36.1</v>
      </c>
      <c r="AD82" t="s">
        <v>209</v>
      </c>
    </row>
    <row r="83" spans="1:34" ht="21.75" thickBot="1" x14ac:dyDescent="0.4">
      <c r="A83" s="164">
        <v>45812</v>
      </c>
      <c r="B83" s="164" t="s">
        <v>108</v>
      </c>
      <c r="C83" t="s">
        <v>6</v>
      </c>
      <c r="D83">
        <v>3</v>
      </c>
      <c r="E83">
        <v>100</v>
      </c>
      <c r="F83" t="s">
        <v>340</v>
      </c>
      <c r="G83">
        <v>524.9</v>
      </c>
      <c r="H83">
        <v>1574.7</v>
      </c>
      <c r="I83" s="153">
        <f t="shared" si="28"/>
        <v>231.48089999999996</v>
      </c>
      <c r="J83" s="5">
        <f t="shared" si="29"/>
        <v>374.23333333333335</v>
      </c>
      <c r="K83" s="5">
        <f t="shared" si="30"/>
        <v>293.05993690851733</v>
      </c>
      <c r="L83" s="5">
        <f t="shared" si="31"/>
        <v>261.09890109890114</v>
      </c>
      <c r="M83" s="5">
        <f t="shared" si="32"/>
        <v>46.5</v>
      </c>
      <c r="N83" s="5">
        <f t="shared" si="33"/>
        <v>77.234100946372251</v>
      </c>
      <c r="O83" s="138">
        <f t="shared" si="34"/>
        <v>77.160299999999992</v>
      </c>
      <c r="P83" s="148" cm="1">
        <f t="array" ref="P83">_xlfn.XLOOKUP(C83,'Ürün Maliyeti1'!$I$162:$I$190,_xlfn.XLOOKUP(data!E83,'Ürün Maliyeti1'!$J$161:$O$161,'Ürün Maliyeti1'!$J$162:$O$190))</f>
        <v>124.74444444444444</v>
      </c>
      <c r="Q83" s="138">
        <f>IF(B83="burger",'Genel Gider'!$I$19,"₺ 0")</f>
        <v>97.686645636172443</v>
      </c>
      <c r="R83" s="138">
        <f>IF(B83="burger",'servis maliyeti'!$H$7,"₺ 0")</f>
        <v>87.032967032967051</v>
      </c>
      <c r="S83" s="138">
        <f>IF(B83="burger",'paketleme maliyeti'!$F$9,"₺ 0")</f>
        <v>15.5</v>
      </c>
      <c r="T83" s="138">
        <f>IF(B83="burger",'günlük genel gider maliyeti'!$H$10,"₺ 0")</f>
        <v>25.744700315457415</v>
      </c>
      <c r="U83" s="141">
        <f t="shared" si="35"/>
        <v>1283.6071722871241</v>
      </c>
      <c r="V83" s="5">
        <f t="shared" si="38"/>
        <v>291.09282771287599</v>
      </c>
      <c r="W83" s="105">
        <f t="shared" si="36"/>
        <v>97.030942570958658</v>
      </c>
      <c r="X83" s="136">
        <f t="shared" si="37"/>
        <v>0.18485605366919156</v>
      </c>
      <c r="AA83" s="101" t="s">
        <v>219</v>
      </c>
      <c r="AB83" s="102">
        <f>AC71+(AC73*2)+AC75+(AC76*2)+(AC77*3)</f>
        <v>84</v>
      </c>
      <c r="AC83" s="84">
        <f>AB83*0.14</f>
        <v>11.760000000000002</v>
      </c>
      <c r="AE83">
        <v>100</v>
      </c>
      <c r="AF83">
        <v>140</v>
      </c>
      <c r="AG83">
        <v>200</v>
      </c>
      <c r="AH83">
        <v>280</v>
      </c>
    </row>
    <row r="84" spans="1:34" ht="21" x14ac:dyDescent="0.35">
      <c r="A84" s="164">
        <v>45812</v>
      </c>
      <c r="B84" s="164" t="s">
        <v>108</v>
      </c>
      <c r="C84" t="s">
        <v>7</v>
      </c>
      <c r="D84">
        <v>12</v>
      </c>
      <c r="E84">
        <v>100</v>
      </c>
      <c r="F84" t="s">
        <v>340</v>
      </c>
      <c r="G84">
        <v>524.9</v>
      </c>
      <c r="H84">
        <v>6298.8</v>
      </c>
      <c r="I84" s="153">
        <f t="shared" si="28"/>
        <v>925.92359999999985</v>
      </c>
      <c r="J84" s="5">
        <f t="shared" si="29"/>
        <v>1478.9333333333334</v>
      </c>
      <c r="K84" s="5">
        <f t="shared" si="30"/>
        <v>1172.2397476340693</v>
      </c>
      <c r="L84" s="5">
        <f t="shared" si="31"/>
        <v>1044.3956043956046</v>
      </c>
      <c r="M84" s="5">
        <f t="shared" si="32"/>
        <v>186</v>
      </c>
      <c r="N84" s="5">
        <f t="shared" si="33"/>
        <v>308.93640378548901</v>
      </c>
      <c r="O84" s="138">
        <f t="shared" si="34"/>
        <v>77.160299999999992</v>
      </c>
      <c r="P84" s="148" cm="1">
        <f t="array" ref="P84">_xlfn.XLOOKUP(C84,'Ürün Maliyeti1'!$I$162:$I$190,_xlfn.XLOOKUP(data!E84,'Ürün Maliyeti1'!$J$161:$O$161,'Ürün Maliyeti1'!$J$162:$O$190))</f>
        <v>123.24444444444444</v>
      </c>
      <c r="Q84" s="138">
        <f>IF(B84="burger",'Genel Gider'!$I$19,"₺ 0")</f>
        <v>97.686645636172443</v>
      </c>
      <c r="R84" s="138">
        <f>IF(B84="burger",'servis maliyeti'!$H$7,"₺ 0")</f>
        <v>87.032967032967051</v>
      </c>
      <c r="S84" s="138">
        <f>IF(B84="burger",'paketleme maliyeti'!$F$9,"₺ 0")</f>
        <v>15.5</v>
      </c>
      <c r="T84" s="138">
        <f>IF(B84="burger",'günlük genel gider maliyeti'!$H$10,"₺ 0")</f>
        <v>25.744700315457415</v>
      </c>
      <c r="U84" s="141">
        <f t="shared" si="35"/>
        <v>5116.4286891484962</v>
      </c>
      <c r="V84" s="5">
        <f t="shared" si="38"/>
        <v>1182.3713108515039</v>
      </c>
      <c r="W84" s="105">
        <f t="shared" si="36"/>
        <v>98.530942570958658</v>
      </c>
      <c r="X84" s="136">
        <f t="shared" si="37"/>
        <v>0.18771374084770176</v>
      </c>
      <c r="AA84" s="84"/>
      <c r="AB84" s="84">
        <f>AC84/1000*'Ürün Maliyeti1'!J140</f>
        <v>24.8872</v>
      </c>
      <c r="AC84" s="84">
        <f>AC82+AC83</f>
        <v>47.86</v>
      </c>
      <c r="AD84" t="s">
        <v>5</v>
      </c>
      <c r="AE84">
        <v>121.85555555555555</v>
      </c>
      <c r="AF84">
        <v>140.27777777777777</v>
      </c>
      <c r="AG84">
        <v>207.05555555555554</v>
      </c>
      <c r="AH84">
        <v>245.45555555555555</v>
      </c>
    </row>
    <row r="85" spans="1:34" ht="21" x14ac:dyDescent="0.35">
      <c r="A85" s="164">
        <v>45812</v>
      </c>
      <c r="B85" s="164" t="s">
        <v>108</v>
      </c>
      <c r="C85" t="s">
        <v>6</v>
      </c>
      <c r="D85">
        <v>1</v>
      </c>
      <c r="E85">
        <v>100</v>
      </c>
      <c r="F85" t="s">
        <v>340</v>
      </c>
      <c r="G85">
        <v>524.9</v>
      </c>
      <c r="H85">
        <v>524.9</v>
      </c>
      <c r="I85" s="153">
        <f t="shared" si="28"/>
        <v>77.160299999999992</v>
      </c>
      <c r="J85" s="5">
        <f t="shared" si="29"/>
        <v>124.74444444444444</v>
      </c>
      <c r="K85" s="5">
        <f t="shared" si="30"/>
        <v>97.686645636172443</v>
      </c>
      <c r="L85" s="5">
        <f t="shared" si="31"/>
        <v>87.032967032967051</v>
      </c>
      <c r="M85" s="5">
        <f t="shared" si="32"/>
        <v>15.5</v>
      </c>
      <c r="N85" s="5">
        <f t="shared" si="33"/>
        <v>25.744700315457415</v>
      </c>
      <c r="O85" s="138">
        <f t="shared" si="34"/>
        <v>77.160299999999992</v>
      </c>
      <c r="P85" s="148" cm="1">
        <f t="array" ref="P85">_xlfn.XLOOKUP(C85,'Ürün Maliyeti1'!$I$162:$I$190,_xlfn.XLOOKUP(data!E85,'Ürün Maliyeti1'!$J$161:$O$161,'Ürün Maliyeti1'!$J$162:$O$190))</f>
        <v>124.74444444444444</v>
      </c>
      <c r="Q85" s="138">
        <f>IF(B85="burger",'Genel Gider'!$I$19,"₺ 0")</f>
        <v>97.686645636172443</v>
      </c>
      <c r="R85" s="138">
        <f>IF(B85="burger",'servis maliyeti'!$H$7,"₺ 0")</f>
        <v>87.032967032967051</v>
      </c>
      <c r="S85" s="138">
        <f>IF(B85="burger",'paketleme maliyeti'!$F$9,"₺ 0")</f>
        <v>15.5</v>
      </c>
      <c r="T85" s="138">
        <f>IF(B85="burger",'günlük genel gider maliyeti'!$H$10,"₺ 0")</f>
        <v>25.744700315457415</v>
      </c>
      <c r="U85" s="141">
        <f t="shared" si="35"/>
        <v>427.86905742904133</v>
      </c>
      <c r="V85" s="5">
        <f t="shared" si="38"/>
        <v>97.030942570958644</v>
      </c>
      <c r="W85" s="105">
        <f t="shared" si="36"/>
        <v>97.030942570958644</v>
      </c>
      <c r="X85" s="136">
        <f t="shared" si="37"/>
        <v>0.18485605366919156</v>
      </c>
      <c r="AA85" s="84"/>
      <c r="AB85" s="84"/>
      <c r="AC85" s="84"/>
      <c r="AD85" t="s">
        <v>7</v>
      </c>
      <c r="AE85">
        <v>98.86388888888888</v>
      </c>
      <c r="AF85">
        <v>118.0638888888889</v>
      </c>
      <c r="AG85">
        <v>159.12777777777777</v>
      </c>
      <c r="AH85">
        <v>190.72777777777776</v>
      </c>
    </row>
    <row r="86" spans="1:34" ht="21" x14ac:dyDescent="0.35">
      <c r="A86" s="164">
        <v>45812</v>
      </c>
      <c r="B86" s="164" t="s">
        <v>108</v>
      </c>
      <c r="C86" t="s">
        <v>7</v>
      </c>
      <c r="D86">
        <v>31</v>
      </c>
      <c r="E86">
        <v>100</v>
      </c>
      <c r="F86" t="s">
        <v>340</v>
      </c>
      <c r="G86">
        <v>524.9</v>
      </c>
      <c r="H86">
        <v>16271.9</v>
      </c>
      <c r="I86" s="153">
        <f t="shared" si="28"/>
        <v>2391.9692999999997</v>
      </c>
      <c r="J86" s="5">
        <f t="shared" si="29"/>
        <v>3820.5777777777776</v>
      </c>
      <c r="K86" s="5">
        <f t="shared" si="30"/>
        <v>3028.286014721346</v>
      </c>
      <c r="L86" s="5">
        <f t="shared" si="31"/>
        <v>2698.0219780219786</v>
      </c>
      <c r="M86" s="5">
        <f t="shared" si="32"/>
        <v>480.5</v>
      </c>
      <c r="N86" s="5">
        <f t="shared" si="33"/>
        <v>798.08570977917987</v>
      </c>
      <c r="O86" s="138">
        <f t="shared" si="34"/>
        <v>77.160299999999992</v>
      </c>
      <c r="P86" s="148" cm="1">
        <f t="array" ref="P86">_xlfn.XLOOKUP(C86,'Ürün Maliyeti1'!$I$162:$I$190,_xlfn.XLOOKUP(data!E86,'Ürün Maliyeti1'!$J$161:$O$161,'Ürün Maliyeti1'!$J$162:$O$190))</f>
        <v>123.24444444444444</v>
      </c>
      <c r="Q86" s="138">
        <f>IF(B86="burger",'Genel Gider'!$I$19,"₺ 0")</f>
        <v>97.686645636172443</v>
      </c>
      <c r="R86" s="138">
        <f>IF(B86="burger",'servis maliyeti'!$H$7,"₺ 0")</f>
        <v>87.032967032967051</v>
      </c>
      <c r="S86" s="138">
        <f>IF(B86="burger",'paketleme maliyeti'!$F$9,"₺ 0")</f>
        <v>15.5</v>
      </c>
      <c r="T86" s="138">
        <f>IF(B86="burger",'günlük genel gider maliyeti'!$H$10,"₺ 0")</f>
        <v>25.744700315457415</v>
      </c>
      <c r="U86" s="141">
        <f t="shared" si="35"/>
        <v>13217.440780300281</v>
      </c>
      <c r="V86" s="5">
        <f t="shared" si="38"/>
        <v>3054.4592196997182</v>
      </c>
      <c r="W86" s="105">
        <f t="shared" si="36"/>
        <v>98.530942570958658</v>
      </c>
      <c r="X86" s="136">
        <f t="shared" si="37"/>
        <v>0.18771374084770176</v>
      </c>
      <c r="AA86" s="84"/>
      <c r="AB86" s="85"/>
      <c r="AC86" s="84"/>
      <c r="AD86" t="s">
        <v>6</v>
      </c>
      <c r="AE86">
        <v>99.36388888888888</v>
      </c>
      <c r="AF86">
        <v>118.5638888888889</v>
      </c>
      <c r="AG86">
        <v>159.62777777777777</v>
      </c>
      <c r="AH86">
        <v>198.02777777777777</v>
      </c>
    </row>
    <row r="87" spans="1:34" ht="21" x14ac:dyDescent="0.35">
      <c r="A87" s="164">
        <v>45812</v>
      </c>
      <c r="B87" s="164" t="s">
        <v>108</v>
      </c>
      <c r="C87" t="s">
        <v>9</v>
      </c>
      <c r="D87">
        <v>1</v>
      </c>
      <c r="E87">
        <v>100</v>
      </c>
      <c r="F87" t="s">
        <v>100</v>
      </c>
      <c r="G87">
        <v>529.9</v>
      </c>
      <c r="H87">
        <v>529.9</v>
      </c>
      <c r="I87" s="153">
        <f t="shared" si="28"/>
        <v>47.690999999999995</v>
      </c>
      <c r="J87" s="5">
        <f t="shared" si="29"/>
        <v>124.74444444444444</v>
      </c>
      <c r="K87" s="5">
        <f t="shared" si="30"/>
        <v>97.686645636172443</v>
      </c>
      <c r="L87" s="5">
        <f t="shared" si="31"/>
        <v>87.032967032967051</v>
      </c>
      <c r="M87" s="5">
        <f t="shared" si="32"/>
        <v>15.5</v>
      </c>
      <c r="N87" s="5">
        <f t="shared" si="33"/>
        <v>25.744700315457415</v>
      </c>
      <c r="O87" s="138">
        <f t="shared" si="34"/>
        <v>47.690999999999995</v>
      </c>
      <c r="P87" s="148" cm="1">
        <f t="array" ref="P87">_xlfn.XLOOKUP(C87,'Ürün Maliyeti1'!$I$162:$I$190,_xlfn.XLOOKUP(data!E87,'Ürün Maliyeti1'!$J$161:$O$161,'Ürün Maliyeti1'!$J$162:$O$190))</f>
        <v>124.74444444444444</v>
      </c>
      <c r="Q87" s="138">
        <f>IF(B87="burger",'Genel Gider'!$I$19,"₺ 0")</f>
        <v>97.686645636172443</v>
      </c>
      <c r="R87" s="138">
        <f>IF(B87="burger",'servis maliyeti'!$H$7,"₺ 0")</f>
        <v>87.032967032967051</v>
      </c>
      <c r="S87" s="138">
        <f>IF(B87="burger",'paketleme maliyeti'!$F$9,"₺ 0")</f>
        <v>15.5</v>
      </c>
      <c r="T87" s="138">
        <f>IF(B87="burger",'günlük genel gider maliyeti'!$H$10,"₺ 0")</f>
        <v>25.744700315457415</v>
      </c>
      <c r="U87" s="141">
        <f t="shared" si="35"/>
        <v>398.39975742904136</v>
      </c>
      <c r="V87" s="5">
        <f t="shared" si="38"/>
        <v>131.50024257095862</v>
      </c>
      <c r="W87" s="105">
        <f t="shared" si="36"/>
        <v>131.50024257095862</v>
      </c>
      <c r="X87" s="136">
        <f t="shared" si="37"/>
        <v>0.24816048796180151</v>
      </c>
      <c r="AA87" s="155"/>
      <c r="AB87" s="156"/>
      <c r="AC87" s="84"/>
      <c r="AD87" t="s">
        <v>9</v>
      </c>
      <c r="AE87">
        <v>100.36388888888888</v>
      </c>
      <c r="AF87">
        <v>119.5638888888889</v>
      </c>
      <c r="AG87">
        <v>160.62777777777777</v>
      </c>
      <c r="AH87">
        <v>199.02777777777777</v>
      </c>
    </row>
    <row r="88" spans="1:34" ht="21" x14ac:dyDescent="0.35">
      <c r="A88" s="164">
        <v>45812</v>
      </c>
      <c r="B88" s="164" t="s">
        <v>108</v>
      </c>
      <c r="C88" t="s">
        <v>10</v>
      </c>
      <c r="D88">
        <v>1</v>
      </c>
      <c r="E88">
        <v>100</v>
      </c>
      <c r="F88" t="s">
        <v>100</v>
      </c>
      <c r="G88">
        <v>529.9</v>
      </c>
      <c r="H88">
        <v>529.9</v>
      </c>
      <c r="I88" s="153">
        <f t="shared" si="28"/>
        <v>47.690999999999995</v>
      </c>
      <c r="J88" s="5">
        <f t="shared" si="29"/>
        <v>123.24444444444444</v>
      </c>
      <c r="K88" s="5">
        <f t="shared" si="30"/>
        <v>97.686645636172443</v>
      </c>
      <c r="L88" s="5">
        <f t="shared" si="31"/>
        <v>87.032967032967051</v>
      </c>
      <c r="M88" s="5">
        <f t="shared" si="32"/>
        <v>15.5</v>
      </c>
      <c r="N88" s="5">
        <f t="shared" si="33"/>
        <v>25.744700315457415</v>
      </c>
      <c r="O88" s="138">
        <f t="shared" si="34"/>
        <v>47.690999999999995</v>
      </c>
      <c r="P88" s="148" cm="1">
        <f t="array" ref="P88">_xlfn.XLOOKUP(C88,'Ürün Maliyeti1'!$I$162:$I$190,_xlfn.XLOOKUP(data!E88,'Ürün Maliyeti1'!$J$161:$O$161,'Ürün Maliyeti1'!$J$162:$O$190))</f>
        <v>123.24444444444444</v>
      </c>
      <c r="Q88" s="138">
        <f>IF(B88="burger",'Genel Gider'!$I$19,"₺ 0")</f>
        <v>97.686645636172443</v>
      </c>
      <c r="R88" s="138">
        <f>IF(B88="burger",'servis maliyeti'!$H$7,"₺ 0")</f>
        <v>87.032967032967051</v>
      </c>
      <c r="S88" s="138">
        <f>IF(B88="burger",'paketleme maliyeti'!$F$9,"₺ 0")</f>
        <v>15.5</v>
      </c>
      <c r="T88" s="138">
        <f>IF(B88="burger",'günlük genel gider maliyeti'!$H$10,"₺ 0")</f>
        <v>25.744700315457415</v>
      </c>
      <c r="U88" s="141">
        <f t="shared" si="35"/>
        <v>396.89975742904136</v>
      </c>
      <c r="V88" s="5">
        <f t="shared" si="38"/>
        <v>133.00024257095862</v>
      </c>
      <c r="W88" s="105">
        <f t="shared" si="36"/>
        <v>133.00024257095862</v>
      </c>
      <c r="X88" s="136">
        <f t="shared" si="37"/>
        <v>0.25099121073968411</v>
      </c>
      <c r="AA88" s="155"/>
      <c r="AB88" s="157"/>
      <c r="AC88" s="84"/>
      <c r="AD88" t="s">
        <v>10</v>
      </c>
      <c r="AE88">
        <v>98.86388888888888</v>
      </c>
      <c r="AF88">
        <v>118.0638888888889</v>
      </c>
      <c r="AG88">
        <v>160.62777777777777</v>
      </c>
      <c r="AH88">
        <v>199.02777777777777</v>
      </c>
    </row>
    <row r="89" spans="1:34" ht="21" x14ac:dyDescent="0.35">
      <c r="A89" s="164">
        <v>45812</v>
      </c>
      <c r="B89" s="164" t="s">
        <v>108</v>
      </c>
      <c r="C89" t="s">
        <v>6</v>
      </c>
      <c r="D89">
        <v>1</v>
      </c>
      <c r="E89">
        <v>100</v>
      </c>
      <c r="F89" t="s">
        <v>100</v>
      </c>
      <c r="G89">
        <v>529.9</v>
      </c>
      <c r="H89">
        <v>529.9</v>
      </c>
      <c r="I89" s="153">
        <f t="shared" si="28"/>
        <v>47.690999999999995</v>
      </c>
      <c r="J89" s="5">
        <f t="shared" si="29"/>
        <v>124.74444444444444</v>
      </c>
      <c r="K89" s="5">
        <f t="shared" si="30"/>
        <v>97.686645636172443</v>
      </c>
      <c r="L89" s="5">
        <f t="shared" si="31"/>
        <v>87.032967032967051</v>
      </c>
      <c r="M89" s="5">
        <f t="shared" si="32"/>
        <v>15.5</v>
      </c>
      <c r="N89" s="5">
        <f t="shared" si="33"/>
        <v>25.744700315457415</v>
      </c>
      <c r="O89" s="138">
        <f t="shared" si="34"/>
        <v>47.690999999999995</v>
      </c>
      <c r="P89" s="148" cm="1">
        <f t="array" ref="P89">_xlfn.XLOOKUP(C89,'Ürün Maliyeti1'!$I$162:$I$190,_xlfn.XLOOKUP(data!E89,'Ürün Maliyeti1'!$J$161:$O$161,'Ürün Maliyeti1'!$J$162:$O$190))</f>
        <v>124.74444444444444</v>
      </c>
      <c r="Q89" s="138">
        <f>IF(B89="burger",'Genel Gider'!$I$19,"₺ 0")</f>
        <v>97.686645636172443</v>
      </c>
      <c r="R89" s="138">
        <f>IF(B89="burger",'servis maliyeti'!$H$7,"₺ 0")</f>
        <v>87.032967032967051</v>
      </c>
      <c r="S89" s="138">
        <f>IF(B89="burger",'paketleme maliyeti'!$F$9,"₺ 0")</f>
        <v>15.5</v>
      </c>
      <c r="T89" s="138">
        <f>IF(B89="burger",'günlük genel gider maliyeti'!$H$10,"₺ 0")</f>
        <v>25.744700315457415</v>
      </c>
      <c r="U89" s="141">
        <f t="shared" si="35"/>
        <v>398.39975742904136</v>
      </c>
      <c r="V89" s="5">
        <f t="shared" si="38"/>
        <v>131.50024257095862</v>
      </c>
      <c r="W89" s="105">
        <f t="shared" si="36"/>
        <v>131.50024257095862</v>
      </c>
      <c r="X89" s="136">
        <f t="shared" si="37"/>
        <v>0.24816048796180151</v>
      </c>
      <c r="AA89" s="155"/>
      <c r="AB89" s="156"/>
      <c r="AC89" s="84"/>
      <c r="AD89" t="s">
        <v>11</v>
      </c>
      <c r="AE89">
        <v>102.86388888888888</v>
      </c>
      <c r="AF89">
        <v>122.0638888888889</v>
      </c>
      <c r="AG89">
        <v>163.12777777777777</v>
      </c>
      <c r="AH89">
        <v>201.52777777777777</v>
      </c>
    </row>
    <row r="90" spans="1:34" ht="21" x14ac:dyDescent="0.35">
      <c r="A90" s="164">
        <v>45812</v>
      </c>
      <c r="B90" s="164" t="s">
        <v>108</v>
      </c>
      <c r="C90" t="s">
        <v>6</v>
      </c>
      <c r="D90">
        <v>2</v>
      </c>
      <c r="E90">
        <v>100</v>
      </c>
      <c r="F90" t="s">
        <v>100</v>
      </c>
      <c r="G90">
        <v>529.9</v>
      </c>
      <c r="H90">
        <v>1059.8</v>
      </c>
      <c r="I90" s="153">
        <f t="shared" si="28"/>
        <v>95.381999999999991</v>
      </c>
      <c r="J90" s="5">
        <f t="shared" si="29"/>
        <v>249.48888888888888</v>
      </c>
      <c r="K90" s="5">
        <f t="shared" si="30"/>
        <v>195.37329127234489</v>
      </c>
      <c r="L90" s="5">
        <f t="shared" si="31"/>
        <v>174.0659340659341</v>
      </c>
      <c r="M90" s="5">
        <f t="shared" si="32"/>
        <v>31</v>
      </c>
      <c r="N90" s="5">
        <f t="shared" si="33"/>
        <v>51.48940063091483</v>
      </c>
      <c r="O90" s="138">
        <f t="shared" si="34"/>
        <v>47.690999999999995</v>
      </c>
      <c r="P90" s="148" cm="1">
        <f t="array" ref="P90">_xlfn.XLOOKUP(C90,'Ürün Maliyeti1'!$I$162:$I$190,_xlfn.XLOOKUP(data!E90,'Ürün Maliyeti1'!$J$161:$O$161,'Ürün Maliyeti1'!$J$162:$O$190))</f>
        <v>124.74444444444444</v>
      </c>
      <c r="Q90" s="138">
        <f>IF(B90="burger",'Genel Gider'!$I$19,"₺ 0")</f>
        <v>97.686645636172443</v>
      </c>
      <c r="R90" s="138">
        <f>IF(B90="burger",'servis maliyeti'!$H$7,"₺ 0")</f>
        <v>87.032967032967051</v>
      </c>
      <c r="S90" s="138">
        <f>IF(B90="burger",'paketleme maliyeti'!$F$9,"₺ 0")</f>
        <v>15.5</v>
      </c>
      <c r="T90" s="138">
        <f>IF(B90="burger",'günlük genel gider maliyeti'!$H$10,"₺ 0")</f>
        <v>25.744700315457415</v>
      </c>
      <c r="U90" s="141">
        <f t="shared" si="35"/>
        <v>796.79951485808272</v>
      </c>
      <c r="V90" s="5">
        <f t="shared" si="38"/>
        <v>263.00048514191724</v>
      </c>
      <c r="W90" s="105">
        <f t="shared" si="36"/>
        <v>131.50024257095862</v>
      </c>
      <c r="X90" s="136">
        <f t="shared" si="37"/>
        <v>0.24816048796180151</v>
      </c>
      <c r="AA90" s="155"/>
      <c r="AB90" s="157"/>
      <c r="AC90" s="84"/>
      <c r="AD90" t="s">
        <v>13</v>
      </c>
      <c r="AE90">
        <v>105.86388888888888</v>
      </c>
      <c r="AF90">
        <v>125.0638888888889</v>
      </c>
      <c r="AG90">
        <v>159.12777777777777</v>
      </c>
      <c r="AH90">
        <v>197.52777777777777</v>
      </c>
    </row>
    <row r="91" spans="1:34" ht="21" x14ac:dyDescent="0.35">
      <c r="A91" s="164">
        <v>45812</v>
      </c>
      <c r="B91" s="164" t="s">
        <v>108</v>
      </c>
      <c r="C91" t="s">
        <v>7</v>
      </c>
      <c r="D91">
        <v>11</v>
      </c>
      <c r="E91">
        <v>100</v>
      </c>
      <c r="F91" t="s">
        <v>100</v>
      </c>
      <c r="G91">
        <v>529.9</v>
      </c>
      <c r="H91">
        <v>5828.9</v>
      </c>
      <c r="I91" s="153">
        <f t="shared" si="28"/>
        <v>524.601</v>
      </c>
      <c r="J91" s="5">
        <f t="shared" si="29"/>
        <v>1355.6888888888889</v>
      </c>
      <c r="K91" s="5">
        <f t="shared" si="30"/>
        <v>1074.5531019978969</v>
      </c>
      <c r="L91" s="5">
        <f t="shared" si="31"/>
        <v>957.36263736263754</v>
      </c>
      <c r="M91" s="5">
        <f t="shared" si="32"/>
        <v>170.5</v>
      </c>
      <c r="N91" s="5">
        <f t="shared" si="33"/>
        <v>283.19170347003154</v>
      </c>
      <c r="O91" s="138">
        <f t="shared" si="34"/>
        <v>47.691000000000003</v>
      </c>
      <c r="P91" s="148" cm="1">
        <f t="array" ref="P91">_xlfn.XLOOKUP(C91,'Ürün Maliyeti1'!$I$162:$I$190,_xlfn.XLOOKUP(data!E91,'Ürün Maliyeti1'!$J$161:$O$161,'Ürün Maliyeti1'!$J$162:$O$190))</f>
        <v>123.24444444444444</v>
      </c>
      <c r="Q91" s="138">
        <f>IF(B91="burger",'Genel Gider'!$I$19,"₺ 0")</f>
        <v>97.686645636172443</v>
      </c>
      <c r="R91" s="138">
        <f>IF(B91="burger",'servis maliyeti'!$H$7,"₺ 0")</f>
        <v>87.032967032967051</v>
      </c>
      <c r="S91" s="138">
        <f>IF(B91="burger",'paketleme maliyeti'!$F$9,"₺ 0")</f>
        <v>15.5</v>
      </c>
      <c r="T91" s="138">
        <f>IF(B91="burger",'günlük genel gider maliyeti'!$H$10,"₺ 0")</f>
        <v>25.744700315457415</v>
      </c>
      <c r="U91" s="141">
        <f t="shared" si="35"/>
        <v>4365.897331719455</v>
      </c>
      <c r="V91" s="5">
        <f t="shared" si="38"/>
        <v>1463.0026682805446</v>
      </c>
      <c r="W91" s="105">
        <f t="shared" si="36"/>
        <v>133.00024257095859</v>
      </c>
      <c r="X91" s="136">
        <f t="shared" si="37"/>
        <v>0.25099121073968411</v>
      </c>
      <c r="AA91" s="155"/>
      <c r="AB91" s="156"/>
      <c r="AC91" s="84"/>
      <c r="AD91" t="s">
        <v>18</v>
      </c>
      <c r="AE91">
        <v>127.86388888888888</v>
      </c>
      <c r="AF91">
        <v>147.0638888888889</v>
      </c>
      <c r="AG91">
        <v>216.12777777777777</v>
      </c>
      <c r="AH91">
        <v>254.52777777777777</v>
      </c>
    </row>
    <row r="92" spans="1:34" ht="21" x14ac:dyDescent="0.35">
      <c r="A92" s="164">
        <v>45812</v>
      </c>
      <c r="B92" s="164" t="s">
        <v>108</v>
      </c>
      <c r="C92" t="s">
        <v>7</v>
      </c>
      <c r="D92">
        <v>1</v>
      </c>
      <c r="E92">
        <v>100</v>
      </c>
      <c r="F92" t="s">
        <v>340</v>
      </c>
      <c r="G92">
        <v>530.9</v>
      </c>
      <c r="H92">
        <v>530.9</v>
      </c>
      <c r="I92" s="153">
        <f t="shared" si="28"/>
        <v>78.042299999999997</v>
      </c>
      <c r="J92" s="5">
        <f t="shared" si="29"/>
        <v>123.24444444444444</v>
      </c>
      <c r="K92" s="5">
        <f t="shared" si="30"/>
        <v>97.686645636172443</v>
      </c>
      <c r="L92" s="5">
        <f t="shared" si="31"/>
        <v>87.032967032967051</v>
      </c>
      <c r="M92" s="5">
        <f t="shared" si="32"/>
        <v>15.5</v>
      </c>
      <c r="N92" s="5">
        <f t="shared" si="33"/>
        <v>25.744700315457415</v>
      </c>
      <c r="O92" s="138">
        <f t="shared" si="34"/>
        <v>78.042299999999997</v>
      </c>
      <c r="P92" s="148" cm="1">
        <f t="array" ref="P92">_xlfn.XLOOKUP(C92,'Ürün Maliyeti1'!$I$162:$I$190,_xlfn.XLOOKUP(data!E92,'Ürün Maliyeti1'!$J$161:$O$161,'Ürün Maliyeti1'!$J$162:$O$190))</f>
        <v>123.24444444444444</v>
      </c>
      <c r="Q92" s="138">
        <f>IF(B92="burger",'Genel Gider'!$I$19,"₺ 0")</f>
        <v>97.686645636172443</v>
      </c>
      <c r="R92" s="138">
        <f>IF(B92="burger",'servis maliyeti'!$H$7,"₺ 0")</f>
        <v>87.032967032967051</v>
      </c>
      <c r="S92" s="138">
        <f>IF(B92="burger",'paketleme maliyeti'!$F$9,"₺ 0")</f>
        <v>15.5</v>
      </c>
      <c r="T92" s="138">
        <f>IF(B92="burger",'günlük genel gider maliyeti'!$H$10,"₺ 0")</f>
        <v>25.744700315457415</v>
      </c>
      <c r="U92" s="141">
        <f t="shared" si="35"/>
        <v>427.25105742904134</v>
      </c>
      <c r="V92" s="5">
        <f t="shared" si="38"/>
        <v>103.64894257095864</v>
      </c>
      <c r="W92" s="105">
        <f t="shared" si="36"/>
        <v>103.64894257095864</v>
      </c>
      <c r="X92" s="136">
        <f t="shared" si="37"/>
        <v>0.19523251567330691</v>
      </c>
      <c r="AA92" s="155"/>
      <c r="AB92" s="156"/>
      <c r="AC92" s="84"/>
      <c r="AD92" t="s">
        <v>135</v>
      </c>
      <c r="AE92">
        <v>104.36388888888888</v>
      </c>
      <c r="AF92">
        <v>123.5638888888889</v>
      </c>
      <c r="AG92">
        <v>164.62777777777777</v>
      </c>
      <c r="AH92">
        <v>203.02777777777777</v>
      </c>
    </row>
    <row r="93" spans="1:34" ht="21" x14ac:dyDescent="0.35">
      <c r="A93" s="164">
        <v>45812</v>
      </c>
      <c r="B93" s="164" t="s">
        <v>108</v>
      </c>
      <c r="C93" t="s">
        <v>135</v>
      </c>
      <c r="D93">
        <v>3</v>
      </c>
      <c r="E93">
        <v>100</v>
      </c>
      <c r="F93" t="s">
        <v>340</v>
      </c>
      <c r="G93">
        <v>534.9</v>
      </c>
      <c r="H93">
        <v>1604.7</v>
      </c>
      <c r="I93" s="153">
        <f t="shared" si="28"/>
        <v>235.89089999999999</v>
      </c>
      <c r="J93" s="5">
        <f t="shared" si="29"/>
        <v>395.23333333333335</v>
      </c>
      <c r="K93" s="5">
        <f t="shared" si="30"/>
        <v>293.05993690851733</v>
      </c>
      <c r="L93" s="5">
        <f t="shared" si="31"/>
        <v>261.09890109890114</v>
      </c>
      <c r="M93" s="5">
        <f t="shared" si="32"/>
        <v>46.5</v>
      </c>
      <c r="N93" s="5">
        <f t="shared" si="33"/>
        <v>77.234100946372251</v>
      </c>
      <c r="O93" s="138">
        <f t="shared" si="34"/>
        <v>78.630299999999991</v>
      </c>
      <c r="P93" s="148" cm="1">
        <f t="array" ref="P93">_xlfn.XLOOKUP(C93,'Ürün Maliyeti1'!$I$162:$I$190,_xlfn.XLOOKUP(data!E93,'Ürün Maliyeti1'!$J$161:$O$161,'Ürün Maliyeti1'!$J$162:$O$190))</f>
        <v>131.74444444444444</v>
      </c>
      <c r="Q93" s="138">
        <f>IF(B93="burger",'Genel Gider'!$I$19,"₺ 0")</f>
        <v>97.686645636172443</v>
      </c>
      <c r="R93" s="138">
        <f>IF(B93="burger",'servis maliyeti'!$H$7,"₺ 0")</f>
        <v>87.032967032967051</v>
      </c>
      <c r="S93" s="138">
        <f>IF(B93="burger",'paketleme maliyeti'!$F$9,"₺ 0")</f>
        <v>15.5</v>
      </c>
      <c r="T93" s="138">
        <f>IF(B93="burger",'günlük genel gider maliyeti'!$H$10,"₺ 0")</f>
        <v>25.744700315457415</v>
      </c>
      <c r="U93" s="141">
        <f t="shared" si="35"/>
        <v>1309.0171722871241</v>
      </c>
      <c r="V93" s="5">
        <f t="shared" si="38"/>
        <v>295.68282771287591</v>
      </c>
      <c r="W93" s="105">
        <f t="shared" si="36"/>
        <v>98.56094257095863</v>
      </c>
      <c r="X93" s="136">
        <f t="shared" si="37"/>
        <v>0.18426050209564146</v>
      </c>
      <c r="AA93" s="155"/>
      <c r="AB93" s="157"/>
      <c r="AC93" s="84"/>
      <c r="AE93">
        <v>300</v>
      </c>
      <c r="AF93">
        <v>340</v>
      </c>
      <c r="AG93">
        <v>380</v>
      </c>
      <c r="AH93">
        <v>420</v>
      </c>
    </row>
    <row r="94" spans="1:34" ht="21" x14ac:dyDescent="0.35">
      <c r="A94" s="164">
        <v>45812</v>
      </c>
      <c r="B94" s="164" t="s">
        <v>108</v>
      </c>
      <c r="C94" t="s">
        <v>11</v>
      </c>
      <c r="D94">
        <v>3</v>
      </c>
      <c r="E94">
        <v>100</v>
      </c>
      <c r="F94" t="s">
        <v>340</v>
      </c>
      <c r="G94">
        <v>534.9</v>
      </c>
      <c r="H94">
        <v>1604.7</v>
      </c>
      <c r="I94" s="153">
        <f t="shared" si="28"/>
        <v>235.89089999999999</v>
      </c>
      <c r="J94" s="5">
        <f t="shared" si="29"/>
        <v>378.73333333333335</v>
      </c>
      <c r="K94" s="5">
        <f t="shared" si="30"/>
        <v>293.05993690851733</v>
      </c>
      <c r="L94" s="5">
        <f t="shared" si="31"/>
        <v>261.09890109890114</v>
      </c>
      <c r="M94" s="5">
        <f t="shared" si="32"/>
        <v>46.5</v>
      </c>
      <c r="N94" s="5">
        <f t="shared" si="33"/>
        <v>77.234100946372251</v>
      </c>
      <c r="O94" s="138">
        <f t="shared" si="34"/>
        <v>78.630299999999991</v>
      </c>
      <c r="P94" s="148" cm="1">
        <f t="array" ref="P94">_xlfn.XLOOKUP(C94,'Ürün Maliyeti1'!$I$162:$I$190,_xlfn.XLOOKUP(data!E94,'Ürün Maliyeti1'!$J$161:$O$161,'Ürün Maliyeti1'!$J$162:$O$190))</f>
        <v>126.24444444444444</v>
      </c>
      <c r="Q94" s="138">
        <f>IF(B94="burger",'Genel Gider'!$I$19,"₺ 0")</f>
        <v>97.686645636172443</v>
      </c>
      <c r="R94" s="138">
        <f>IF(B94="burger",'servis maliyeti'!$H$7,"₺ 0")</f>
        <v>87.032967032967051</v>
      </c>
      <c r="S94" s="138">
        <f>IF(B94="burger",'paketleme maliyeti'!$F$9,"₺ 0")</f>
        <v>15.5</v>
      </c>
      <c r="T94" s="138">
        <f>IF(B94="burger",'günlük genel gider maliyeti'!$H$10,"₺ 0")</f>
        <v>25.744700315457415</v>
      </c>
      <c r="U94" s="141">
        <f t="shared" si="35"/>
        <v>1292.5171722871241</v>
      </c>
      <c r="V94" s="5">
        <f t="shared" si="38"/>
        <v>312.18282771287591</v>
      </c>
      <c r="W94" s="105">
        <f t="shared" si="36"/>
        <v>104.06094257095863</v>
      </c>
      <c r="X94" s="136">
        <f t="shared" si="37"/>
        <v>0.19454279785185757</v>
      </c>
      <c r="AA94" s="155"/>
      <c r="AB94" s="156"/>
      <c r="AC94" s="84"/>
      <c r="AD94" t="s">
        <v>19</v>
      </c>
      <c r="AE94">
        <v>219.39166666666665</v>
      </c>
      <c r="AF94">
        <v>238.59166666666667</v>
      </c>
      <c r="AG94">
        <v>257.79166666666663</v>
      </c>
      <c r="AH94">
        <v>276.99166666666667</v>
      </c>
    </row>
    <row r="95" spans="1:34" ht="21" x14ac:dyDescent="0.35">
      <c r="A95" s="164">
        <v>45812</v>
      </c>
      <c r="B95" s="164" t="s">
        <v>108</v>
      </c>
      <c r="C95" t="s">
        <v>10</v>
      </c>
      <c r="D95">
        <v>4</v>
      </c>
      <c r="E95">
        <v>100</v>
      </c>
      <c r="F95" t="s">
        <v>340</v>
      </c>
      <c r="G95">
        <v>534.9</v>
      </c>
      <c r="H95">
        <v>2139.6</v>
      </c>
      <c r="I95" s="153">
        <f t="shared" si="28"/>
        <v>314.52119999999996</v>
      </c>
      <c r="J95" s="5">
        <f t="shared" si="29"/>
        <v>492.97777777777776</v>
      </c>
      <c r="K95" s="5">
        <f t="shared" si="30"/>
        <v>390.74658254468977</v>
      </c>
      <c r="L95" s="5">
        <f t="shared" si="31"/>
        <v>348.1318681318682</v>
      </c>
      <c r="M95" s="5">
        <f t="shared" si="32"/>
        <v>62</v>
      </c>
      <c r="N95" s="5">
        <f t="shared" si="33"/>
        <v>102.97880126182966</v>
      </c>
      <c r="O95" s="138">
        <f t="shared" si="34"/>
        <v>78.630299999999991</v>
      </c>
      <c r="P95" s="148" cm="1">
        <f t="array" ref="P95">_xlfn.XLOOKUP(C95,'Ürün Maliyeti1'!$I$162:$I$190,_xlfn.XLOOKUP(data!E95,'Ürün Maliyeti1'!$J$161:$O$161,'Ürün Maliyeti1'!$J$162:$O$190))</f>
        <v>123.24444444444444</v>
      </c>
      <c r="Q95" s="138">
        <f>IF(B95="burger",'Genel Gider'!$I$19,"₺ 0")</f>
        <v>97.686645636172443</v>
      </c>
      <c r="R95" s="138">
        <f>IF(B95="burger",'servis maliyeti'!$H$7,"₺ 0")</f>
        <v>87.032967032967051</v>
      </c>
      <c r="S95" s="138">
        <f>IF(B95="burger",'paketleme maliyeti'!$F$9,"₺ 0")</f>
        <v>15.5</v>
      </c>
      <c r="T95" s="138">
        <f>IF(B95="burger",'günlük genel gider maliyeti'!$H$10,"₺ 0")</f>
        <v>25.744700315457415</v>
      </c>
      <c r="U95" s="141">
        <f t="shared" si="35"/>
        <v>1711.3562297161654</v>
      </c>
      <c r="V95" s="5">
        <f t="shared" si="38"/>
        <v>428.24377028383446</v>
      </c>
      <c r="W95" s="105">
        <f t="shared" si="36"/>
        <v>107.06094257095862</v>
      </c>
      <c r="X95" s="136">
        <f t="shared" si="37"/>
        <v>0.20015132280979364</v>
      </c>
      <c r="AA95" s="155"/>
      <c r="AB95" s="157"/>
      <c r="AC95" s="84"/>
    </row>
    <row r="96" spans="1:34" ht="21" x14ac:dyDescent="0.35">
      <c r="A96" s="164">
        <v>45812</v>
      </c>
      <c r="B96" s="164" t="s">
        <v>108</v>
      </c>
      <c r="C96" t="s">
        <v>135</v>
      </c>
      <c r="D96">
        <v>2</v>
      </c>
      <c r="E96">
        <v>100</v>
      </c>
      <c r="F96" t="s">
        <v>340</v>
      </c>
      <c r="G96">
        <v>534.9</v>
      </c>
      <c r="H96">
        <v>1069.8</v>
      </c>
      <c r="I96" s="153">
        <f t="shared" si="28"/>
        <v>157.26059999999998</v>
      </c>
      <c r="J96" s="5">
        <f t="shared" si="29"/>
        <v>263.48888888888888</v>
      </c>
      <c r="K96" s="5">
        <f t="shared" si="30"/>
        <v>195.37329127234489</v>
      </c>
      <c r="L96" s="5">
        <f t="shared" si="31"/>
        <v>174.0659340659341</v>
      </c>
      <c r="M96" s="5">
        <f t="shared" si="32"/>
        <v>31</v>
      </c>
      <c r="N96" s="5">
        <f t="shared" si="33"/>
        <v>51.48940063091483</v>
      </c>
      <c r="O96" s="138">
        <f t="shared" si="34"/>
        <v>78.630299999999991</v>
      </c>
      <c r="P96" s="148" cm="1">
        <f t="array" ref="P96">_xlfn.XLOOKUP(C96,'Ürün Maliyeti1'!$I$162:$I$190,_xlfn.XLOOKUP(data!E96,'Ürün Maliyeti1'!$J$161:$O$161,'Ürün Maliyeti1'!$J$162:$O$190))</f>
        <v>131.74444444444444</v>
      </c>
      <c r="Q96" s="138">
        <f>IF(B96="burger",'Genel Gider'!$I$19,"₺ 0")</f>
        <v>97.686645636172443</v>
      </c>
      <c r="R96" s="138">
        <f>IF(B96="burger",'servis maliyeti'!$H$7,"₺ 0")</f>
        <v>87.032967032967051</v>
      </c>
      <c r="S96" s="138">
        <f>IF(B96="burger",'paketleme maliyeti'!$F$9,"₺ 0")</f>
        <v>15.5</v>
      </c>
      <c r="T96" s="138">
        <f>IF(B96="burger",'günlük genel gider maliyeti'!$H$10,"₺ 0")</f>
        <v>25.744700315457415</v>
      </c>
      <c r="U96" s="141">
        <f t="shared" si="35"/>
        <v>872.67811485808272</v>
      </c>
      <c r="V96" s="5">
        <f t="shared" si="38"/>
        <v>197.12188514191723</v>
      </c>
      <c r="W96" s="105">
        <f t="shared" si="36"/>
        <v>98.560942570958616</v>
      </c>
      <c r="X96" s="136">
        <f t="shared" si="37"/>
        <v>0.18426050209564146</v>
      </c>
      <c r="AA96" s="155"/>
      <c r="AB96" s="157"/>
      <c r="AC96" s="84"/>
    </row>
    <row r="97" spans="1:29" ht="21" x14ac:dyDescent="0.35">
      <c r="A97" s="164">
        <v>45812</v>
      </c>
      <c r="B97" s="164" t="s">
        <v>108</v>
      </c>
      <c r="C97" t="s">
        <v>7</v>
      </c>
      <c r="D97">
        <v>1</v>
      </c>
      <c r="E97">
        <v>100</v>
      </c>
      <c r="F97" t="s">
        <v>340</v>
      </c>
      <c r="G97">
        <v>536.9</v>
      </c>
      <c r="H97">
        <v>536.9</v>
      </c>
      <c r="I97" s="153">
        <f t="shared" si="28"/>
        <v>78.924299999999988</v>
      </c>
      <c r="J97" s="5">
        <f t="shared" si="29"/>
        <v>123.24444444444444</v>
      </c>
      <c r="K97" s="5">
        <f t="shared" si="30"/>
        <v>97.686645636172443</v>
      </c>
      <c r="L97" s="5">
        <f t="shared" si="31"/>
        <v>87.032967032967051</v>
      </c>
      <c r="M97" s="5">
        <f t="shared" si="32"/>
        <v>15.5</v>
      </c>
      <c r="N97" s="5">
        <f t="shared" si="33"/>
        <v>25.744700315457415</v>
      </c>
      <c r="O97" s="138">
        <f t="shared" si="34"/>
        <v>78.924299999999988</v>
      </c>
      <c r="P97" s="148" cm="1">
        <f t="array" ref="P97">_xlfn.XLOOKUP(C97,'Ürün Maliyeti1'!$I$162:$I$190,_xlfn.XLOOKUP(data!E97,'Ürün Maliyeti1'!$J$161:$O$161,'Ürün Maliyeti1'!$J$162:$O$190))</f>
        <v>123.24444444444444</v>
      </c>
      <c r="Q97" s="138">
        <f>IF(B97="burger",'Genel Gider'!$I$19,"₺ 0")</f>
        <v>97.686645636172443</v>
      </c>
      <c r="R97" s="138">
        <f>IF(B97="burger",'servis maliyeti'!$H$7,"₺ 0")</f>
        <v>87.032967032967051</v>
      </c>
      <c r="S97" s="138">
        <f>IF(B97="burger",'paketleme maliyeti'!$F$9,"₺ 0")</f>
        <v>15.5</v>
      </c>
      <c r="T97" s="138">
        <f>IF(B97="burger",'günlük genel gider maliyeti'!$H$10,"₺ 0")</f>
        <v>25.744700315457415</v>
      </c>
      <c r="U97" s="141">
        <f t="shared" si="35"/>
        <v>428.13305742904134</v>
      </c>
      <c r="V97" s="5">
        <f t="shared" si="38"/>
        <v>108.76694257095863</v>
      </c>
      <c r="W97" s="105">
        <f t="shared" si="36"/>
        <v>108.76694257095863</v>
      </c>
      <c r="X97" s="136">
        <f t="shared" si="37"/>
        <v>0.20258324189040536</v>
      </c>
      <c r="AA97" s="155"/>
      <c r="AB97" s="157"/>
      <c r="AC97" s="84"/>
    </row>
    <row r="98" spans="1:29" ht="21" x14ac:dyDescent="0.35">
      <c r="A98" s="164">
        <v>45812</v>
      </c>
      <c r="B98" s="164" t="s">
        <v>108</v>
      </c>
      <c r="C98" t="s">
        <v>11</v>
      </c>
      <c r="D98">
        <v>1</v>
      </c>
      <c r="E98">
        <v>100</v>
      </c>
      <c r="F98" t="s">
        <v>100</v>
      </c>
      <c r="G98">
        <v>539.9</v>
      </c>
      <c r="H98">
        <v>539.9</v>
      </c>
      <c r="I98" s="153">
        <f t="shared" si="28"/>
        <v>48.590999999999994</v>
      </c>
      <c r="J98" s="5">
        <f t="shared" si="29"/>
        <v>126.24444444444444</v>
      </c>
      <c r="K98" s="5">
        <f t="shared" si="30"/>
        <v>97.686645636172443</v>
      </c>
      <c r="L98" s="5">
        <f t="shared" si="31"/>
        <v>87.032967032967051</v>
      </c>
      <c r="M98" s="5">
        <f t="shared" si="32"/>
        <v>15.5</v>
      </c>
      <c r="N98" s="5">
        <f t="shared" si="33"/>
        <v>25.744700315457415</v>
      </c>
      <c r="O98" s="138">
        <f t="shared" si="34"/>
        <v>48.590999999999994</v>
      </c>
      <c r="P98" s="148" cm="1">
        <f t="array" ref="P98">_xlfn.XLOOKUP(C98,'Ürün Maliyeti1'!$I$162:$I$190,_xlfn.XLOOKUP(data!E98,'Ürün Maliyeti1'!$J$161:$O$161,'Ürün Maliyeti1'!$J$162:$O$190))</f>
        <v>126.24444444444444</v>
      </c>
      <c r="Q98" s="138">
        <f>IF(B98="burger",'Genel Gider'!$I$19,"₺ 0")</f>
        <v>97.686645636172443</v>
      </c>
      <c r="R98" s="138">
        <f>IF(B98="burger",'servis maliyeti'!$H$7,"₺ 0")</f>
        <v>87.032967032967051</v>
      </c>
      <c r="S98" s="138">
        <f>IF(B98="burger",'paketleme maliyeti'!$F$9,"₺ 0")</f>
        <v>15.5</v>
      </c>
      <c r="T98" s="138">
        <f>IF(B98="burger",'günlük genel gider maliyeti'!$H$10,"₺ 0")</f>
        <v>25.744700315457415</v>
      </c>
      <c r="U98" s="141">
        <f t="shared" si="35"/>
        <v>400.79975742904134</v>
      </c>
      <c r="V98" s="5">
        <f t="shared" si="38"/>
        <v>139.10024257095864</v>
      </c>
      <c r="W98" s="105">
        <f t="shared" si="36"/>
        <v>139.10024257095864</v>
      </c>
      <c r="X98" s="136">
        <f t="shared" si="37"/>
        <v>0.25764075304863615</v>
      </c>
      <c r="AA98" s="84"/>
      <c r="AB98" s="84"/>
      <c r="AC98" s="84"/>
    </row>
    <row r="99" spans="1:29" ht="18.75" x14ac:dyDescent="0.25">
      <c r="A99" s="164">
        <v>45812</v>
      </c>
      <c r="B99" s="164" t="s">
        <v>108</v>
      </c>
      <c r="C99" t="s">
        <v>135</v>
      </c>
      <c r="D99">
        <v>1</v>
      </c>
      <c r="E99">
        <v>100</v>
      </c>
      <c r="F99" t="s">
        <v>100</v>
      </c>
      <c r="G99">
        <v>539.9</v>
      </c>
      <c r="H99">
        <v>539.9</v>
      </c>
      <c r="I99" s="153">
        <f t="shared" si="28"/>
        <v>48.590999999999994</v>
      </c>
      <c r="J99" s="5">
        <f t="shared" si="29"/>
        <v>131.74444444444444</v>
      </c>
      <c r="K99" s="5">
        <f t="shared" si="30"/>
        <v>97.686645636172443</v>
      </c>
      <c r="L99" s="5">
        <f t="shared" si="31"/>
        <v>87.032967032967051</v>
      </c>
      <c r="M99" s="5">
        <f t="shared" si="32"/>
        <v>15.5</v>
      </c>
      <c r="N99" s="5">
        <f t="shared" si="33"/>
        <v>25.744700315457415</v>
      </c>
      <c r="O99" s="138">
        <f t="shared" si="34"/>
        <v>48.590999999999994</v>
      </c>
      <c r="P99" s="148" cm="1">
        <f t="array" ref="P99">_xlfn.XLOOKUP(C99,'Ürün Maliyeti1'!$I$162:$I$190,_xlfn.XLOOKUP(data!E99,'Ürün Maliyeti1'!$J$161:$O$161,'Ürün Maliyeti1'!$J$162:$O$190))</f>
        <v>131.74444444444444</v>
      </c>
      <c r="Q99" s="138">
        <f>IF(B99="burger",'Genel Gider'!$I$19,"₺ 0")</f>
        <v>97.686645636172443</v>
      </c>
      <c r="R99" s="138">
        <f>IF(B99="burger",'servis maliyeti'!$H$7,"₺ 0")</f>
        <v>87.032967032967051</v>
      </c>
      <c r="S99" s="138">
        <f>IF(B99="burger",'paketleme maliyeti'!$F$9,"₺ 0")</f>
        <v>15.5</v>
      </c>
      <c r="T99" s="138">
        <f>IF(B99="burger",'günlük genel gider maliyeti'!$H$10,"₺ 0")</f>
        <v>25.744700315457415</v>
      </c>
      <c r="U99" s="141">
        <f t="shared" si="35"/>
        <v>406.29975742904134</v>
      </c>
      <c r="V99" s="5">
        <f t="shared" si="38"/>
        <v>133.60024257095864</v>
      </c>
      <c r="W99" s="105">
        <f t="shared" si="36"/>
        <v>133.60024257095864</v>
      </c>
      <c r="X99" s="136">
        <f t="shared" si="37"/>
        <v>0.24745368136869539</v>
      </c>
      <c r="AC99" s="83"/>
    </row>
    <row r="100" spans="1:29" ht="18.75" x14ac:dyDescent="0.25">
      <c r="A100" s="164">
        <v>45812</v>
      </c>
      <c r="B100" s="164" t="s">
        <v>108</v>
      </c>
      <c r="C100" t="s">
        <v>135</v>
      </c>
      <c r="D100">
        <v>5</v>
      </c>
      <c r="E100">
        <v>100</v>
      </c>
      <c r="F100" t="s">
        <v>100</v>
      </c>
      <c r="G100">
        <v>539.9</v>
      </c>
      <c r="H100">
        <v>2699.5</v>
      </c>
      <c r="I100" s="153">
        <f t="shared" si="28"/>
        <v>242.95499999999998</v>
      </c>
      <c r="J100" s="5">
        <f t="shared" si="29"/>
        <v>658.72222222222217</v>
      </c>
      <c r="K100" s="5">
        <f t="shared" si="30"/>
        <v>488.43322818086222</v>
      </c>
      <c r="L100" s="5">
        <f t="shared" si="31"/>
        <v>435.16483516483527</v>
      </c>
      <c r="M100" s="5">
        <f t="shared" si="32"/>
        <v>77.5</v>
      </c>
      <c r="N100" s="5">
        <f t="shared" si="33"/>
        <v>128.72350157728707</v>
      </c>
      <c r="O100" s="138">
        <f t="shared" si="34"/>
        <v>48.590999999999994</v>
      </c>
      <c r="P100" s="148" cm="1">
        <f t="array" ref="P100">_xlfn.XLOOKUP(C100,'Ürün Maliyeti1'!$I$162:$I$190,_xlfn.XLOOKUP(data!E100,'Ürün Maliyeti1'!$J$161:$O$161,'Ürün Maliyeti1'!$J$162:$O$190))</f>
        <v>131.74444444444444</v>
      </c>
      <c r="Q100" s="138">
        <f>IF(B100="burger",'Genel Gider'!$I$19,"₺ 0")</f>
        <v>97.686645636172443</v>
      </c>
      <c r="R100" s="138">
        <f>IF(B100="burger",'servis maliyeti'!$H$7,"₺ 0")</f>
        <v>87.032967032967051</v>
      </c>
      <c r="S100" s="138">
        <f>IF(B100="burger",'paketleme maliyeti'!$F$9,"₺ 0")</f>
        <v>15.5</v>
      </c>
      <c r="T100" s="138">
        <f>IF(B100="burger",'günlük genel gider maliyeti'!$H$10,"₺ 0")</f>
        <v>25.744700315457415</v>
      </c>
      <c r="U100" s="141">
        <f t="shared" si="35"/>
        <v>2031.4987871452067</v>
      </c>
      <c r="V100" s="5">
        <f t="shared" si="38"/>
        <v>668.00121285479327</v>
      </c>
      <c r="W100" s="105">
        <f t="shared" si="36"/>
        <v>133.60024257095864</v>
      </c>
      <c r="X100" s="136">
        <f t="shared" si="37"/>
        <v>0.24745368136869539</v>
      </c>
    </row>
    <row r="101" spans="1:29" ht="18.75" x14ac:dyDescent="0.25">
      <c r="A101" s="164">
        <v>45812</v>
      </c>
      <c r="B101" s="164" t="s">
        <v>108</v>
      </c>
      <c r="C101" t="s">
        <v>7</v>
      </c>
      <c r="D101">
        <v>3</v>
      </c>
      <c r="E101">
        <v>100</v>
      </c>
      <c r="F101" t="s">
        <v>100</v>
      </c>
      <c r="G101">
        <v>541.9</v>
      </c>
      <c r="H101">
        <v>1625.7</v>
      </c>
      <c r="I101" s="153">
        <f t="shared" si="28"/>
        <v>146.31299999999999</v>
      </c>
      <c r="J101" s="5">
        <f t="shared" si="29"/>
        <v>369.73333333333335</v>
      </c>
      <c r="K101" s="5">
        <f t="shared" si="30"/>
        <v>293.05993690851733</v>
      </c>
      <c r="L101" s="5">
        <f t="shared" si="31"/>
        <v>261.09890109890114</v>
      </c>
      <c r="M101" s="5">
        <f t="shared" si="32"/>
        <v>46.5</v>
      </c>
      <c r="N101" s="5">
        <f t="shared" si="33"/>
        <v>77.234100946372251</v>
      </c>
      <c r="O101" s="138">
        <f t="shared" si="34"/>
        <v>48.770999999999994</v>
      </c>
      <c r="P101" s="148" cm="1">
        <f t="array" ref="P101">_xlfn.XLOOKUP(C101,'Ürün Maliyeti1'!$I$162:$I$190,_xlfn.XLOOKUP(data!E101,'Ürün Maliyeti1'!$J$161:$O$161,'Ürün Maliyeti1'!$J$162:$O$190))</f>
        <v>123.24444444444444</v>
      </c>
      <c r="Q101" s="138">
        <f>IF(B101="burger",'Genel Gider'!$I$19,"₺ 0")</f>
        <v>97.686645636172443</v>
      </c>
      <c r="R101" s="138">
        <f>IF(B101="burger",'servis maliyeti'!$H$7,"₺ 0")</f>
        <v>87.032967032967051</v>
      </c>
      <c r="S101" s="138">
        <f>IF(B101="burger",'paketleme maliyeti'!$F$9,"₺ 0")</f>
        <v>15.5</v>
      </c>
      <c r="T101" s="138">
        <f>IF(B101="burger",'günlük genel gider maliyeti'!$H$10,"₺ 0")</f>
        <v>25.744700315457415</v>
      </c>
      <c r="U101" s="141">
        <f t="shared" si="35"/>
        <v>1193.9392722871239</v>
      </c>
      <c r="V101" s="5">
        <f t="shared" si="38"/>
        <v>431.76072771287613</v>
      </c>
      <c r="W101" s="105">
        <f t="shared" si="36"/>
        <v>143.92024257095872</v>
      </c>
      <c r="X101" s="136">
        <f t="shared" si="37"/>
        <v>0.26558450372939418</v>
      </c>
    </row>
    <row r="102" spans="1:29" ht="18.75" x14ac:dyDescent="0.25">
      <c r="A102" s="164">
        <v>45812</v>
      </c>
      <c r="B102" s="164" t="s">
        <v>108</v>
      </c>
      <c r="C102" t="s">
        <v>6</v>
      </c>
      <c r="D102">
        <v>1</v>
      </c>
      <c r="E102">
        <v>100</v>
      </c>
      <c r="F102" t="s">
        <v>340</v>
      </c>
      <c r="G102">
        <v>546.9</v>
      </c>
      <c r="H102">
        <v>546.9</v>
      </c>
      <c r="I102" s="153">
        <f t="shared" si="28"/>
        <v>80.394299999999987</v>
      </c>
      <c r="J102" s="5">
        <f t="shared" si="29"/>
        <v>124.74444444444444</v>
      </c>
      <c r="K102" s="5">
        <f t="shared" si="30"/>
        <v>97.686645636172443</v>
      </c>
      <c r="L102" s="5">
        <f t="shared" si="31"/>
        <v>87.032967032967051</v>
      </c>
      <c r="M102" s="5">
        <f t="shared" si="32"/>
        <v>15.5</v>
      </c>
      <c r="N102" s="5">
        <f t="shared" si="33"/>
        <v>25.744700315457415</v>
      </c>
      <c r="O102" s="138">
        <f t="shared" si="34"/>
        <v>80.394299999999987</v>
      </c>
      <c r="P102" s="148" cm="1">
        <f t="array" ref="P102">_xlfn.XLOOKUP(C102,'Ürün Maliyeti1'!$I$162:$I$190,_xlfn.XLOOKUP(data!E102,'Ürün Maliyeti1'!$J$161:$O$161,'Ürün Maliyeti1'!$J$162:$O$190))</f>
        <v>124.74444444444444</v>
      </c>
      <c r="Q102" s="138">
        <f>IF(B102="burger",'Genel Gider'!$I$19,"₺ 0")</f>
        <v>97.686645636172443</v>
      </c>
      <c r="R102" s="138">
        <f>IF(B102="burger",'servis maliyeti'!$H$7,"₺ 0")</f>
        <v>87.032967032967051</v>
      </c>
      <c r="S102" s="138">
        <f>IF(B102="burger",'paketleme maliyeti'!$F$9,"₺ 0")</f>
        <v>15.5</v>
      </c>
      <c r="T102" s="138">
        <f>IF(B102="burger",'günlük genel gider maliyeti'!$H$10,"₺ 0")</f>
        <v>25.744700315457415</v>
      </c>
      <c r="U102" s="141">
        <f t="shared" si="35"/>
        <v>431.10305742904137</v>
      </c>
      <c r="V102" s="5">
        <f t="shared" si="38"/>
        <v>115.79694257095861</v>
      </c>
      <c r="W102" s="105">
        <f t="shared" si="36"/>
        <v>115.79694257095861</v>
      </c>
      <c r="X102" s="136">
        <f t="shared" si="37"/>
        <v>0.21173330146454308</v>
      </c>
    </row>
    <row r="103" spans="1:29" ht="18.75" x14ac:dyDescent="0.25">
      <c r="A103" s="164">
        <v>45812</v>
      </c>
      <c r="B103" s="164" t="s">
        <v>108</v>
      </c>
      <c r="C103" t="s">
        <v>7</v>
      </c>
      <c r="D103">
        <v>1</v>
      </c>
      <c r="E103">
        <v>100</v>
      </c>
      <c r="F103" t="s">
        <v>340</v>
      </c>
      <c r="G103">
        <v>546.9</v>
      </c>
      <c r="H103">
        <v>546.9</v>
      </c>
      <c r="I103" s="153">
        <f t="shared" si="28"/>
        <v>80.394299999999987</v>
      </c>
      <c r="J103" s="5">
        <f t="shared" si="29"/>
        <v>123.24444444444444</v>
      </c>
      <c r="K103" s="5">
        <f t="shared" si="30"/>
        <v>97.686645636172443</v>
      </c>
      <c r="L103" s="5">
        <f t="shared" si="31"/>
        <v>87.032967032967051</v>
      </c>
      <c r="M103" s="5">
        <f t="shared" si="32"/>
        <v>15.5</v>
      </c>
      <c r="N103" s="5">
        <f t="shared" si="33"/>
        <v>25.744700315457415</v>
      </c>
      <c r="O103" s="138">
        <f t="shared" si="34"/>
        <v>80.394299999999987</v>
      </c>
      <c r="P103" s="148" cm="1">
        <f t="array" ref="P103">_xlfn.XLOOKUP(C103,'Ürün Maliyeti1'!$I$162:$I$190,_xlfn.XLOOKUP(data!E103,'Ürün Maliyeti1'!$J$161:$O$161,'Ürün Maliyeti1'!$J$162:$O$190))</f>
        <v>123.24444444444444</v>
      </c>
      <c r="Q103" s="138">
        <f>IF(B103="burger",'Genel Gider'!$I$19,"₺ 0")</f>
        <v>97.686645636172443</v>
      </c>
      <c r="R103" s="138">
        <f>IF(B103="burger",'servis maliyeti'!$H$7,"₺ 0")</f>
        <v>87.032967032967051</v>
      </c>
      <c r="S103" s="138">
        <f>IF(B103="burger",'paketleme maliyeti'!$F$9,"₺ 0")</f>
        <v>15.5</v>
      </c>
      <c r="T103" s="138">
        <f>IF(B103="burger",'günlük genel gider maliyeti'!$H$10,"₺ 0")</f>
        <v>25.744700315457415</v>
      </c>
      <c r="U103" s="141">
        <f t="shared" si="35"/>
        <v>429.60305742904137</v>
      </c>
      <c r="V103" s="5">
        <f t="shared" si="38"/>
        <v>117.29694257095861</v>
      </c>
      <c r="W103" s="105">
        <f t="shared" si="36"/>
        <v>117.29694257095861</v>
      </c>
      <c r="X103" s="136">
        <f t="shared" si="37"/>
        <v>0.21447603322537687</v>
      </c>
    </row>
    <row r="104" spans="1:29" ht="18.75" x14ac:dyDescent="0.25">
      <c r="A104" s="164">
        <v>45812</v>
      </c>
      <c r="B104" s="164" t="s">
        <v>108</v>
      </c>
      <c r="C104" t="s">
        <v>6</v>
      </c>
      <c r="D104">
        <v>1</v>
      </c>
      <c r="E104">
        <v>100</v>
      </c>
      <c r="F104" t="s">
        <v>340</v>
      </c>
      <c r="G104">
        <v>546.9</v>
      </c>
      <c r="H104">
        <v>546.9</v>
      </c>
      <c r="I104" s="153">
        <f t="shared" ref="I104:I126" si="39">O104*D104</f>
        <v>80.394299999999987</v>
      </c>
      <c r="J104" s="5">
        <f t="shared" ref="J104:J126" si="40">P104*D104</f>
        <v>124.74444444444444</v>
      </c>
      <c r="K104" s="5">
        <f t="shared" ref="K104:K126" si="41">Q104*D104</f>
        <v>97.686645636172443</v>
      </c>
      <c r="L104" s="5">
        <f t="shared" ref="L104:L126" si="42">R104*D104</f>
        <v>87.032967032967051</v>
      </c>
      <c r="M104" s="5">
        <f t="shared" ref="M104:M126" si="43">S104*D104</f>
        <v>15.5</v>
      </c>
      <c r="N104" s="5">
        <f t="shared" ref="N104:N126" si="44">T104*D104</f>
        <v>25.744700315457415</v>
      </c>
      <c r="O104" s="138">
        <f t="shared" ref="O104:O126" si="45">IF(F104="Restoran Satış",0,IF(F104="Getir Yemek",H104*0.129,IF(F104="Migros Yemek",H104*0.129,IF(F104="Yemek Sepeti",H104*0.147,IF(F104="Trendyol",H104*0.09)))))/D104</f>
        <v>80.394299999999987</v>
      </c>
      <c r="P104" s="148" cm="1">
        <f t="array" ref="P104">_xlfn.XLOOKUP(C104,'Ürün Maliyeti1'!$I$162:$I$190,_xlfn.XLOOKUP(data!E104,'Ürün Maliyeti1'!$J$161:$O$161,'Ürün Maliyeti1'!$J$162:$O$190))</f>
        <v>124.74444444444444</v>
      </c>
      <c r="Q104" s="138">
        <f>IF(B104="burger",'Genel Gider'!$I$19,"₺ 0")</f>
        <v>97.686645636172443</v>
      </c>
      <c r="R104" s="138">
        <f>IF(B104="burger",'servis maliyeti'!$H$7,"₺ 0")</f>
        <v>87.032967032967051</v>
      </c>
      <c r="S104" s="138">
        <f>IF(B104="burger",'paketleme maliyeti'!$F$9,"₺ 0")</f>
        <v>15.5</v>
      </c>
      <c r="T104" s="138">
        <f>IF(B104="burger",'günlük genel gider maliyeti'!$H$10,"₺ 0")</f>
        <v>25.744700315457415</v>
      </c>
      <c r="U104" s="141">
        <f t="shared" ref="U104:U126" si="46">SUM(O104:T104)*D104</f>
        <v>431.10305742904137</v>
      </c>
      <c r="V104" s="5">
        <f t="shared" si="38"/>
        <v>115.79694257095861</v>
      </c>
      <c r="W104" s="105">
        <f t="shared" ref="W104:W126" si="47">V104/D104</f>
        <v>115.79694257095861</v>
      </c>
      <c r="X104" s="136">
        <f t="shared" ref="X104:X126" si="48">(G104-(U104/D104))/G104</f>
        <v>0.21173330146454308</v>
      </c>
    </row>
    <row r="105" spans="1:29" ht="18.75" x14ac:dyDescent="0.25">
      <c r="A105" s="164">
        <v>45812</v>
      </c>
      <c r="B105" s="164" t="s">
        <v>108</v>
      </c>
      <c r="C105" t="s">
        <v>7</v>
      </c>
      <c r="D105">
        <v>1</v>
      </c>
      <c r="E105">
        <v>100</v>
      </c>
      <c r="F105" t="s">
        <v>100</v>
      </c>
      <c r="G105">
        <v>547.9</v>
      </c>
      <c r="H105">
        <v>547.9</v>
      </c>
      <c r="I105" s="153">
        <f t="shared" si="39"/>
        <v>49.310999999999993</v>
      </c>
      <c r="J105" s="5">
        <f t="shared" si="40"/>
        <v>123.24444444444444</v>
      </c>
      <c r="K105" s="5">
        <f t="shared" si="41"/>
        <v>97.686645636172443</v>
      </c>
      <c r="L105" s="5">
        <f t="shared" si="42"/>
        <v>87.032967032967051</v>
      </c>
      <c r="M105" s="5">
        <f t="shared" si="43"/>
        <v>15.5</v>
      </c>
      <c r="N105" s="5">
        <f t="shared" si="44"/>
        <v>25.744700315457415</v>
      </c>
      <c r="O105" s="138">
        <f t="shared" si="45"/>
        <v>49.310999999999993</v>
      </c>
      <c r="P105" s="148" cm="1">
        <f t="array" ref="P105">_xlfn.XLOOKUP(C105,'Ürün Maliyeti1'!$I$162:$I$190,_xlfn.XLOOKUP(data!E105,'Ürün Maliyeti1'!$J$161:$O$161,'Ürün Maliyeti1'!$J$162:$O$190))</f>
        <v>123.24444444444444</v>
      </c>
      <c r="Q105" s="138">
        <f>IF(B105="burger",'Genel Gider'!$I$19,"₺ 0")</f>
        <v>97.686645636172443</v>
      </c>
      <c r="R105" s="138">
        <f>IF(B105="burger",'servis maliyeti'!$H$7,"₺ 0")</f>
        <v>87.032967032967051</v>
      </c>
      <c r="S105" s="138">
        <f>IF(B105="burger",'paketleme maliyeti'!$F$9,"₺ 0")</f>
        <v>15.5</v>
      </c>
      <c r="T105" s="138">
        <f>IF(B105="burger",'günlük genel gider maliyeti'!$H$10,"₺ 0")</f>
        <v>25.744700315457415</v>
      </c>
      <c r="U105" s="141">
        <f t="shared" si="46"/>
        <v>398.51975742904136</v>
      </c>
      <c r="V105" s="5">
        <f t="shared" ref="V105:V109" si="49">H105-U105</f>
        <v>149.38024257095861</v>
      </c>
      <c r="W105" s="105">
        <f t="shared" si="47"/>
        <v>149.38024257095861</v>
      </c>
      <c r="X105" s="136">
        <f t="shared" si="48"/>
        <v>0.27264143561043735</v>
      </c>
    </row>
    <row r="106" spans="1:29" ht="18.75" x14ac:dyDescent="0.25">
      <c r="A106" s="164">
        <v>45812</v>
      </c>
      <c r="B106" s="164" t="s">
        <v>108</v>
      </c>
      <c r="C106" t="s">
        <v>357</v>
      </c>
      <c r="D106">
        <v>1</v>
      </c>
      <c r="E106">
        <v>100</v>
      </c>
      <c r="F106" t="s">
        <v>100</v>
      </c>
      <c r="G106">
        <v>548.73</v>
      </c>
      <c r="H106">
        <v>548.73</v>
      </c>
      <c r="I106" s="153">
        <f t="shared" si="39"/>
        <v>49.3857</v>
      </c>
      <c r="J106" s="5">
        <f t="shared" si="40"/>
        <v>104.84444444444443</v>
      </c>
      <c r="K106" s="5">
        <f t="shared" si="41"/>
        <v>97.686645636172443</v>
      </c>
      <c r="L106" s="5">
        <f t="shared" si="42"/>
        <v>87.032967032967051</v>
      </c>
      <c r="M106" s="5">
        <f t="shared" si="43"/>
        <v>15.5</v>
      </c>
      <c r="N106" s="5">
        <f t="shared" si="44"/>
        <v>25.744700315457415</v>
      </c>
      <c r="O106" s="138">
        <f t="shared" si="45"/>
        <v>49.3857</v>
      </c>
      <c r="P106" s="148" cm="1">
        <f t="array" ref="P106">_xlfn.XLOOKUP(C106,'Ürün Maliyeti1'!$I$162:$I$190,_xlfn.XLOOKUP(data!E106,'Ürün Maliyeti1'!$J$161:$O$161,'Ürün Maliyeti1'!$J$162:$O$190))</f>
        <v>104.84444444444443</v>
      </c>
      <c r="Q106" s="138">
        <f>IF(B106="burger",'Genel Gider'!$I$19,"₺ 0")</f>
        <v>97.686645636172443</v>
      </c>
      <c r="R106" s="138">
        <f>IF(B106="burger",'servis maliyeti'!$H$7,"₺ 0")</f>
        <v>87.032967032967051</v>
      </c>
      <c r="S106" s="138">
        <f>IF(B106="burger",'paketleme maliyeti'!$F$9,"₺ 0")</f>
        <v>15.5</v>
      </c>
      <c r="T106" s="138">
        <f>IF(B106="burger",'günlük genel gider maliyeti'!$H$10,"₺ 0")</f>
        <v>25.744700315457415</v>
      </c>
      <c r="U106" s="141">
        <f t="shared" si="46"/>
        <v>380.19445742904134</v>
      </c>
      <c r="V106" s="5">
        <f t="shared" si="49"/>
        <v>168.53554257095868</v>
      </c>
      <c r="W106" s="105">
        <f t="shared" si="47"/>
        <v>168.53554257095868</v>
      </c>
      <c r="X106" s="136">
        <f t="shared" si="48"/>
        <v>0.30713746755409521</v>
      </c>
      <c r="AA106" t="s">
        <v>243</v>
      </c>
      <c r="AB106">
        <f>AVERAGE(G41:G109)</f>
        <v>484.12130434782654</v>
      </c>
    </row>
    <row r="107" spans="1:29" ht="18.75" x14ac:dyDescent="0.25">
      <c r="A107" s="164">
        <v>45812</v>
      </c>
      <c r="B107" s="164" t="s">
        <v>108</v>
      </c>
      <c r="C107" t="s">
        <v>13</v>
      </c>
      <c r="D107">
        <v>1</v>
      </c>
      <c r="E107">
        <v>100</v>
      </c>
      <c r="F107" t="s">
        <v>340</v>
      </c>
      <c r="G107">
        <v>549.9</v>
      </c>
      <c r="H107">
        <v>549.9</v>
      </c>
      <c r="I107" s="153">
        <f t="shared" si="39"/>
        <v>80.835299999999989</v>
      </c>
      <c r="J107" s="5">
        <f t="shared" si="40"/>
        <v>129.64444444444445</v>
      </c>
      <c r="K107" s="5">
        <f t="shared" si="41"/>
        <v>97.686645636172443</v>
      </c>
      <c r="L107" s="5">
        <f t="shared" si="42"/>
        <v>87.032967032967051</v>
      </c>
      <c r="M107" s="5">
        <f t="shared" si="43"/>
        <v>15.5</v>
      </c>
      <c r="N107" s="5">
        <f t="shared" si="44"/>
        <v>25.744700315457415</v>
      </c>
      <c r="O107" s="138">
        <f t="shared" si="45"/>
        <v>80.835299999999989</v>
      </c>
      <c r="P107" s="148" cm="1">
        <f t="array" ref="P107">_xlfn.XLOOKUP(C107,'Ürün Maliyeti1'!$I$162:$I$190,_xlfn.XLOOKUP(data!E107,'Ürün Maliyeti1'!$J$161:$O$161,'Ürün Maliyeti1'!$J$162:$O$190))</f>
        <v>129.64444444444445</v>
      </c>
      <c r="Q107" s="138">
        <f>IF(B107="burger",'Genel Gider'!$I$19,"₺ 0")</f>
        <v>97.686645636172443</v>
      </c>
      <c r="R107" s="138">
        <f>IF(B107="burger",'servis maliyeti'!$H$7,"₺ 0")</f>
        <v>87.032967032967051</v>
      </c>
      <c r="S107" s="138">
        <f>IF(B107="burger",'paketleme maliyeti'!$F$9,"₺ 0")</f>
        <v>15.5</v>
      </c>
      <c r="T107" s="138">
        <f>IF(B107="burger",'günlük genel gider maliyeti'!$H$10,"₺ 0")</f>
        <v>25.744700315457415</v>
      </c>
      <c r="U107" s="141">
        <f t="shared" si="46"/>
        <v>436.44405742904138</v>
      </c>
      <c r="V107" s="5">
        <f t="shared" si="49"/>
        <v>113.4559425709586</v>
      </c>
      <c r="W107" s="105">
        <f t="shared" si="47"/>
        <v>113.4559425709586</v>
      </c>
      <c r="X107" s="136">
        <f t="shared" si="48"/>
        <v>0.20632104486444555</v>
      </c>
      <c r="AA107" t="s">
        <v>242</v>
      </c>
      <c r="AB107" s="2">
        <f>AVERAGE(P46:P109)</f>
        <v>129.31137152777779</v>
      </c>
    </row>
    <row r="108" spans="1:29" ht="18.75" x14ac:dyDescent="0.25">
      <c r="A108" s="164">
        <v>45812</v>
      </c>
      <c r="B108" s="164" t="s">
        <v>108</v>
      </c>
      <c r="C108" t="s">
        <v>7</v>
      </c>
      <c r="D108">
        <v>1</v>
      </c>
      <c r="E108">
        <v>280</v>
      </c>
      <c r="F108" t="s">
        <v>365</v>
      </c>
      <c r="G108">
        <v>549.9</v>
      </c>
      <c r="H108">
        <v>548.9</v>
      </c>
      <c r="I108" s="153">
        <f t="shared" si="39"/>
        <v>0</v>
      </c>
      <c r="J108" s="5">
        <f t="shared" si="40"/>
        <v>223.18888888888884</v>
      </c>
      <c r="K108" s="5">
        <f t="shared" si="41"/>
        <v>97.686645636172443</v>
      </c>
      <c r="L108" s="5">
        <f t="shared" si="42"/>
        <v>87.032967032967051</v>
      </c>
      <c r="M108" s="5">
        <f t="shared" si="43"/>
        <v>15.5</v>
      </c>
      <c r="N108" s="5">
        <f t="shared" si="44"/>
        <v>25.744700315457415</v>
      </c>
      <c r="O108" s="138">
        <f t="shared" si="45"/>
        <v>0</v>
      </c>
      <c r="P108" s="148" cm="1">
        <f t="array" ref="P108">_xlfn.XLOOKUP(C108,'Ürün Maliyeti1'!$I$162:$I$190,_xlfn.XLOOKUP(data!E108,'Ürün Maliyeti1'!$J$161:$O$161,'Ürün Maliyeti1'!$J$162:$O$190))</f>
        <v>223.18888888888884</v>
      </c>
      <c r="Q108" s="138">
        <f>IF(B108="burger",'Genel Gider'!$I$19,"₺ 0")</f>
        <v>97.686645636172443</v>
      </c>
      <c r="R108" s="138">
        <f>IF(B108="burger",'servis maliyeti'!$H$7,"₺ 0")</f>
        <v>87.032967032967051</v>
      </c>
      <c r="S108" s="138">
        <f>IF(B108="burger",'paketleme maliyeti'!$F$9,"₺ 0")</f>
        <v>15.5</v>
      </c>
      <c r="T108" s="138">
        <f>IF(B108="burger",'günlük genel gider maliyeti'!$H$10,"₺ 0")</f>
        <v>25.744700315457415</v>
      </c>
      <c r="U108" s="141">
        <f t="shared" si="46"/>
        <v>449.15320187348578</v>
      </c>
      <c r="V108" s="5">
        <f t="shared" si="49"/>
        <v>99.746798126514193</v>
      </c>
      <c r="W108" s="105">
        <f t="shared" si="47"/>
        <v>99.746798126514193</v>
      </c>
      <c r="X108" s="136">
        <f t="shared" si="48"/>
        <v>0.18320930737682159</v>
      </c>
      <c r="AA108" t="s">
        <v>244</v>
      </c>
      <c r="AB108">
        <f>AB45</f>
        <v>317</v>
      </c>
    </row>
    <row r="109" spans="1:29" ht="18.75" x14ac:dyDescent="0.25">
      <c r="A109" s="164">
        <v>45812</v>
      </c>
      <c r="B109" s="164" t="s">
        <v>108</v>
      </c>
      <c r="C109" t="s">
        <v>135</v>
      </c>
      <c r="D109">
        <v>1</v>
      </c>
      <c r="E109">
        <v>100</v>
      </c>
      <c r="F109" t="s">
        <v>100</v>
      </c>
      <c r="G109">
        <v>551.9</v>
      </c>
      <c r="H109">
        <v>551.9</v>
      </c>
      <c r="I109" s="153">
        <f t="shared" si="39"/>
        <v>49.670999999999999</v>
      </c>
      <c r="J109" s="5">
        <f t="shared" si="40"/>
        <v>131.74444444444444</v>
      </c>
      <c r="K109" s="5">
        <f t="shared" si="41"/>
        <v>97.686645636172443</v>
      </c>
      <c r="L109" s="5">
        <f t="shared" si="42"/>
        <v>87.032967032967051</v>
      </c>
      <c r="M109" s="5">
        <f t="shared" si="43"/>
        <v>15.5</v>
      </c>
      <c r="N109" s="5">
        <f t="shared" si="44"/>
        <v>25.744700315457415</v>
      </c>
      <c r="O109" s="138">
        <f t="shared" si="45"/>
        <v>49.670999999999999</v>
      </c>
      <c r="P109" s="148" cm="1">
        <f t="array" ref="P109">_xlfn.XLOOKUP(C109,'Ürün Maliyeti1'!$I$162:$I$190,_xlfn.XLOOKUP(data!E109,'Ürün Maliyeti1'!$J$161:$O$161,'Ürün Maliyeti1'!$J$162:$O$190))</f>
        <v>131.74444444444444</v>
      </c>
      <c r="Q109" s="138">
        <f>IF(B109="burger",'Genel Gider'!$I$19,"₺ 0")</f>
        <v>97.686645636172443</v>
      </c>
      <c r="R109" s="138">
        <f>IF(B109="burger",'servis maliyeti'!$H$7,"₺ 0")</f>
        <v>87.032967032967051</v>
      </c>
      <c r="S109" s="138">
        <f>IF(B109="burger",'paketleme maliyeti'!$F$9,"₺ 0")</f>
        <v>15.5</v>
      </c>
      <c r="T109" s="138">
        <f>IF(B109="burger",'günlük genel gider maliyeti'!$H$10,"₺ 0")</f>
        <v>25.744700315457415</v>
      </c>
      <c r="U109" s="141">
        <f t="shared" si="46"/>
        <v>407.37975742904138</v>
      </c>
      <c r="V109" s="5">
        <f t="shared" si="49"/>
        <v>144.5202425709586</v>
      </c>
      <c r="W109" s="105">
        <f t="shared" si="47"/>
        <v>144.5202425709586</v>
      </c>
      <c r="X109" s="136">
        <f t="shared" si="48"/>
        <v>0.26185947195317738</v>
      </c>
      <c r="AA109" t="s">
        <v>245</v>
      </c>
      <c r="AB109" s="2">
        <f>(AB106-AB107)*AB108</f>
        <v>112474.74870395545</v>
      </c>
    </row>
    <row r="110" spans="1:29" ht="18.75" x14ac:dyDescent="0.25">
      <c r="A110" s="164">
        <v>45812</v>
      </c>
      <c r="B110" s="164" t="s">
        <v>108</v>
      </c>
      <c r="C110" t="s">
        <v>135</v>
      </c>
      <c r="D110">
        <v>2</v>
      </c>
      <c r="E110">
        <v>100</v>
      </c>
      <c r="F110" t="s">
        <v>100</v>
      </c>
      <c r="G110">
        <v>551.9</v>
      </c>
      <c r="H110">
        <v>1103.8</v>
      </c>
      <c r="I110" s="153">
        <f t="shared" si="39"/>
        <v>99.341999999999999</v>
      </c>
      <c r="J110" s="5">
        <f t="shared" si="40"/>
        <v>263.48888888888888</v>
      </c>
      <c r="K110" s="5">
        <f t="shared" si="41"/>
        <v>195.37329127234489</v>
      </c>
      <c r="L110" s="5">
        <f t="shared" si="42"/>
        <v>174.0659340659341</v>
      </c>
      <c r="M110" s="5">
        <f t="shared" si="43"/>
        <v>31</v>
      </c>
      <c r="N110" s="5">
        <f t="shared" si="44"/>
        <v>51.48940063091483</v>
      </c>
      <c r="O110" s="138">
        <f t="shared" si="45"/>
        <v>49.670999999999999</v>
      </c>
      <c r="P110" s="148" cm="1">
        <f t="array" ref="P110">_xlfn.XLOOKUP(C110,'Ürün Maliyeti1'!$I$162:$I$190,_xlfn.XLOOKUP(data!E110,'Ürün Maliyeti1'!$J$161:$O$161,'Ürün Maliyeti1'!$J$162:$O$190))</f>
        <v>131.74444444444444</v>
      </c>
      <c r="Q110" s="138">
        <f>IF(B110="burger",'Genel Gider'!$I$19,"₺ 0")</f>
        <v>97.686645636172443</v>
      </c>
      <c r="R110" s="138">
        <f>IF(B110="burger",'servis maliyeti'!$H$7,"₺ 0")</f>
        <v>87.032967032967051</v>
      </c>
      <c r="S110" s="138">
        <f>IF(B110="burger",'paketleme maliyeti'!$F$9,"₺ 0")</f>
        <v>15.5</v>
      </c>
      <c r="T110" s="138">
        <f>IF(B110="burger",'günlük genel gider maliyeti'!$H$10,"₺ 0")</f>
        <v>25.744700315457415</v>
      </c>
      <c r="U110" s="141">
        <f t="shared" si="46"/>
        <v>814.75951485808275</v>
      </c>
      <c r="V110" s="5">
        <f t="shared" ref="V110:V126" si="50">H110-U110</f>
        <v>289.0404851419172</v>
      </c>
      <c r="W110" s="105">
        <f t="shared" si="47"/>
        <v>144.5202425709586</v>
      </c>
      <c r="X110" s="136">
        <f t="shared" si="48"/>
        <v>0.26185947195317738</v>
      </c>
      <c r="AB110" s="2"/>
    </row>
    <row r="111" spans="1:29" ht="18.75" x14ac:dyDescent="0.25">
      <c r="A111" s="164">
        <v>45812</v>
      </c>
      <c r="B111" s="164" t="s">
        <v>108</v>
      </c>
      <c r="C111" t="s">
        <v>7</v>
      </c>
      <c r="D111">
        <v>1</v>
      </c>
      <c r="E111">
        <v>100</v>
      </c>
      <c r="F111" t="s">
        <v>340</v>
      </c>
      <c r="G111">
        <v>557.9</v>
      </c>
      <c r="H111">
        <v>557.9</v>
      </c>
      <c r="I111" s="153">
        <f t="shared" si="39"/>
        <v>82.011299999999991</v>
      </c>
      <c r="J111" s="5">
        <f t="shared" si="40"/>
        <v>123.24444444444444</v>
      </c>
      <c r="K111" s="5">
        <f t="shared" si="41"/>
        <v>97.686645636172443</v>
      </c>
      <c r="L111" s="5">
        <f t="shared" si="42"/>
        <v>87.032967032967051</v>
      </c>
      <c r="M111" s="5">
        <f t="shared" si="43"/>
        <v>15.5</v>
      </c>
      <c r="N111" s="5">
        <f t="shared" si="44"/>
        <v>25.744700315457415</v>
      </c>
      <c r="O111" s="138">
        <f t="shared" si="45"/>
        <v>82.011299999999991</v>
      </c>
      <c r="P111" s="148" cm="1">
        <f t="array" ref="P111">_xlfn.XLOOKUP(C111,'Ürün Maliyeti1'!$I$162:$I$190,_xlfn.XLOOKUP(data!E111,'Ürün Maliyeti1'!$J$161:$O$161,'Ürün Maliyeti1'!$J$162:$O$190))</f>
        <v>123.24444444444444</v>
      </c>
      <c r="Q111" s="138">
        <f>IF(B111="burger",'Genel Gider'!$I$19,"₺ 0")</f>
        <v>97.686645636172443</v>
      </c>
      <c r="R111" s="138">
        <f>IF(B111="burger",'servis maliyeti'!$H$7,"₺ 0")</f>
        <v>87.032967032967051</v>
      </c>
      <c r="S111" s="138">
        <f>IF(B111="burger",'paketleme maliyeti'!$F$9,"₺ 0")</f>
        <v>15.5</v>
      </c>
      <c r="T111" s="138">
        <f>IF(B111="burger",'günlük genel gider maliyeti'!$H$10,"₺ 0")</f>
        <v>25.744700315457415</v>
      </c>
      <c r="U111" s="141">
        <f t="shared" si="46"/>
        <v>431.22005742904133</v>
      </c>
      <c r="V111" s="5">
        <f t="shared" si="50"/>
        <v>126.67994257095864</v>
      </c>
      <c r="W111" s="105">
        <f t="shared" si="47"/>
        <v>126.67994257095864</v>
      </c>
      <c r="X111" s="136">
        <f t="shared" si="48"/>
        <v>0.22706567946040268</v>
      </c>
      <c r="AB111" s="2"/>
    </row>
    <row r="112" spans="1:29" ht="18.75" x14ac:dyDescent="0.25">
      <c r="A112" s="164">
        <v>45812</v>
      </c>
      <c r="B112" s="164" t="s">
        <v>108</v>
      </c>
      <c r="C112" t="s">
        <v>7</v>
      </c>
      <c r="D112">
        <v>1</v>
      </c>
      <c r="E112">
        <v>100</v>
      </c>
      <c r="F112" t="s">
        <v>340</v>
      </c>
      <c r="G112">
        <v>558.9</v>
      </c>
      <c r="H112">
        <v>558.9</v>
      </c>
      <c r="I112" s="153">
        <f t="shared" si="39"/>
        <v>82.158299999999997</v>
      </c>
      <c r="J112" s="5">
        <f t="shared" si="40"/>
        <v>123.24444444444444</v>
      </c>
      <c r="K112" s="5">
        <f t="shared" si="41"/>
        <v>97.686645636172443</v>
      </c>
      <c r="L112" s="5">
        <f t="shared" si="42"/>
        <v>87.032967032967051</v>
      </c>
      <c r="M112" s="5">
        <f t="shared" si="43"/>
        <v>15.5</v>
      </c>
      <c r="N112" s="5">
        <f t="shared" si="44"/>
        <v>25.744700315457415</v>
      </c>
      <c r="O112" s="138">
        <f t="shared" si="45"/>
        <v>82.158299999999997</v>
      </c>
      <c r="P112" s="148" cm="1">
        <f t="array" ref="P112">_xlfn.XLOOKUP(C112,'Ürün Maliyeti1'!$I$162:$I$190,_xlfn.XLOOKUP(data!E112,'Ürün Maliyeti1'!$J$161:$O$161,'Ürün Maliyeti1'!$J$162:$O$190))</f>
        <v>123.24444444444444</v>
      </c>
      <c r="Q112" s="138">
        <f>IF(B112="burger",'Genel Gider'!$I$19,"₺ 0")</f>
        <v>97.686645636172443</v>
      </c>
      <c r="R112" s="138">
        <f>IF(B112="burger",'servis maliyeti'!$H$7,"₺ 0")</f>
        <v>87.032967032967051</v>
      </c>
      <c r="S112" s="138">
        <f>IF(B112="burger",'paketleme maliyeti'!$F$9,"₺ 0")</f>
        <v>15.5</v>
      </c>
      <c r="T112" s="138">
        <f>IF(B112="burger",'günlük genel gider maliyeti'!$H$10,"₺ 0")</f>
        <v>25.744700315457415</v>
      </c>
      <c r="U112" s="141">
        <f t="shared" si="46"/>
        <v>431.36705742904138</v>
      </c>
      <c r="V112" s="5">
        <f t="shared" si="50"/>
        <v>127.5329425709586</v>
      </c>
      <c r="W112" s="105">
        <f t="shared" si="47"/>
        <v>127.5329425709586</v>
      </c>
      <c r="X112" s="136">
        <f t="shared" si="48"/>
        <v>0.22818561920014063</v>
      </c>
      <c r="AB112" s="2"/>
    </row>
    <row r="113" spans="1:24" ht="18.75" x14ac:dyDescent="0.25">
      <c r="A113" s="164">
        <v>45812</v>
      </c>
      <c r="B113" s="164" t="s">
        <v>108</v>
      </c>
      <c r="C113" t="s">
        <v>7</v>
      </c>
      <c r="D113">
        <v>1</v>
      </c>
      <c r="E113">
        <v>100</v>
      </c>
      <c r="F113" t="s">
        <v>100</v>
      </c>
      <c r="G113">
        <v>559.9</v>
      </c>
      <c r="H113">
        <v>559.9</v>
      </c>
      <c r="I113" s="153">
        <f t="shared" si="39"/>
        <v>50.390999999999998</v>
      </c>
      <c r="J113" s="5">
        <f t="shared" si="40"/>
        <v>123.24444444444444</v>
      </c>
      <c r="K113" s="5">
        <f t="shared" si="41"/>
        <v>97.686645636172443</v>
      </c>
      <c r="L113" s="5">
        <f t="shared" si="42"/>
        <v>87.032967032967051</v>
      </c>
      <c r="M113" s="5">
        <f t="shared" si="43"/>
        <v>15.5</v>
      </c>
      <c r="N113" s="5">
        <f t="shared" si="44"/>
        <v>25.744700315457415</v>
      </c>
      <c r="O113" s="138">
        <f t="shared" si="45"/>
        <v>50.390999999999998</v>
      </c>
      <c r="P113" s="148" cm="1">
        <f t="array" ref="P113">_xlfn.XLOOKUP(C113,'Ürün Maliyeti1'!$I$162:$I$190,_xlfn.XLOOKUP(data!E113,'Ürün Maliyeti1'!$J$161:$O$161,'Ürün Maliyeti1'!$J$162:$O$190))</f>
        <v>123.24444444444444</v>
      </c>
      <c r="Q113" s="138">
        <f>IF(B113="burger",'Genel Gider'!$I$19,"₺ 0")</f>
        <v>97.686645636172443</v>
      </c>
      <c r="R113" s="138">
        <f>IF(B113="burger",'servis maliyeti'!$H$7,"₺ 0")</f>
        <v>87.032967032967051</v>
      </c>
      <c r="S113" s="138">
        <f>IF(B113="burger",'paketleme maliyeti'!$F$9,"₺ 0")</f>
        <v>15.5</v>
      </c>
      <c r="T113" s="138">
        <f>IF(B113="burger",'günlük genel gider maliyeti'!$H$10,"₺ 0")</f>
        <v>25.744700315457415</v>
      </c>
      <c r="U113" s="141">
        <f t="shared" si="46"/>
        <v>399.59975742904135</v>
      </c>
      <c r="V113" s="5">
        <f t="shared" si="50"/>
        <v>160.30024257095863</v>
      </c>
      <c r="W113" s="105">
        <f t="shared" si="47"/>
        <v>160.30024257095863</v>
      </c>
      <c r="X113" s="136">
        <f t="shared" si="48"/>
        <v>0.28630155844071914</v>
      </c>
    </row>
    <row r="114" spans="1:24" ht="18.75" x14ac:dyDescent="0.25">
      <c r="A114" s="164">
        <v>45812</v>
      </c>
      <c r="B114" s="164" t="s">
        <v>108</v>
      </c>
      <c r="C114" t="s">
        <v>5</v>
      </c>
      <c r="D114">
        <v>4</v>
      </c>
      <c r="E114">
        <v>100</v>
      </c>
      <c r="F114" t="s">
        <v>216</v>
      </c>
      <c r="G114">
        <v>562.9</v>
      </c>
      <c r="H114">
        <v>2251.6</v>
      </c>
      <c r="I114" s="153">
        <f t="shared" si="39"/>
        <v>290.45639999999997</v>
      </c>
      <c r="J114" s="5">
        <f t="shared" si="40"/>
        <v>654.28888888888889</v>
      </c>
      <c r="K114" s="5">
        <f t="shared" si="41"/>
        <v>390.74658254468977</v>
      </c>
      <c r="L114" s="5">
        <f t="shared" si="42"/>
        <v>348.1318681318682</v>
      </c>
      <c r="M114" s="5">
        <f t="shared" si="43"/>
        <v>62</v>
      </c>
      <c r="N114" s="5">
        <f t="shared" si="44"/>
        <v>102.97880126182966</v>
      </c>
      <c r="O114" s="138">
        <f t="shared" si="45"/>
        <v>72.614099999999993</v>
      </c>
      <c r="P114" s="148" cm="1">
        <f t="array" ref="P114">_xlfn.XLOOKUP(C114,'Ürün Maliyeti1'!$I$162:$I$190,_xlfn.XLOOKUP(data!E114,'Ürün Maliyeti1'!$J$161:$O$161,'Ürün Maliyeti1'!$J$162:$O$190))</f>
        <v>163.57222222222222</v>
      </c>
      <c r="Q114" s="138">
        <f>IF(B114="burger",'Genel Gider'!$I$19,"₺ 0")</f>
        <v>97.686645636172443</v>
      </c>
      <c r="R114" s="138">
        <f>IF(B114="burger",'servis maliyeti'!$H$7,"₺ 0")</f>
        <v>87.032967032967051</v>
      </c>
      <c r="S114" s="138">
        <f>IF(B114="burger",'paketleme maliyeti'!$F$9,"₺ 0")</f>
        <v>15.5</v>
      </c>
      <c r="T114" s="138">
        <f>IF(B114="burger",'günlük genel gider maliyeti'!$H$10,"₺ 0")</f>
        <v>25.744700315457415</v>
      </c>
      <c r="U114" s="141">
        <f t="shared" si="46"/>
        <v>1848.6025408272765</v>
      </c>
      <c r="V114" s="5">
        <f t="shared" si="50"/>
        <v>402.99745917272344</v>
      </c>
      <c r="W114" s="105">
        <f t="shared" si="47"/>
        <v>100.74936479318086</v>
      </c>
      <c r="X114" s="136">
        <f t="shared" si="48"/>
        <v>0.17898270526413371</v>
      </c>
    </row>
    <row r="115" spans="1:24" ht="18.75" x14ac:dyDescent="0.25">
      <c r="A115" s="164">
        <v>45812</v>
      </c>
      <c r="B115" s="164" t="s">
        <v>108</v>
      </c>
      <c r="C115" t="s">
        <v>10</v>
      </c>
      <c r="D115">
        <v>1</v>
      </c>
      <c r="E115">
        <v>140</v>
      </c>
      <c r="F115" t="s">
        <v>100</v>
      </c>
      <c r="G115">
        <v>564.91</v>
      </c>
      <c r="H115">
        <v>564.91</v>
      </c>
      <c r="I115" s="153">
        <f t="shared" si="39"/>
        <v>50.841899999999995</v>
      </c>
      <c r="J115" s="5">
        <f t="shared" si="40"/>
        <v>142.44444444444443</v>
      </c>
      <c r="K115" s="5">
        <f t="shared" si="41"/>
        <v>97.686645636172443</v>
      </c>
      <c r="L115" s="5">
        <f t="shared" si="42"/>
        <v>87.032967032967051</v>
      </c>
      <c r="M115" s="5">
        <f t="shared" si="43"/>
        <v>15.5</v>
      </c>
      <c r="N115" s="5">
        <f t="shared" si="44"/>
        <v>25.744700315457415</v>
      </c>
      <c r="O115" s="138">
        <f t="shared" si="45"/>
        <v>50.841899999999995</v>
      </c>
      <c r="P115" s="148" cm="1">
        <f t="array" ref="P115">_xlfn.XLOOKUP(C115,'Ürün Maliyeti1'!$I$162:$I$190,_xlfn.XLOOKUP(data!E115,'Ürün Maliyeti1'!$J$161:$O$161,'Ürün Maliyeti1'!$J$162:$O$190))</f>
        <v>142.44444444444443</v>
      </c>
      <c r="Q115" s="138">
        <f>IF(B115="burger",'Genel Gider'!$I$19,"₺ 0")</f>
        <v>97.686645636172443</v>
      </c>
      <c r="R115" s="138">
        <f>IF(B115="burger",'servis maliyeti'!$H$7,"₺ 0")</f>
        <v>87.032967032967051</v>
      </c>
      <c r="S115" s="138">
        <f>IF(B115="burger",'paketleme maliyeti'!$F$9,"₺ 0")</f>
        <v>15.5</v>
      </c>
      <c r="T115" s="138">
        <f>IF(B115="burger",'günlük genel gider maliyeti'!$H$10,"₺ 0")</f>
        <v>25.744700315457415</v>
      </c>
      <c r="U115" s="141">
        <f t="shared" si="46"/>
        <v>419.25065742904133</v>
      </c>
      <c r="V115" s="5">
        <f t="shared" si="50"/>
        <v>145.65934257095864</v>
      </c>
      <c r="W115" s="105">
        <f t="shared" si="47"/>
        <v>145.65934257095864</v>
      </c>
      <c r="X115" s="136">
        <f t="shared" si="48"/>
        <v>0.25784521883301526</v>
      </c>
    </row>
    <row r="116" spans="1:24" ht="18.75" x14ac:dyDescent="0.25">
      <c r="A116" s="164">
        <v>45812</v>
      </c>
      <c r="B116" s="164" t="s">
        <v>108</v>
      </c>
      <c r="C116" t="s">
        <v>11</v>
      </c>
      <c r="D116">
        <v>1</v>
      </c>
      <c r="E116">
        <v>140</v>
      </c>
      <c r="F116" t="s">
        <v>100</v>
      </c>
      <c r="G116">
        <v>564.91</v>
      </c>
      <c r="H116">
        <v>564.91</v>
      </c>
      <c r="I116" s="153">
        <f t="shared" si="39"/>
        <v>50.841899999999995</v>
      </c>
      <c r="J116" s="5">
        <f t="shared" si="40"/>
        <v>145.44444444444443</v>
      </c>
      <c r="K116" s="5">
        <f t="shared" si="41"/>
        <v>97.686645636172443</v>
      </c>
      <c r="L116" s="5">
        <f t="shared" si="42"/>
        <v>87.032967032967051</v>
      </c>
      <c r="M116" s="5">
        <f t="shared" si="43"/>
        <v>15.5</v>
      </c>
      <c r="N116" s="5">
        <f t="shared" si="44"/>
        <v>25.744700315457415</v>
      </c>
      <c r="O116" s="138">
        <f t="shared" si="45"/>
        <v>50.841899999999995</v>
      </c>
      <c r="P116" s="148" cm="1">
        <f t="array" ref="P116">_xlfn.XLOOKUP(C116,'Ürün Maliyeti1'!$I$162:$I$190,_xlfn.XLOOKUP(data!E116,'Ürün Maliyeti1'!$J$161:$O$161,'Ürün Maliyeti1'!$J$162:$O$190))</f>
        <v>145.44444444444443</v>
      </c>
      <c r="Q116" s="138">
        <f>IF(B116="burger",'Genel Gider'!$I$19,"₺ 0")</f>
        <v>97.686645636172443</v>
      </c>
      <c r="R116" s="138">
        <f>IF(B116="burger",'servis maliyeti'!$H$7,"₺ 0")</f>
        <v>87.032967032967051</v>
      </c>
      <c r="S116" s="138">
        <f>IF(B116="burger",'paketleme maliyeti'!$F$9,"₺ 0")</f>
        <v>15.5</v>
      </c>
      <c r="T116" s="138">
        <f>IF(B116="burger",'günlük genel gider maliyeti'!$H$10,"₺ 0")</f>
        <v>25.744700315457415</v>
      </c>
      <c r="U116" s="141">
        <f t="shared" si="46"/>
        <v>422.25065742904133</v>
      </c>
      <c r="V116" s="5">
        <f t="shared" si="50"/>
        <v>142.65934257095864</v>
      </c>
      <c r="W116" s="105">
        <f t="shared" si="47"/>
        <v>142.65934257095864</v>
      </c>
      <c r="X116" s="136">
        <f t="shared" si="48"/>
        <v>0.25253463838657247</v>
      </c>
    </row>
    <row r="117" spans="1:24" ht="18.75" x14ac:dyDescent="0.25">
      <c r="A117" s="164">
        <v>45812</v>
      </c>
      <c r="B117" s="164" t="s">
        <v>108</v>
      </c>
      <c r="C117" t="s">
        <v>7</v>
      </c>
      <c r="D117">
        <v>11</v>
      </c>
      <c r="E117">
        <v>140</v>
      </c>
      <c r="F117" t="s">
        <v>100</v>
      </c>
      <c r="G117">
        <v>564.91</v>
      </c>
      <c r="H117">
        <v>6214.01</v>
      </c>
      <c r="I117" s="153">
        <f t="shared" si="39"/>
        <v>559.26089999999999</v>
      </c>
      <c r="J117" s="5">
        <f t="shared" si="40"/>
        <v>1566.8888888888887</v>
      </c>
      <c r="K117" s="5">
        <f t="shared" si="41"/>
        <v>1074.5531019978969</v>
      </c>
      <c r="L117" s="5">
        <f t="shared" si="42"/>
        <v>957.36263736263754</v>
      </c>
      <c r="M117" s="5">
        <f t="shared" si="43"/>
        <v>170.5</v>
      </c>
      <c r="N117" s="5">
        <f t="shared" si="44"/>
        <v>283.19170347003154</v>
      </c>
      <c r="O117" s="138">
        <f t="shared" si="45"/>
        <v>50.841900000000003</v>
      </c>
      <c r="P117" s="148" cm="1">
        <f t="array" ref="P117">_xlfn.XLOOKUP(C117,'Ürün Maliyeti1'!$I$162:$I$190,_xlfn.XLOOKUP(data!E117,'Ürün Maliyeti1'!$J$161:$O$161,'Ürün Maliyeti1'!$J$162:$O$190))</f>
        <v>142.44444444444443</v>
      </c>
      <c r="Q117" s="138">
        <f>IF(B117="burger",'Genel Gider'!$I$19,"₺ 0")</f>
        <v>97.686645636172443</v>
      </c>
      <c r="R117" s="138">
        <f>IF(B117="burger",'servis maliyeti'!$H$7,"₺ 0")</f>
        <v>87.032967032967051</v>
      </c>
      <c r="S117" s="138">
        <f>IF(B117="burger",'paketleme maliyeti'!$F$9,"₺ 0")</f>
        <v>15.5</v>
      </c>
      <c r="T117" s="138">
        <f>IF(B117="burger",'günlük genel gider maliyeti'!$H$10,"₺ 0")</f>
        <v>25.744700315457415</v>
      </c>
      <c r="U117" s="141">
        <f t="shared" si="46"/>
        <v>4611.7572317194554</v>
      </c>
      <c r="V117" s="5">
        <f t="shared" si="50"/>
        <v>1602.2527682805448</v>
      </c>
      <c r="W117" s="105">
        <f t="shared" si="47"/>
        <v>145.65934257095861</v>
      </c>
      <c r="X117" s="136">
        <f t="shared" si="48"/>
        <v>0.25784521883301514</v>
      </c>
    </row>
    <row r="118" spans="1:24" ht="18.75" x14ac:dyDescent="0.25">
      <c r="A118" s="164">
        <v>45812</v>
      </c>
      <c r="B118" s="164" t="s">
        <v>108</v>
      </c>
      <c r="C118" t="s">
        <v>9</v>
      </c>
      <c r="D118">
        <v>1</v>
      </c>
      <c r="E118">
        <v>140</v>
      </c>
      <c r="F118" t="s">
        <v>216</v>
      </c>
      <c r="G118">
        <v>567.9</v>
      </c>
      <c r="H118">
        <v>567.9</v>
      </c>
      <c r="I118" s="153">
        <f t="shared" si="39"/>
        <v>73.259100000000004</v>
      </c>
      <c r="J118" s="5">
        <f t="shared" si="40"/>
        <v>143.94444444444443</v>
      </c>
      <c r="K118" s="5">
        <f t="shared" si="41"/>
        <v>97.686645636172443</v>
      </c>
      <c r="L118" s="5">
        <f t="shared" si="42"/>
        <v>87.032967032967051</v>
      </c>
      <c r="M118" s="5">
        <f t="shared" si="43"/>
        <v>15.5</v>
      </c>
      <c r="N118" s="5">
        <f t="shared" si="44"/>
        <v>25.744700315457415</v>
      </c>
      <c r="O118" s="138">
        <f t="shared" si="45"/>
        <v>73.259100000000004</v>
      </c>
      <c r="P118" s="148" cm="1">
        <f t="array" ref="P118">_xlfn.XLOOKUP(C118,'Ürün Maliyeti1'!$I$162:$I$190,_xlfn.XLOOKUP(data!E118,'Ürün Maliyeti1'!$J$161:$O$161,'Ürün Maliyeti1'!$J$162:$O$190))</f>
        <v>143.94444444444443</v>
      </c>
      <c r="Q118" s="138">
        <f>IF(B118="burger",'Genel Gider'!$I$19,"₺ 0")</f>
        <v>97.686645636172443</v>
      </c>
      <c r="R118" s="138">
        <f>IF(B118="burger",'servis maliyeti'!$H$7,"₺ 0")</f>
        <v>87.032967032967051</v>
      </c>
      <c r="S118" s="138">
        <f>IF(B118="burger",'paketleme maliyeti'!$F$9,"₺ 0")</f>
        <v>15.5</v>
      </c>
      <c r="T118" s="138">
        <f>IF(B118="burger",'günlük genel gider maliyeti'!$H$10,"₺ 0")</f>
        <v>25.744700315457415</v>
      </c>
      <c r="U118" s="141">
        <f t="shared" si="46"/>
        <v>443.16785742904136</v>
      </c>
      <c r="V118" s="5">
        <f t="shared" si="50"/>
        <v>124.73214257095862</v>
      </c>
      <c r="W118" s="105">
        <f t="shared" si="47"/>
        <v>124.73214257095862</v>
      </c>
      <c r="X118" s="136">
        <f t="shared" si="48"/>
        <v>0.21963751113040786</v>
      </c>
    </row>
    <row r="119" spans="1:24" ht="18.75" x14ac:dyDescent="0.25">
      <c r="A119" s="164">
        <v>45812</v>
      </c>
      <c r="B119" s="164" t="s">
        <v>108</v>
      </c>
      <c r="C119" t="s">
        <v>6</v>
      </c>
      <c r="D119">
        <v>1</v>
      </c>
      <c r="E119">
        <v>140</v>
      </c>
      <c r="F119" t="s">
        <v>216</v>
      </c>
      <c r="G119">
        <v>567.9</v>
      </c>
      <c r="H119">
        <v>567.9</v>
      </c>
      <c r="I119" s="153">
        <f t="shared" si="39"/>
        <v>73.259100000000004</v>
      </c>
      <c r="J119" s="5">
        <f t="shared" si="40"/>
        <v>143.94444444444443</v>
      </c>
      <c r="K119" s="5">
        <f t="shared" si="41"/>
        <v>97.686645636172443</v>
      </c>
      <c r="L119" s="5">
        <f t="shared" si="42"/>
        <v>87.032967032967051</v>
      </c>
      <c r="M119" s="5">
        <f t="shared" si="43"/>
        <v>15.5</v>
      </c>
      <c r="N119" s="5">
        <f t="shared" si="44"/>
        <v>25.744700315457415</v>
      </c>
      <c r="O119" s="138">
        <f t="shared" si="45"/>
        <v>73.259100000000004</v>
      </c>
      <c r="P119" s="148" cm="1">
        <f t="array" ref="P119">_xlfn.XLOOKUP(C119,'Ürün Maliyeti1'!$I$162:$I$190,_xlfn.XLOOKUP(data!E119,'Ürün Maliyeti1'!$J$161:$O$161,'Ürün Maliyeti1'!$J$162:$O$190))</f>
        <v>143.94444444444443</v>
      </c>
      <c r="Q119" s="138">
        <f>IF(B119="burger",'Genel Gider'!$I$19,"₺ 0")</f>
        <v>97.686645636172443</v>
      </c>
      <c r="R119" s="138">
        <f>IF(B119="burger",'servis maliyeti'!$H$7,"₺ 0")</f>
        <v>87.032967032967051</v>
      </c>
      <c r="S119" s="138">
        <f>IF(B119="burger",'paketleme maliyeti'!$F$9,"₺ 0")</f>
        <v>15.5</v>
      </c>
      <c r="T119" s="138">
        <f>IF(B119="burger",'günlük genel gider maliyeti'!$H$10,"₺ 0")</f>
        <v>25.744700315457415</v>
      </c>
      <c r="U119" s="141">
        <f t="shared" si="46"/>
        <v>443.16785742904136</v>
      </c>
      <c r="V119" s="5">
        <f t="shared" si="50"/>
        <v>124.73214257095862</v>
      </c>
      <c r="W119" s="105">
        <f t="shared" si="47"/>
        <v>124.73214257095862</v>
      </c>
      <c r="X119" s="136">
        <f t="shared" si="48"/>
        <v>0.21963751113040786</v>
      </c>
    </row>
    <row r="120" spans="1:24" ht="18.75" x14ac:dyDescent="0.25">
      <c r="A120" s="164">
        <v>45812</v>
      </c>
      <c r="B120" s="164" t="s">
        <v>108</v>
      </c>
      <c r="C120" t="s">
        <v>7</v>
      </c>
      <c r="D120">
        <v>5</v>
      </c>
      <c r="E120">
        <v>140</v>
      </c>
      <c r="F120" t="s">
        <v>216</v>
      </c>
      <c r="G120">
        <v>567.9</v>
      </c>
      <c r="H120">
        <v>2839.5</v>
      </c>
      <c r="I120" s="153">
        <f t="shared" si="39"/>
        <v>366.2955</v>
      </c>
      <c r="J120" s="5">
        <f t="shared" si="40"/>
        <v>712.22222222222217</v>
      </c>
      <c r="K120" s="5">
        <f t="shared" si="41"/>
        <v>488.43322818086222</v>
      </c>
      <c r="L120" s="5">
        <f t="shared" si="42"/>
        <v>435.16483516483527</v>
      </c>
      <c r="M120" s="5">
        <f t="shared" si="43"/>
        <v>77.5</v>
      </c>
      <c r="N120" s="5">
        <f t="shared" si="44"/>
        <v>128.72350157728707</v>
      </c>
      <c r="O120" s="138">
        <f t="shared" si="45"/>
        <v>73.259100000000004</v>
      </c>
      <c r="P120" s="148" cm="1">
        <f t="array" ref="P120">_xlfn.XLOOKUP(C120,'Ürün Maliyeti1'!$I$162:$I$190,_xlfn.XLOOKUP(data!E120,'Ürün Maliyeti1'!$J$161:$O$161,'Ürün Maliyeti1'!$J$162:$O$190))</f>
        <v>142.44444444444443</v>
      </c>
      <c r="Q120" s="138">
        <f>IF(B120="burger",'Genel Gider'!$I$19,"₺ 0")</f>
        <v>97.686645636172443</v>
      </c>
      <c r="R120" s="138">
        <f>IF(B120="burger",'servis maliyeti'!$H$7,"₺ 0")</f>
        <v>87.032967032967051</v>
      </c>
      <c r="S120" s="138">
        <f>IF(B120="burger",'paketleme maliyeti'!$F$9,"₺ 0")</f>
        <v>15.5</v>
      </c>
      <c r="T120" s="138">
        <f>IF(B120="burger",'günlük genel gider maliyeti'!$H$10,"₺ 0")</f>
        <v>25.744700315457415</v>
      </c>
      <c r="U120" s="141">
        <f t="shared" si="46"/>
        <v>2208.339287145207</v>
      </c>
      <c r="V120" s="5">
        <f t="shared" si="50"/>
        <v>631.16071285479302</v>
      </c>
      <c r="W120" s="105">
        <f t="shared" si="47"/>
        <v>126.2321425709586</v>
      </c>
      <c r="X120" s="136">
        <f t="shared" si="48"/>
        <v>0.22227882122021231</v>
      </c>
    </row>
    <row r="121" spans="1:24" ht="18.75" x14ac:dyDescent="0.25">
      <c r="A121" s="164">
        <v>45812</v>
      </c>
      <c r="B121" s="164" t="s">
        <v>108</v>
      </c>
      <c r="C121" t="s">
        <v>135</v>
      </c>
      <c r="D121">
        <v>1</v>
      </c>
      <c r="E121">
        <v>100</v>
      </c>
      <c r="F121" t="s">
        <v>100</v>
      </c>
      <c r="G121">
        <v>569.9</v>
      </c>
      <c r="H121">
        <v>569.9</v>
      </c>
      <c r="I121" s="153">
        <f t="shared" si="39"/>
        <v>51.290999999999997</v>
      </c>
      <c r="J121" s="5">
        <f t="shared" si="40"/>
        <v>131.74444444444444</v>
      </c>
      <c r="K121" s="5">
        <f t="shared" si="41"/>
        <v>97.686645636172443</v>
      </c>
      <c r="L121" s="5">
        <f t="shared" si="42"/>
        <v>87.032967032967051</v>
      </c>
      <c r="M121" s="5">
        <f t="shared" si="43"/>
        <v>15.5</v>
      </c>
      <c r="N121" s="5">
        <f t="shared" si="44"/>
        <v>25.744700315457415</v>
      </c>
      <c r="O121" s="138">
        <f t="shared" si="45"/>
        <v>51.290999999999997</v>
      </c>
      <c r="P121" s="148" cm="1">
        <f t="array" ref="P121">_xlfn.XLOOKUP(C121,'Ürün Maliyeti1'!$I$162:$I$190,_xlfn.XLOOKUP(data!E121,'Ürün Maliyeti1'!$J$161:$O$161,'Ürün Maliyeti1'!$J$162:$O$190))</f>
        <v>131.74444444444444</v>
      </c>
      <c r="Q121" s="138">
        <f>IF(B121="burger",'Genel Gider'!$I$19,"₺ 0")</f>
        <v>97.686645636172443</v>
      </c>
      <c r="R121" s="138">
        <f>IF(B121="burger",'servis maliyeti'!$H$7,"₺ 0")</f>
        <v>87.032967032967051</v>
      </c>
      <c r="S121" s="138">
        <f>IF(B121="burger",'paketleme maliyeti'!$F$9,"₺ 0")</f>
        <v>15.5</v>
      </c>
      <c r="T121" s="138">
        <f>IF(B121="burger",'günlük genel gider maliyeti'!$H$10,"₺ 0")</f>
        <v>25.744700315457415</v>
      </c>
      <c r="U121" s="141">
        <f t="shared" si="46"/>
        <v>408.99975742904138</v>
      </c>
      <c r="V121" s="5">
        <f t="shared" si="50"/>
        <v>160.9002425709586</v>
      </c>
      <c r="W121" s="105">
        <f t="shared" si="47"/>
        <v>160.9002425709586</v>
      </c>
      <c r="X121" s="136">
        <f t="shared" si="48"/>
        <v>0.28233065901203475</v>
      </c>
    </row>
    <row r="122" spans="1:24" ht="18.75" x14ac:dyDescent="0.25">
      <c r="A122" s="164">
        <v>45812</v>
      </c>
      <c r="B122" s="164" t="s">
        <v>108</v>
      </c>
      <c r="C122" t="s">
        <v>135</v>
      </c>
      <c r="D122">
        <v>1</v>
      </c>
      <c r="E122">
        <v>140</v>
      </c>
      <c r="F122" t="s">
        <v>216</v>
      </c>
      <c r="G122">
        <v>576.9</v>
      </c>
      <c r="H122">
        <v>576.9</v>
      </c>
      <c r="I122" s="153">
        <f t="shared" si="39"/>
        <v>74.420100000000005</v>
      </c>
      <c r="J122" s="5">
        <f t="shared" si="40"/>
        <v>150.94444444444443</v>
      </c>
      <c r="K122" s="5">
        <f t="shared" si="41"/>
        <v>97.686645636172443</v>
      </c>
      <c r="L122" s="5">
        <f t="shared" si="42"/>
        <v>87.032967032967051</v>
      </c>
      <c r="M122" s="5">
        <f t="shared" si="43"/>
        <v>15.5</v>
      </c>
      <c r="N122" s="5">
        <f t="shared" si="44"/>
        <v>25.744700315457415</v>
      </c>
      <c r="O122" s="138">
        <f t="shared" si="45"/>
        <v>74.420100000000005</v>
      </c>
      <c r="P122" s="148" cm="1">
        <f t="array" ref="P122">_xlfn.XLOOKUP(C122,'Ürün Maliyeti1'!$I$162:$I$190,_xlfn.XLOOKUP(data!E122,'Ürün Maliyeti1'!$J$161:$O$161,'Ürün Maliyeti1'!$J$162:$O$190))</f>
        <v>150.94444444444443</v>
      </c>
      <c r="Q122" s="138">
        <f>IF(B122="burger",'Genel Gider'!$I$19,"₺ 0")</f>
        <v>97.686645636172443</v>
      </c>
      <c r="R122" s="138">
        <f>IF(B122="burger",'servis maliyeti'!$H$7,"₺ 0")</f>
        <v>87.032967032967051</v>
      </c>
      <c r="S122" s="138">
        <f>IF(B122="burger",'paketleme maliyeti'!$F$9,"₺ 0")</f>
        <v>15.5</v>
      </c>
      <c r="T122" s="138">
        <f>IF(B122="burger",'günlük genel gider maliyeti'!$H$10,"₺ 0")</f>
        <v>25.744700315457415</v>
      </c>
      <c r="U122" s="141">
        <f t="shared" si="46"/>
        <v>451.32885742904136</v>
      </c>
      <c r="V122" s="5">
        <f t="shared" si="50"/>
        <v>125.57114257095861</v>
      </c>
      <c r="W122" s="105">
        <f t="shared" si="47"/>
        <v>125.57114257095861</v>
      </c>
      <c r="X122" s="136">
        <f t="shared" si="48"/>
        <v>0.21766535373714443</v>
      </c>
    </row>
    <row r="123" spans="1:24" ht="18.75" x14ac:dyDescent="0.25">
      <c r="A123" s="164">
        <v>45812</v>
      </c>
      <c r="B123" s="164" t="s">
        <v>108</v>
      </c>
      <c r="C123" t="s">
        <v>18</v>
      </c>
      <c r="D123">
        <v>1</v>
      </c>
      <c r="E123">
        <v>140</v>
      </c>
      <c r="F123" t="s">
        <v>340</v>
      </c>
      <c r="G123">
        <v>589.9</v>
      </c>
      <c r="H123">
        <v>589.9</v>
      </c>
      <c r="I123" s="153">
        <f t="shared" si="39"/>
        <v>86.715299999999985</v>
      </c>
      <c r="J123" s="5">
        <f t="shared" si="40"/>
        <v>167.17777777777775</v>
      </c>
      <c r="K123" s="5">
        <f t="shared" si="41"/>
        <v>97.686645636172443</v>
      </c>
      <c r="L123" s="5">
        <f t="shared" si="42"/>
        <v>87.032967032967051</v>
      </c>
      <c r="M123" s="5">
        <f t="shared" si="43"/>
        <v>15.5</v>
      </c>
      <c r="N123" s="5">
        <f t="shared" si="44"/>
        <v>25.744700315457415</v>
      </c>
      <c r="O123" s="138">
        <f t="shared" si="45"/>
        <v>86.715299999999985</v>
      </c>
      <c r="P123" s="148" cm="1">
        <f t="array" ref="P123">_xlfn.XLOOKUP(C123,'Ürün Maliyeti1'!$I$162:$I$190,_xlfn.XLOOKUP(data!E123,'Ürün Maliyeti1'!$J$161:$O$161,'Ürün Maliyeti1'!$J$162:$O$190))</f>
        <v>167.17777777777775</v>
      </c>
      <c r="Q123" s="138">
        <f>IF(B123="burger",'Genel Gider'!$I$19,"₺ 0")</f>
        <v>97.686645636172443</v>
      </c>
      <c r="R123" s="138">
        <f>IF(B123="burger",'servis maliyeti'!$H$7,"₺ 0")</f>
        <v>87.032967032967051</v>
      </c>
      <c r="S123" s="138">
        <f>IF(B123="burger",'paketleme maliyeti'!$F$9,"₺ 0")</f>
        <v>15.5</v>
      </c>
      <c r="T123" s="138">
        <f>IF(B123="burger",'günlük genel gider maliyeti'!$H$10,"₺ 0")</f>
        <v>25.744700315457415</v>
      </c>
      <c r="U123" s="141">
        <f t="shared" si="46"/>
        <v>479.85739076237468</v>
      </c>
      <c r="V123" s="5">
        <f t="shared" si="50"/>
        <v>110.0426092376253</v>
      </c>
      <c r="W123" s="105">
        <f t="shared" si="47"/>
        <v>110.0426092376253</v>
      </c>
      <c r="X123" s="136">
        <f t="shared" si="48"/>
        <v>0.18654451472728481</v>
      </c>
    </row>
    <row r="124" spans="1:24" ht="18.75" x14ac:dyDescent="0.25">
      <c r="A124" s="164">
        <v>45812</v>
      </c>
      <c r="B124" s="164" t="s">
        <v>108</v>
      </c>
      <c r="C124" t="s">
        <v>7</v>
      </c>
      <c r="D124">
        <v>1</v>
      </c>
      <c r="E124">
        <v>140</v>
      </c>
      <c r="F124" t="s">
        <v>340</v>
      </c>
      <c r="G124">
        <v>590.9</v>
      </c>
      <c r="H124">
        <v>590.9</v>
      </c>
      <c r="I124" s="153">
        <f t="shared" si="39"/>
        <v>86.862299999999991</v>
      </c>
      <c r="J124" s="5">
        <f t="shared" si="40"/>
        <v>142.44444444444443</v>
      </c>
      <c r="K124" s="5">
        <f t="shared" si="41"/>
        <v>97.686645636172443</v>
      </c>
      <c r="L124" s="5">
        <f t="shared" si="42"/>
        <v>87.032967032967051</v>
      </c>
      <c r="M124" s="5">
        <f t="shared" si="43"/>
        <v>15.5</v>
      </c>
      <c r="N124" s="5">
        <f t="shared" si="44"/>
        <v>25.744700315457415</v>
      </c>
      <c r="O124" s="138">
        <f t="shared" si="45"/>
        <v>86.862299999999991</v>
      </c>
      <c r="P124" s="148" cm="1">
        <f t="array" ref="P124">_xlfn.XLOOKUP(C124,'Ürün Maliyeti1'!$I$162:$I$190,_xlfn.XLOOKUP(data!E124,'Ürün Maliyeti1'!$J$161:$O$161,'Ürün Maliyeti1'!$J$162:$O$190))</f>
        <v>142.44444444444443</v>
      </c>
      <c r="Q124" s="138">
        <f>IF(B124="burger",'Genel Gider'!$I$19,"₺ 0")</f>
        <v>97.686645636172443</v>
      </c>
      <c r="R124" s="138">
        <f>IF(B124="burger",'servis maliyeti'!$H$7,"₺ 0")</f>
        <v>87.032967032967051</v>
      </c>
      <c r="S124" s="138">
        <f>IF(B124="burger",'paketleme maliyeti'!$F$9,"₺ 0")</f>
        <v>15.5</v>
      </c>
      <c r="T124" s="138">
        <f>IF(B124="burger",'günlük genel gider maliyeti'!$H$10,"₺ 0")</f>
        <v>25.744700315457415</v>
      </c>
      <c r="U124" s="141">
        <f t="shared" si="46"/>
        <v>455.27105742904132</v>
      </c>
      <c r="V124" s="5">
        <f t="shared" si="50"/>
        <v>135.62894257095866</v>
      </c>
      <c r="W124" s="105">
        <f t="shared" si="47"/>
        <v>135.62894257095866</v>
      </c>
      <c r="X124" s="136">
        <f t="shared" si="48"/>
        <v>0.22952943403445364</v>
      </c>
    </row>
    <row r="125" spans="1:24" ht="18.75" x14ac:dyDescent="0.25">
      <c r="A125" s="164">
        <v>45812</v>
      </c>
      <c r="B125" s="164" t="s">
        <v>108</v>
      </c>
      <c r="C125" t="s">
        <v>6</v>
      </c>
      <c r="D125">
        <v>1</v>
      </c>
      <c r="E125">
        <v>140</v>
      </c>
      <c r="F125" t="s">
        <v>340</v>
      </c>
      <c r="G125">
        <v>604.9</v>
      </c>
      <c r="H125">
        <v>604.9</v>
      </c>
      <c r="I125" s="153">
        <f t="shared" si="39"/>
        <v>88.920299999999997</v>
      </c>
      <c r="J125" s="5">
        <f t="shared" si="40"/>
        <v>143.94444444444443</v>
      </c>
      <c r="K125" s="5">
        <f t="shared" si="41"/>
        <v>97.686645636172443</v>
      </c>
      <c r="L125" s="5">
        <f t="shared" si="42"/>
        <v>87.032967032967051</v>
      </c>
      <c r="M125" s="5">
        <f t="shared" si="43"/>
        <v>15.5</v>
      </c>
      <c r="N125" s="5">
        <f t="shared" si="44"/>
        <v>25.744700315457415</v>
      </c>
      <c r="O125" s="138">
        <f t="shared" si="45"/>
        <v>88.920299999999997</v>
      </c>
      <c r="P125" s="148" cm="1">
        <f t="array" ref="P125">_xlfn.XLOOKUP(C125,'Ürün Maliyeti1'!$I$162:$I$190,_xlfn.XLOOKUP(data!E125,'Ürün Maliyeti1'!$J$161:$O$161,'Ürün Maliyeti1'!$J$162:$O$190))</f>
        <v>143.94444444444443</v>
      </c>
      <c r="Q125" s="138">
        <f>IF(B125="burger",'Genel Gider'!$I$19,"₺ 0")</f>
        <v>97.686645636172443</v>
      </c>
      <c r="R125" s="138">
        <f>IF(B125="burger",'servis maliyeti'!$H$7,"₺ 0")</f>
        <v>87.032967032967051</v>
      </c>
      <c r="S125" s="138">
        <f>IF(B125="burger",'paketleme maliyeti'!$F$9,"₺ 0")</f>
        <v>15.5</v>
      </c>
      <c r="T125" s="138">
        <f>IF(B125="burger",'günlük genel gider maliyeti'!$H$10,"₺ 0")</f>
        <v>25.744700315457415</v>
      </c>
      <c r="U125" s="141">
        <f t="shared" si="46"/>
        <v>458.82905742904137</v>
      </c>
      <c r="V125" s="5">
        <f t="shared" si="50"/>
        <v>146.07094257095861</v>
      </c>
      <c r="W125" s="105">
        <f t="shared" si="47"/>
        <v>146.07094257095861</v>
      </c>
      <c r="X125" s="136">
        <f t="shared" si="48"/>
        <v>0.24147948846248737</v>
      </c>
    </row>
    <row r="126" spans="1:24" ht="18.75" x14ac:dyDescent="0.25">
      <c r="A126" s="164">
        <v>45812</v>
      </c>
      <c r="B126" s="164" t="s">
        <v>108</v>
      </c>
      <c r="C126" t="s">
        <v>135</v>
      </c>
      <c r="D126">
        <v>2</v>
      </c>
      <c r="E126">
        <v>140</v>
      </c>
      <c r="F126" t="s">
        <v>340</v>
      </c>
      <c r="G126">
        <v>604.9</v>
      </c>
      <c r="H126">
        <v>1209.8</v>
      </c>
      <c r="I126" s="153">
        <f t="shared" si="39"/>
        <v>177.84059999999999</v>
      </c>
      <c r="J126" s="5">
        <f t="shared" si="40"/>
        <v>301.88888888888886</v>
      </c>
      <c r="K126" s="5">
        <f t="shared" si="41"/>
        <v>195.37329127234489</v>
      </c>
      <c r="L126" s="5">
        <f t="shared" si="42"/>
        <v>174.0659340659341</v>
      </c>
      <c r="M126" s="5">
        <f t="shared" si="43"/>
        <v>31</v>
      </c>
      <c r="N126" s="5">
        <f t="shared" si="44"/>
        <v>51.48940063091483</v>
      </c>
      <c r="O126" s="138">
        <f t="shared" si="45"/>
        <v>88.920299999999997</v>
      </c>
      <c r="P126" s="148" cm="1">
        <f t="array" ref="P126">_xlfn.XLOOKUP(C126,'Ürün Maliyeti1'!$I$162:$I$190,_xlfn.XLOOKUP(data!E126,'Ürün Maliyeti1'!$J$161:$O$161,'Ürün Maliyeti1'!$J$162:$O$190))</f>
        <v>150.94444444444443</v>
      </c>
      <c r="Q126" s="138">
        <f>IF(B126="burger",'Genel Gider'!$I$19,"₺ 0")</f>
        <v>97.686645636172443</v>
      </c>
      <c r="R126" s="138">
        <f>IF(B126="burger",'servis maliyeti'!$H$7,"₺ 0")</f>
        <v>87.032967032967051</v>
      </c>
      <c r="S126" s="138">
        <f>IF(B126="burger",'paketleme maliyeti'!$F$9,"₺ 0")</f>
        <v>15.5</v>
      </c>
      <c r="T126" s="138">
        <f>IF(B126="burger",'günlük genel gider maliyeti'!$H$10,"₺ 0")</f>
        <v>25.744700315457415</v>
      </c>
      <c r="U126" s="141">
        <f t="shared" si="46"/>
        <v>931.65811485808274</v>
      </c>
      <c r="V126" s="5">
        <f t="shared" si="50"/>
        <v>278.14188514191721</v>
      </c>
      <c r="W126" s="105">
        <f t="shared" si="47"/>
        <v>139.07094257095861</v>
      </c>
      <c r="X126" s="136">
        <f t="shared" si="48"/>
        <v>0.22990732777477041</v>
      </c>
    </row>
    <row r="127" spans="1:24" ht="18.75" x14ac:dyDescent="0.25">
      <c r="A127" s="164">
        <v>45812</v>
      </c>
      <c r="B127" s="164" t="s">
        <v>108</v>
      </c>
      <c r="C127" t="s">
        <v>7</v>
      </c>
      <c r="D127">
        <v>7</v>
      </c>
      <c r="E127">
        <v>140</v>
      </c>
      <c r="F127" t="s">
        <v>340</v>
      </c>
      <c r="G127">
        <v>604.9</v>
      </c>
      <c r="H127">
        <v>4234.3</v>
      </c>
      <c r="I127" s="153">
        <f t="shared" ref="I127:I128" si="51">O127*D127</f>
        <v>622.44209999999998</v>
      </c>
      <c r="J127" s="5">
        <f t="shared" ref="J127:J128" si="52">P127*D127</f>
        <v>997.11111111111097</v>
      </c>
      <c r="K127" s="5">
        <f t="shared" ref="K127:K128" si="53">Q127*D127</f>
        <v>683.8065194532071</v>
      </c>
      <c r="L127" s="5">
        <f t="shared" ref="L127:L128" si="54">R127*D127</f>
        <v>609.2307692307694</v>
      </c>
      <c r="M127" s="5">
        <f t="shared" ref="M127:M128" si="55">S127*D127</f>
        <v>108.5</v>
      </c>
      <c r="N127" s="5">
        <f t="shared" ref="N127:N128" si="56">T127*D127</f>
        <v>180.21290220820191</v>
      </c>
      <c r="O127" s="138">
        <f t="shared" ref="O127:O128" si="57">IF(F127="Restoran Satış",0,IF(F127="Getir Yemek",H127*0.129,IF(F127="Migros Yemek",H127*0.129,IF(F127="Yemek Sepeti",H127*0.147,IF(F127="Trendyol",H127*0.09)))))/D127</f>
        <v>88.920299999999997</v>
      </c>
      <c r="P127" s="148" cm="1">
        <f t="array" ref="P127">_xlfn.XLOOKUP(C127,'Ürün Maliyeti1'!$I$162:$I$190,_xlfn.XLOOKUP(data!E127,'Ürün Maliyeti1'!$J$161:$O$161,'Ürün Maliyeti1'!$J$162:$O$190))</f>
        <v>142.44444444444443</v>
      </c>
      <c r="Q127" s="138">
        <f>IF(B127="burger",'Genel Gider'!$I$19,"₺ 0")</f>
        <v>97.686645636172443</v>
      </c>
      <c r="R127" s="138">
        <f>IF(B127="burger",'servis maliyeti'!$H$7,"₺ 0")</f>
        <v>87.032967032967051</v>
      </c>
      <c r="S127" s="138">
        <f>IF(B127="burger",'paketleme maliyeti'!$F$9,"₺ 0")</f>
        <v>15.5</v>
      </c>
      <c r="T127" s="138">
        <f>IF(B127="burger",'günlük genel gider maliyeti'!$H$10,"₺ 0")</f>
        <v>25.744700315457415</v>
      </c>
      <c r="U127" s="141">
        <f t="shared" ref="U127:U128" si="58">SUM(O127:T127)*D127</f>
        <v>3201.3034020032896</v>
      </c>
      <c r="V127" s="5">
        <f t="shared" ref="V127:V128" si="59">H127-U127</f>
        <v>1032.9965979967105</v>
      </c>
      <c r="W127" s="105">
        <f t="shared" ref="W127:W128" si="60">V127/D127</f>
        <v>147.57094257095864</v>
      </c>
      <c r="X127" s="136">
        <f t="shared" ref="X127:X128" si="61">(G127-(U127/D127))/G127</f>
        <v>0.24395923718128387</v>
      </c>
    </row>
    <row r="128" spans="1:24" ht="18.75" x14ac:dyDescent="0.25">
      <c r="A128" s="164">
        <v>45812</v>
      </c>
      <c r="B128" s="164" t="s">
        <v>108</v>
      </c>
      <c r="C128" t="s">
        <v>5</v>
      </c>
      <c r="D128">
        <v>4</v>
      </c>
      <c r="E128">
        <v>100</v>
      </c>
      <c r="F128" t="s">
        <v>340</v>
      </c>
      <c r="G128">
        <v>609.9</v>
      </c>
      <c r="H128">
        <v>2439.6</v>
      </c>
      <c r="I128" s="153">
        <f t="shared" si="51"/>
        <v>358.62119999999999</v>
      </c>
      <c r="J128" s="5">
        <f t="shared" si="52"/>
        <v>654.28888888888889</v>
      </c>
      <c r="K128" s="5">
        <f t="shared" si="53"/>
        <v>390.74658254468977</v>
      </c>
      <c r="L128" s="5">
        <f t="shared" si="54"/>
        <v>348.1318681318682</v>
      </c>
      <c r="M128" s="5">
        <f t="shared" si="55"/>
        <v>62</v>
      </c>
      <c r="N128" s="5">
        <f t="shared" si="56"/>
        <v>102.97880126182966</v>
      </c>
      <c r="O128" s="138">
        <f t="shared" si="57"/>
        <v>89.655299999999997</v>
      </c>
      <c r="P128" s="148" cm="1">
        <f t="array" ref="P128">_xlfn.XLOOKUP(C128,'Ürün Maliyeti1'!$I$162:$I$190,_xlfn.XLOOKUP(data!E128,'Ürün Maliyeti1'!$J$161:$O$161,'Ürün Maliyeti1'!$J$162:$O$190))</f>
        <v>163.57222222222222</v>
      </c>
      <c r="Q128" s="138">
        <f>IF(B128="burger",'Genel Gider'!$I$19,"₺ 0")</f>
        <v>97.686645636172443</v>
      </c>
      <c r="R128" s="138">
        <f>IF(B128="burger",'servis maliyeti'!$H$7,"₺ 0")</f>
        <v>87.032967032967051</v>
      </c>
      <c r="S128" s="138">
        <f>IF(B128="burger",'paketleme maliyeti'!$F$9,"₺ 0")</f>
        <v>15.5</v>
      </c>
      <c r="T128" s="138">
        <f>IF(B128="burger",'günlük genel gider maliyeti'!$H$10,"₺ 0")</f>
        <v>25.744700315457415</v>
      </c>
      <c r="U128" s="141">
        <f t="shared" si="58"/>
        <v>1916.7673408272765</v>
      </c>
      <c r="V128" s="5">
        <f t="shared" si="59"/>
        <v>522.83265917272342</v>
      </c>
      <c r="W128" s="105">
        <f t="shared" si="60"/>
        <v>130.70816479318086</v>
      </c>
      <c r="X128" s="136">
        <f t="shared" si="61"/>
        <v>0.21431081290897008</v>
      </c>
    </row>
    <row r="129" spans="1:24" ht="18.75" x14ac:dyDescent="0.25">
      <c r="A129" s="164">
        <v>45812</v>
      </c>
      <c r="B129" s="164" t="s">
        <v>108</v>
      </c>
      <c r="C129" t="s">
        <v>7</v>
      </c>
      <c r="D129">
        <v>2</v>
      </c>
      <c r="E129">
        <v>200</v>
      </c>
      <c r="F129" t="s">
        <v>100</v>
      </c>
      <c r="G129">
        <v>629.79999999999995</v>
      </c>
      <c r="H129">
        <v>1259.5999999999999</v>
      </c>
      <c r="I129" s="153">
        <f t="shared" ref="I129:I135" si="62">O129*D129</f>
        <v>113.36399999999999</v>
      </c>
      <c r="J129" s="5">
        <f t="shared" ref="J129:J135" si="63">P129*D129</f>
        <v>369.57777777777773</v>
      </c>
      <c r="K129" s="5">
        <f t="shared" ref="K129:K135" si="64">Q129*D129</f>
        <v>195.37329127234489</v>
      </c>
      <c r="L129" s="5">
        <f t="shared" ref="L129:L135" si="65">R129*D129</f>
        <v>174.0659340659341</v>
      </c>
      <c r="M129" s="5">
        <f t="shared" ref="M129:M135" si="66">S129*D129</f>
        <v>31</v>
      </c>
      <c r="N129" s="5">
        <f t="shared" ref="N129:N135" si="67">T129*D129</f>
        <v>51.48940063091483</v>
      </c>
      <c r="O129" s="138">
        <f t="shared" ref="O129:O135" si="68">IF(F129="Restoran Satış",0,IF(F129="Getir Yemek",H129*0.129,IF(F129="Migros Yemek",H129*0.129,IF(F129="Yemek Sepeti",H129*0.147,IF(F129="Trendyol",H129*0.09)))))/D129</f>
        <v>56.681999999999995</v>
      </c>
      <c r="P129" s="148" cm="1">
        <f t="array" ref="P129">_xlfn.XLOOKUP(C129,'Ürün Maliyeti1'!$I$162:$I$190,_xlfn.XLOOKUP(data!E129,'Ürün Maliyeti1'!$J$161:$O$161,'Ürün Maliyeti1'!$J$162:$O$190))</f>
        <v>184.78888888888886</v>
      </c>
      <c r="Q129" s="138">
        <f>IF(B129="burger",'Genel Gider'!$I$19,"₺ 0")</f>
        <v>97.686645636172443</v>
      </c>
      <c r="R129" s="138">
        <f>IF(B129="burger",'servis maliyeti'!$H$7,"₺ 0")</f>
        <v>87.032967032967051</v>
      </c>
      <c r="S129" s="138">
        <f>IF(B129="burger",'paketleme maliyeti'!$F$9,"₺ 0")</f>
        <v>15.5</v>
      </c>
      <c r="T129" s="138">
        <f>IF(B129="burger",'günlük genel gider maliyeti'!$H$10,"₺ 0")</f>
        <v>25.744700315457415</v>
      </c>
      <c r="U129" s="141">
        <f t="shared" ref="U129:U135" si="69">SUM(O129:T129)*D129</f>
        <v>934.87040374697153</v>
      </c>
      <c r="V129" s="5">
        <f t="shared" ref="V129:V135" si="70">H129-U129</f>
        <v>324.72959625302838</v>
      </c>
      <c r="W129" s="105">
        <f t="shared" ref="W129:W135" si="71">V129/D129</f>
        <v>162.36479812651419</v>
      </c>
      <c r="X129" s="136">
        <f t="shared" ref="X129:X135" si="72">(G129-(U129/D129))/G129</f>
        <v>0.25780374424660879</v>
      </c>
    </row>
    <row r="130" spans="1:24" ht="18.75" x14ac:dyDescent="0.25">
      <c r="A130" s="164">
        <v>45812</v>
      </c>
      <c r="B130" s="164" t="s">
        <v>108</v>
      </c>
      <c r="C130" t="s">
        <v>6</v>
      </c>
      <c r="D130">
        <v>2</v>
      </c>
      <c r="E130">
        <v>200</v>
      </c>
      <c r="F130" t="s">
        <v>100</v>
      </c>
      <c r="G130">
        <v>629.91</v>
      </c>
      <c r="H130">
        <v>1259.82</v>
      </c>
      <c r="I130" s="153">
        <f t="shared" si="62"/>
        <v>113.38379999999999</v>
      </c>
      <c r="J130" s="5">
        <f t="shared" si="63"/>
        <v>372.57777777777773</v>
      </c>
      <c r="K130" s="5">
        <f t="shared" si="64"/>
        <v>195.37329127234489</v>
      </c>
      <c r="L130" s="5">
        <f t="shared" si="65"/>
        <v>174.0659340659341</v>
      </c>
      <c r="M130" s="5">
        <f t="shared" si="66"/>
        <v>31</v>
      </c>
      <c r="N130" s="5">
        <f t="shared" si="67"/>
        <v>51.48940063091483</v>
      </c>
      <c r="O130" s="138">
        <f t="shared" si="68"/>
        <v>56.691899999999997</v>
      </c>
      <c r="P130" s="148" cm="1">
        <f t="array" ref="P130">_xlfn.XLOOKUP(C130,'Ürün Maliyeti1'!$I$162:$I$190,_xlfn.XLOOKUP(data!E130,'Ürün Maliyeti1'!$J$161:$O$161,'Ürün Maliyeti1'!$J$162:$O$190))</f>
        <v>186.28888888888886</v>
      </c>
      <c r="Q130" s="138">
        <f>IF(B130="burger",'Genel Gider'!$I$19,"₺ 0")</f>
        <v>97.686645636172443</v>
      </c>
      <c r="R130" s="138">
        <f>IF(B130="burger",'servis maliyeti'!$H$7,"₺ 0")</f>
        <v>87.032967032967051</v>
      </c>
      <c r="S130" s="138">
        <f>IF(B130="burger",'paketleme maliyeti'!$F$9,"₺ 0")</f>
        <v>15.5</v>
      </c>
      <c r="T130" s="138">
        <f>IF(B130="burger",'günlük genel gider maliyeti'!$H$10,"₺ 0")</f>
        <v>25.744700315457415</v>
      </c>
      <c r="U130" s="141">
        <f t="shared" si="69"/>
        <v>937.89020374697157</v>
      </c>
      <c r="V130" s="5">
        <f t="shared" si="70"/>
        <v>321.92979625302837</v>
      </c>
      <c r="W130" s="105">
        <f t="shared" si="71"/>
        <v>160.96489812651419</v>
      </c>
      <c r="X130" s="136">
        <f t="shared" si="72"/>
        <v>0.25553634348798115</v>
      </c>
    </row>
    <row r="131" spans="1:24" ht="18.75" x14ac:dyDescent="0.25">
      <c r="A131" s="164">
        <v>45812</v>
      </c>
      <c r="B131" s="164" t="s">
        <v>108</v>
      </c>
      <c r="C131" t="s">
        <v>6</v>
      </c>
      <c r="D131">
        <v>1</v>
      </c>
      <c r="E131">
        <v>200</v>
      </c>
      <c r="F131" t="s">
        <v>216</v>
      </c>
      <c r="G131">
        <v>637.9</v>
      </c>
      <c r="H131">
        <v>637.9</v>
      </c>
      <c r="I131" s="153">
        <f t="shared" si="62"/>
        <v>82.289100000000005</v>
      </c>
      <c r="J131" s="5">
        <f t="shared" si="63"/>
        <v>186.28888888888886</v>
      </c>
      <c r="K131" s="5">
        <f t="shared" si="64"/>
        <v>97.686645636172443</v>
      </c>
      <c r="L131" s="5">
        <f t="shared" si="65"/>
        <v>87.032967032967051</v>
      </c>
      <c r="M131" s="5">
        <f t="shared" si="66"/>
        <v>15.5</v>
      </c>
      <c r="N131" s="5">
        <f t="shared" si="67"/>
        <v>25.744700315457415</v>
      </c>
      <c r="O131" s="138">
        <f t="shared" si="68"/>
        <v>82.289100000000005</v>
      </c>
      <c r="P131" s="148" cm="1">
        <f t="array" ref="P131">_xlfn.XLOOKUP(C131,'Ürün Maliyeti1'!$I$162:$I$190,_xlfn.XLOOKUP(data!E131,'Ürün Maliyeti1'!$J$161:$O$161,'Ürün Maliyeti1'!$J$162:$O$190))</f>
        <v>186.28888888888886</v>
      </c>
      <c r="Q131" s="138">
        <f>IF(B131="burger",'Genel Gider'!$I$19,"₺ 0")</f>
        <v>97.686645636172443</v>
      </c>
      <c r="R131" s="138">
        <f>IF(B131="burger",'servis maliyeti'!$H$7,"₺ 0")</f>
        <v>87.032967032967051</v>
      </c>
      <c r="S131" s="138">
        <f>IF(B131="burger",'paketleme maliyeti'!$F$9,"₺ 0")</f>
        <v>15.5</v>
      </c>
      <c r="T131" s="138">
        <f>IF(B131="burger",'günlük genel gider maliyeti'!$H$10,"₺ 0")</f>
        <v>25.744700315457415</v>
      </c>
      <c r="U131" s="141">
        <f t="shared" si="69"/>
        <v>494.54230187348577</v>
      </c>
      <c r="V131" s="5">
        <f t="shared" si="70"/>
        <v>143.35769812651421</v>
      </c>
      <c r="W131" s="105">
        <f t="shared" si="71"/>
        <v>143.35769812651421</v>
      </c>
      <c r="X131" s="136">
        <f t="shared" si="72"/>
        <v>0.22473381114048316</v>
      </c>
    </row>
    <row r="132" spans="1:24" ht="18.75" x14ac:dyDescent="0.25">
      <c r="A132" s="164">
        <v>45812</v>
      </c>
      <c r="B132" s="164" t="s">
        <v>108</v>
      </c>
      <c r="C132" t="s">
        <v>7</v>
      </c>
      <c r="D132">
        <v>4</v>
      </c>
      <c r="E132">
        <v>200</v>
      </c>
      <c r="F132" t="s">
        <v>216</v>
      </c>
      <c r="G132">
        <v>637.9</v>
      </c>
      <c r="H132">
        <v>2551.6</v>
      </c>
      <c r="I132" s="153">
        <f t="shared" si="62"/>
        <v>329.15640000000002</v>
      </c>
      <c r="J132" s="5">
        <f t="shared" si="63"/>
        <v>739.15555555555545</v>
      </c>
      <c r="K132" s="5">
        <f t="shared" si="64"/>
        <v>390.74658254468977</v>
      </c>
      <c r="L132" s="5">
        <f t="shared" si="65"/>
        <v>348.1318681318682</v>
      </c>
      <c r="M132" s="5">
        <f t="shared" si="66"/>
        <v>62</v>
      </c>
      <c r="N132" s="5">
        <f t="shared" si="67"/>
        <v>102.97880126182966</v>
      </c>
      <c r="O132" s="138">
        <f t="shared" si="68"/>
        <v>82.289100000000005</v>
      </c>
      <c r="P132" s="148" cm="1">
        <f t="array" ref="P132">_xlfn.XLOOKUP(C132,'Ürün Maliyeti1'!$I$162:$I$190,_xlfn.XLOOKUP(data!E132,'Ürün Maliyeti1'!$J$161:$O$161,'Ürün Maliyeti1'!$J$162:$O$190))</f>
        <v>184.78888888888886</v>
      </c>
      <c r="Q132" s="138">
        <f>IF(B132="burger",'Genel Gider'!$I$19,"₺ 0")</f>
        <v>97.686645636172443</v>
      </c>
      <c r="R132" s="138">
        <f>IF(B132="burger",'servis maliyeti'!$H$7,"₺ 0")</f>
        <v>87.032967032967051</v>
      </c>
      <c r="S132" s="138">
        <f>IF(B132="burger",'paketleme maliyeti'!$F$9,"₺ 0")</f>
        <v>15.5</v>
      </c>
      <c r="T132" s="138">
        <f>IF(B132="burger",'günlük genel gider maliyeti'!$H$10,"₺ 0")</f>
        <v>25.744700315457415</v>
      </c>
      <c r="U132" s="141">
        <f t="shared" si="69"/>
        <v>1972.1692074939431</v>
      </c>
      <c r="V132" s="5">
        <f t="shared" si="70"/>
        <v>579.43079250605683</v>
      </c>
      <c r="W132" s="105">
        <f t="shared" si="71"/>
        <v>144.85769812651421</v>
      </c>
      <c r="X132" s="136">
        <f t="shared" si="72"/>
        <v>0.22708527688746546</v>
      </c>
    </row>
    <row r="133" spans="1:24" ht="18.75" x14ac:dyDescent="0.25">
      <c r="A133" s="164">
        <v>45812</v>
      </c>
      <c r="B133" s="164" t="s">
        <v>108</v>
      </c>
      <c r="C133" t="s">
        <v>7</v>
      </c>
      <c r="D133">
        <v>1</v>
      </c>
      <c r="E133">
        <v>140</v>
      </c>
      <c r="F133" t="s">
        <v>340</v>
      </c>
      <c r="G133">
        <v>638.9</v>
      </c>
      <c r="H133">
        <v>638.9</v>
      </c>
      <c r="I133" s="153">
        <f t="shared" si="62"/>
        <v>93.918299999999988</v>
      </c>
      <c r="J133" s="5">
        <f t="shared" si="63"/>
        <v>142.44444444444443</v>
      </c>
      <c r="K133" s="5">
        <f t="shared" si="64"/>
        <v>97.686645636172443</v>
      </c>
      <c r="L133" s="5">
        <f t="shared" si="65"/>
        <v>87.032967032967051</v>
      </c>
      <c r="M133" s="5">
        <f t="shared" si="66"/>
        <v>15.5</v>
      </c>
      <c r="N133" s="5">
        <f t="shared" si="67"/>
        <v>25.744700315457415</v>
      </c>
      <c r="O133" s="138">
        <f t="shared" si="68"/>
        <v>93.918299999999988</v>
      </c>
      <c r="P133" s="148" cm="1">
        <f t="array" ref="P133">_xlfn.XLOOKUP(C133,'Ürün Maliyeti1'!$I$162:$I$190,_xlfn.XLOOKUP(data!E133,'Ürün Maliyeti1'!$J$161:$O$161,'Ürün Maliyeti1'!$J$162:$O$190))</f>
        <v>142.44444444444443</v>
      </c>
      <c r="Q133" s="138">
        <f>IF(B133="burger",'Genel Gider'!$I$19,"₺ 0")</f>
        <v>97.686645636172443</v>
      </c>
      <c r="R133" s="138">
        <f>IF(B133="burger",'servis maliyeti'!$H$7,"₺ 0")</f>
        <v>87.032967032967051</v>
      </c>
      <c r="S133" s="138">
        <f>IF(B133="burger",'paketleme maliyeti'!$F$9,"₺ 0")</f>
        <v>15.5</v>
      </c>
      <c r="T133" s="138">
        <f>IF(B133="burger",'günlük genel gider maliyeti'!$H$10,"₺ 0")</f>
        <v>25.744700315457415</v>
      </c>
      <c r="U133" s="141">
        <f t="shared" si="69"/>
        <v>462.3270574290413</v>
      </c>
      <c r="V133" s="5">
        <f t="shared" si="70"/>
        <v>176.57294257095867</v>
      </c>
      <c r="W133" s="105">
        <f t="shared" si="71"/>
        <v>176.57294257095867</v>
      </c>
      <c r="X133" s="136">
        <f t="shared" si="72"/>
        <v>0.27637023410699435</v>
      </c>
    </row>
    <row r="134" spans="1:24" ht="18.75" x14ac:dyDescent="0.25">
      <c r="A134" s="164">
        <v>45812</v>
      </c>
      <c r="B134" s="164" t="s">
        <v>108</v>
      </c>
      <c r="C134" t="s">
        <v>7</v>
      </c>
      <c r="D134">
        <v>2</v>
      </c>
      <c r="E134">
        <v>200</v>
      </c>
      <c r="F134" t="s">
        <v>100</v>
      </c>
      <c r="G134">
        <v>641.79999999999995</v>
      </c>
      <c r="H134">
        <v>1283.5999999999999</v>
      </c>
      <c r="I134" s="153">
        <f t="shared" si="62"/>
        <v>115.52399999999999</v>
      </c>
      <c r="J134" s="5">
        <f t="shared" si="63"/>
        <v>369.57777777777773</v>
      </c>
      <c r="K134" s="5">
        <f t="shared" si="64"/>
        <v>195.37329127234489</v>
      </c>
      <c r="L134" s="5">
        <f t="shared" si="65"/>
        <v>174.0659340659341</v>
      </c>
      <c r="M134" s="5">
        <f t="shared" si="66"/>
        <v>31</v>
      </c>
      <c r="N134" s="5">
        <f t="shared" si="67"/>
        <v>51.48940063091483</v>
      </c>
      <c r="O134" s="138">
        <f t="shared" si="68"/>
        <v>57.761999999999993</v>
      </c>
      <c r="P134" s="148" cm="1">
        <f t="array" ref="P134">_xlfn.XLOOKUP(C134,'Ürün Maliyeti1'!$I$162:$I$190,_xlfn.XLOOKUP(data!E134,'Ürün Maliyeti1'!$J$161:$O$161,'Ürün Maliyeti1'!$J$162:$O$190))</f>
        <v>184.78888888888886</v>
      </c>
      <c r="Q134" s="138">
        <f>IF(B134="burger",'Genel Gider'!$I$19,"₺ 0")</f>
        <v>97.686645636172443</v>
      </c>
      <c r="R134" s="138">
        <f>IF(B134="burger",'servis maliyeti'!$H$7,"₺ 0")</f>
        <v>87.032967032967051</v>
      </c>
      <c r="S134" s="138">
        <f>IF(B134="burger",'paketleme maliyeti'!$F$9,"₺ 0")</f>
        <v>15.5</v>
      </c>
      <c r="T134" s="138">
        <f>IF(B134="burger",'günlük genel gider maliyeti'!$H$10,"₺ 0")</f>
        <v>25.744700315457415</v>
      </c>
      <c r="U134" s="141">
        <f t="shared" si="69"/>
        <v>937.0304037469715</v>
      </c>
      <c r="V134" s="5">
        <f t="shared" si="70"/>
        <v>346.56959625302841</v>
      </c>
      <c r="W134" s="105">
        <f t="shared" si="71"/>
        <v>173.2847981265142</v>
      </c>
      <c r="X134" s="136">
        <f t="shared" si="72"/>
        <v>0.26999812733953604</v>
      </c>
    </row>
    <row r="135" spans="1:24" ht="18.75" x14ac:dyDescent="0.25">
      <c r="A135" s="164">
        <v>45812</v>
      </c>
      <c r="B135" s="164" t="s">
        <v>108</v>
      </c>
      <c r="C135" t="s">
        <v>7</v>
      </c>
      <c r="D135">
        <v>1</v>
      </c>
      <c r="E135">
        <v>200</v>
      </c>
      <c r="F135" t="s">
        <v>340</v>
      </c>
      <c r="G135">
        <v>644.9</v>
      </c>
      <c r="H135">
        <v>644.9</v>
      </c>
      <c r="I135" s="153">
        <f t="shared" si="62"/>
        <v>94.800299999999993</v>
      </c>
      <c r="J135" s="5">
        <f t="shared" si="63"/>
        <v>184.78888888888886</v>
      </c>
      <c r="K135" s="5">
        <f t="shared" si="64"/>
        <v>97.686645636172443</v>
      </c>
      <c r="L135" s="5">
        <f t="shared" si="65"/>
        <v>87.032967032967051</v>
      </c>
      <c r="M135" s="5">
        <f t="shared" si="66"/>
        <v>15.5</v>
      </c>
      <c r="N135" s="5">
        <f t="shared" si="67"/>
        <v>25.744700315457415</v>
      </c>
      <c r="O135" s="138">
        <f t="shared" si="68"/>
        <v>94.800299999999993</v>
      </c>
      <c r="P135" s="148" cm="1">
        <f t="array" ref="P135">_xlfn.XLOOKUP(C135,'Ürün Maliyeti1'!$I$162:$I$190,_xlfn.XLOOKUP(data!E135,'Ürün Maliyeti1'!$J$161:$O$161,'Ürün Maliyeti1'!$J$162:$O$190))</f>
        <v>184.78888888888886</v>
      </c>
      <c r="Q135" s="138">
        <f>IF(B135="burger",'Genel Gider'!$I$19,"₺ 0")</f>
        <v>97.686645636172443</v>
      </c>
      <c r="R135" s="138">
        <f>IF(B135="burger",'servis maliyeti'!$H$7,"₺ 0")</f>
        <v>87.032967032967051</v>
      </c>
      <c r="S135" s="138">
        <f>IF(B135="burger",'paketleme maliyeti'!$F$9,"₺ 0")</f>
        <v>15.5</v>
      </c>
      <c r="T135" s="138">
        <f>IF(B135="burger",'günlük genel gider maliyeti'!$H$10,"₺ 0")</f>
        <v>25.744700315457415</v>
      </c>
      <c r="U135" s="141">
        <f t="shared" si="69"/>
        <v>505.5535018734858</v>
      </c>
      <c r="V135" s="5">
        <f t="shared" si="70"/>
        <v>139.34649812651418</v>
      </c>
      <c r="W135" s="105">
        <f t="shared" si="71"/>
        <v>139.34649812651418</v>
      </c>
      <c r="X135" s="136">
        <f t="shared" si="72"/>
        <v>0.21607458230192927</v>
      </c>
    </row>
    <row r="136" spans="1:24" ht="18.75" x14ac:dyDescent="0.25">
      <c r="A136" s="164">
        <v>45812</v>
      </c>
      <c r="B136" s="164" t="s">
        <v>108</v>
      </c>
      <c r="C136" t="s">
        <v>7</v>
      </c>
      <c r="D136">
        <v>1</v>
      </c>
      <c r="E136">
        <v>200</v>
      </c>
      <c r="F136" t="s">
        <v>100</v>
      </c>
      <c r="G136">
        <v>647.79999999999995</v>
      </c>
      <c r="H136">
        <v>647.79999999999995</v>
      </c>
      <c r="I136" s="153">
        <f t="shared" ref="I136:I150" si="73">O136*D136</f>
        <v>58.301999999999992</v>
      </c>
      <c r="J136" s="5">
        <f t="shared" ref="J136:J150" si="74">P136*D136</f>
        <v>184.78888888888886</v>
      </c>
      <c r="K136" s="5">
        <f t="shared" ref="K136:K150" si="75">Q136*D136</f>
        <v>97.686645636172443</v>
      </c>
      <c r="L136" s="5">
        <f t="shared" ref="L136:L150" si="76">R136*D136</f>
        <v>87.032967032967051</v>
      </c>
      <c r="M136" s="5">
        <f t="shared" ref="M136:M150" si="77">S136*D136</f>
        <v>15.5</v>
      </c>
      <c r="N136" s="5">
        <f t="shared" ref="N136:N150" si="78">T136*D136</f>
        <v>25.744700315457415</v>
      </c>
      <c r="O136" s="138">
        <f t="shared" ref="O136:O150" si="79">IF(F136="Restoran Satış",0,IF(F136="Getir Yemek",H136*0.129,IF(F136="Migros Yemek",H136*0.129,IF(F136="Yemek Sepeti",H136*0.147,IF(F136="Trendyol",H136*0.09)))))/D136</f>
        <v>58.301999999999992</v>
      </c>
      <c r="P136" s="148" cm="1">
        <f t="array" ref="P136">_xlfn.XLOOKUP(C136,'Ürün Maliyeti1'!$I$162:$I$190,_xlfn.XLOOKUP(data!E136,'Ürün Maliyeti1'!$J$161:$O$161,'Ürün Maliyeti1'!$J$162:$O$190))</f>
        <v>184.78888888888886</v>
      </c>
      <c r="Q136" s="138">
        <f>IF(B136="burger",'Genel Gider'!$I$19,"₺ 0")</f>
        <v>97.686645636172443</v>
      </c>
      <c r="R136" s="138">
        <f>IF(B136="burger",'servis maliyeti'!$H$7,"₺ 0")</f>
        <v>87.032967032967051</v>
      </c>
      <c r="S136" s="138">
        <f>IF(B136="burger",'paketleme maliyeti'!$F$9,"₺ 0")</f>
        <v>15.5</v>
      </c>
      <c r="T136" s="138">
        <f>IF(B136="burger",'günlük genel gider maliyeti'!$H$10,"₺ 0")</f>
        <v>25.744700315457415</v>
      </c>
      <c r="U136" s="141">
        <f t="shared" ref="U136:U150" si="80">SUM(O136:T136)*D136</f>
        <v>469.05520187348577</v>
      </c>
      <c r="V136" s="5">
        <f t="shared" ref="V136:V150" si="81">H136-U136</f>
        <v>178.74479812651418</v>
      </c>
      <c r="W136" s="105">
        <f t="shared" ref="W136:W150" si="82">V136/D136</f>
        <v>178.74479812651418</v>
      </c>
      <c r="X136" s="136">
        <f t="shared" ref="X136:X150" si="83">(G136-(U136/D136))/G136</f>
        <v>0.27592590016442453</v>
      </c>
    </row>
    <row r="137" spans="1:24" ht="18.75" x14ac:dyDescent="0.25">
      <c r="A137" s="164">
        <v>45812</v>
      </c>
      <c r="B137" s="164" t="s">
        <v>108</v>
      </c>
      <c r="C137" t="s">
        <v>135</v>
      </c>
      <c r="D137">
        <v>1</v>
      </c>
      <c r="E137">
        <v>140</v>
      </c>
      <c r="F137" t="s">
        <v>340</v>
      </c>
      <c r="G137">
        <v>648.9</v>
      </c>
      <c r="H137">
        <v>648.9</v>
      </c>
      <c r="I137" s="153">
        <f t="shared" si="73"/>
        <v>95.388299999999987</v>
      </c>
      <c r="J137" s="5">
        <f t="shared" si="74"/>
        <v>150.94444444444443</v>
      </c>
      <c r="K137" s="5">
        <f t="shared" si="75"/>
        <v>97.686645636172443</v>
      </c>
      <c r="L137" s="5">
        <f t="shared" si="76"/>
        <v>87.032967032967051</v>
      </c>
      <c r="M137" s="5">
        <f t="shared" si="77"/>
        <v>15.5</v>
      </c>
      <c r="N137" s="5">
        <f t="shared" si="78"/>
        <v>25.744700315457415</v>
      </c>
      <c r="O137" s="138">
        <f t="shared" si="79"/>
        <v>95.388299999999987</v>
      </c>
      <c r="P137" s="148" cm="1">
        <f t="array" ref="P137">_xlfn.XLOOKUP(C137,'Ürün Maliyeti1'!$I$162:$I$190,_xlfn.XLOOKUP(data!E137,'Ürün Maliyeti1'!$J$161:$O$161,'Ürün Maliyeti1'!$J$162:$O$190))</f>
        <v>150.94444444444443</v>
      </c>
      <c r="Q137" s="138">
        <f>IF(B137="burger",'Genel Gider'!$I$19,"₺ 0")</f>
        <v>97.686645636172443</v>
      </c>
      <c r="R137" s="138">
        <f>IF(B137="burger",'servis maliyeti'!$H$7,"₺ 0")</f>
        <v>87.032967032967051</v>
      </c>
      <c r="S137" s="138">
        <f>IF(B137="burger",'paketleme maliyeti'!$F$9,"₺ 0")</f>
        <v>15.5</v>
      </c>
      <c r="T137" s="138">
        <f>IF(B137="burger",'günlük genel gider maliyeti'!$H$10,"₺ 0")</f>
        <v>25.744700315457415</v>
      </c>
      <c r="U137" s="141">
        <f t="shared" si="80"/>
        <v>472.29705742904133</v>
      </c>
      <c r="V137" s="5">
        <f t="shared" si="81"/>
        <v>176.60294257095865</v>
      </c>
      <c r="W137" s="105">
        <f t="shared" si="82"/>
        <v>176.60294257095865</v>
      </c>
      <c r="X137" s="136">
        <f t="shared" si="83"/>
        <v>0.27215740880098421</v>
      </c>
    </row>
    <row r="138" spans="1:24" ht="18.75" x14ac:dyDescent="0.25">
      <c r="A138" s="164">
        <v>45812</v>
      </c>
      <c r="B138" s="164" t="s">
        <v>108</v>
      </c>
      <c r="C138" t="s">
        <v>9</v>
      </c>
      <c r="D138">
        <v>1</v>
      </c>
      <c r="E138">
        <v>140</v>
      </c>
      <c r="F138" t="s">
        <v>340</v>
      </c>
      <c r="G138">
        <v>654.9</v>
      </c>
      <c r="H138">
        <v>654.9</v>
      </c>
      <c r="I138" s="153">
        <f t="shared" si="73"/>
        <v>96.270299999999992</v>
      </c>
      <c r="J138" s="5">
        <f t="shared" si="74"/>
        <v>143.94444444444443</v>
      </c>
      <c r="K138" s="5">
        <f t="shared" si="75"/>
        <v>97.686645636172443</v>
      </c>
      <c r="L138" s="5">
        <f t="shared" si="76"/>
        <v>87.032967032967051</v>
      </c>
      <c r="M138" s="5">
        <f t="shared" si="77"/>
        <v>15.5</v>
      </c>
      <c r="N138" s="5">
        <f t="shared" si="78"/>
        <v>25.744700315457415</v>
      </c>
      <c r="O138" s="138">
        <f t="shared" si="79"/>
        <v>96.270299999999992</v>
      </c>
      <c r="P138" s="148" cm="1">
        <f t="array" ref="P138">_xlfn.XLOOKUP(C138,'Ürün Maliyeti1'!$I$162:$I$190,_xlfn.XLOOKUP(data!E138,'Ürün Maliyeti1'!$J$161:$O$161,'Ürün Maliyeti1'!$J$162:$O$190))</f>
        <v>143.94444444444443</v>
      </c>
      <c r="Q138" s="138">
        <f>IF(B138="burger",'Genel Gider'!$I$19,"₺ 0")</f>
        <v>97.686645636172443</v>
      </c>
      <c r="R138" s="138">
        <f>IF(B138="burger",'servis maliyeti'!$H$7,"₺ 0")</f>
        <v>87.032967032967051</v>
      </c>
      <c r="S138" s="138">
        <f>IF(B138="burger",'paketleme maliyeti'!$F$9,"₺ 0")</f>
        <v>15.5</v>
      </c>
      <c r="T138" s="138">
        <f>IF(B138="burger",'günlük genel gider maliyeti'!$H$10,"₺ 0")</f>
        <v>25.744700315457415</v>
      </c>
      <c r="U138" s="141">
        <f t="shared" si="80"/>
        <v>466.17905742904134</v>
      </c>
      <c r="V138" s="5">
        <f t="shared" si="81"/>
        <v>188.72094257095864</v>
      </c>
      <c r="W138" s="105">
        <f t="shared" si="82"/>
        <v>188.72094257095864</v>
      </c>
      <c r="X138" s="136">
        <f t="shared" si="83"/>
        <v>0.28816757149329464</v>
      </c>
    </row>
    <row r="139" spans="1:24" ht="18.75" x14ac:dyDescent="0.25">
      <c r="A139" s="164">
        <v>45812</v>
      </c>
      <c r="B139" s="164" t="s">
        <v>108</v>
      </c>
      <c r="C139" t="s">
        <v>11</v>
      </c>
      <c r="D139">
        <v>1</v>
      </c>
      <c r="E139">
        <v>140</v>
      </c>
      <c r="F139" t="s">
        <v>340</v>
      </c>
      <c r="G139">
        <v>654.9</v>
      </c>
      <c r="H139">
        <v>654.9</v>
      </c>
      <c r="I139" s="153">
        <f t="shared" si="73"/>
        <v>96.270299999999992</v>
      </c>
      <c r="J139" s="5">
        <f t="shared" si="74"/>
        <v>145.44444444444443</v>
      </c>
      <c r="K139" s="5">
        <f t="shared" si="75"/>
        <v>97.686645636172443</v>
      </c>
      <c r="L139" s="5">
        <f t="shared" si="76"/>
        <v>87.032967032967051</v>
      </c>
      <c r="M139" s="5">
        <f t="shared" si="77"/>
        <v>15.5</v>
      </c>
      <c r="N139" s="5">
        <f t="shared" si="78"/>
        <v>25.744700315457415</v>
      </c>
      <c r="O139" s="138">
        <f t="shared" si="79"/>
        <v>96.270299999999992</v>
      </c>
      <c r="P139" s="148" cm="1">
        <f t="array" ref="P139">_xlfn.XLOOKUP(C139,'Ürün Maliyeti1'!$I$162:$I$190,_xlfn.XLOOKUP(data!E139,'Ürün Maliyeti1'!$J$161:$O$161,'Ürün Maliyeti1'!$J$162:$O$190))</f>
        <v>145.44444444444443</v>
      </c>
      <c r="Q139" s="138">
        <f>IF(B139="burger",'Genel Gider'!$I$19,"₺ 0")</f>
        <v>97.686645636172443</v>
      </c>
      <c r="R139" s="138">
        <f>IF(B139="burger",'servis maliyeti'!$H$7,"₺ 0")</f>
        <v>87.032967032967051</v>
      </c>
      <c r="S139" s="138">
        <f>IF(B139="burger",'paketleme maliyeti'!$F$9,"₺ 0")</f>
        <v>15.5</v>
      </c>
      <c r="T139" s="138">
        <f>IF(B139="burger",'günlük genel gider maliyeti'!$H$10,"₺ 0")</f>
        <v>25.744700315457415</v>
      </c>
      <c r="U139" s="141">
        <f t="shared" si="80"/>
        <v>467.67905742904134</v>
      </c>
      <c r="V139" s="5">
        <f t="shared" si="81"/>
        <v>187.22094257095864</v>
      </c>
      <c r="W139" s="105">
        <f t="shared" si="82"/>
        <v>187.22094257095864</v>
      </c>
      <c r="X139" s="136">
        <f t="shared" si="83"/>
        <v>0.28587714547405502</v>
      </c>
    </row>
    <row r="140" spans="1:24" ht="18.75" x14ac:dyDescent="0.25">
      <c r="A140" s="164">
        <v>45812</v>
      </c>
      <c r="B140" s="164" t="s">
        <v>108</v>
      </c>
      <c r="C140" t="s">
        <v>7</v>
      </c>
      <c r="D140">
        <v>1</v>
      </c>
      <c r="E140">
        <v>140</v>
      </c>
      <c r="F140" t="s">
        <v>340</v>
      </c>
      <c r="G140">
        <v>670.9</v>
      </c>
      <c r="H140">
        <v>670.9</v>
      </c>
      <c r="I140" s="153">
        <f t="shared" si="73"/>
        <v>98.622299999999996</v>
      </c>
      <c r="J140" s="5">
        <f t="shared" si="74"/>
        <v>142.44444444444443</v>
      </c>
      <c r="K140" s="5">
        <f t="shared" si="75"/>
        <v>97.686645636172443</v>
      </c>
      <c r="L140" s="5">
        <f t="shared" si="76"/>
        <v>87.032967032967051</v>
      </c>
      <c r="M140" s="5">
        <f t="shared" si="77"/>
        <v>15.5</v>
      </c>
      <c r="N140" s="5">
        <f t="shared" si="78"/>
        <v>25.744700315457415</v>
      </c>
      <c r="O140" s="138">
        <f t="shared" si="79"/>
        <v>98.622299999999996</v>
      </c>
      <c r="P140" s="148" cm="1">
        <f t="array" ref="P140">_xlfn.XLOOKUP(C140,'Ürün Maliyeti1'!$I$162:$I$190,_xlfn.XLOOKUP(data!E140,'Ürün Maliyeti1'!$J$161:$O$161,'Ürün Maliyeti1'!$J$162:$O$190))</f>
        <v>142.44444444444443</v>
      </c>
      <c r="Q140" s="138">
        <f>IF(B140="burger",'Genel Gider'!$I$19,"₺ 0")</f>
        <v>97.686645636172443</v>
      </c>
      <c r="R140" s="138">
        <f>IF(B140="burger",'servis maliyeti'!$H$7,"₺ 0")</f>
        <v>87.032967032967051</v>
      </c>
      <c r="S140" s="138">
        <f>IF(B140="burger",'paketleme maliyeti'!$F$9,"₺ 0")</f>
        <v>15.5</v>
      </c>
      <c r="T140" s="138">
        <f>IF(B140="burger",'günlük genel gider maliyeti'!$H$10,"₺ 0")</f>
        <v>25.744700315457415</v>
      </c>
      <c r="U140" s="141">
        <f t="shared" si="80"/>
        <v>467.03105742904137</v>
      </c>
      <c r="V140" s="5">
        <f t="shared" si="81"/>
        <v>203.86894257095861</v>
      </c>
      <c r="W140" s="105">
        <f t="shared" si="82"/>
        <v>203.86894257095861</v>
      </c>
      <c r="X140" s="136">
        <f t="shared" si="83"/>
        <v>0.30387381513036016</v>
      </c>
    </row>
    <row r="141" spans="1:24" ht="18.75" x14ac:dyDescent="0.25">
      <c r="A141" s="164">
        <v>45812</v>
      </c>
      <c r="B141" s="164" t="s">
        <v>108</v>
      </c>
      <c r="C141" t="s">
        <v>7</v>
      </c>
      <c r="D141">
        <v>2</v>
      </c>
      <c r="E141">
        <v>200</v>
      </c>
      <c r="F141" t="s">
        <v>340</v>
      </c>
      <c r="G141">
        <v>674.9</v>
      </c>
      <c r="H141">
        <v>1349.8</v>
      </c>
      <c r="I141" s="153">
        <f t="shared" si="73"/>
        <v>198.42059999999998</v>
      </c>
      <c r="J141" s="5">
        <f t="shared" si="74"/>
        <v>369.57777777777773</v>
      </c>
      <c r="K141" s="5">
        <f t="shared" si="75"/>
        <v>195.37329127234489</v>
      </c>
      <c r="L141" s="5">
        <f t="shared" si="76"/>
        <v>174.0659340659341</v>
      </c>
      <c r="M141" s="5">
        <f t="shared" si="77"/>
        <v>31</v>
      </c>
      <c r="N141" s="5">
        <f t="shared" si="78"/>
        <v>51.48940063091483</v>
      </c>
      <c r="O141" s="138">
        <f t="shared" si="79"/>
        <v>99.210299999999989</v>
      </c>
      <c r="P141" s="148" cm="1">
        <f t="array" ref="P141">_xlfn.XLOOKUP(C141,'Ürün Maliyeti1'!$I$162:$I$190,_xlfn.XLOOKUP(data!E141,'Ürün Maliyeti1'!$J$161:$O$161,'Ürün Maliyeti1'!$J$162:$O$190))</f>
        <v>184.78888888888886</v>
      </c>
      <c r="Q141" s="138">
        <f>IF(B141="burger",'Genel Gider'!$I$19,"₺ 0")</f>
        <v>97.686645636172443</v>
      </c>
      <c r="R141" s="138">
        <f>IF(B141="burger",'servis maliyeti'!$H$7,"₺ 0")</f>
        <v>87.032967032967051</v>
      </c>
      <c r="S141" s="138">
        <f>IF(B141="burger",'paketleme maliyeti'!$F$9,"₺ 0")</f>
        <v>15.5</v>
      </c>
      <c r="T141" s="138">
        <f>IF(B141="burger",'günlük genel gider maliyeti'!$H$10,"₺ 0")</f>
        <v>25.744700315457415</v>
      </c>
      <c r="U141" s="141">
        <f t="shared" si="80"/>
        <v>1019.9270037469715</v>
      </c>
      <c r="V141" s="5">
        <f t="shared" si="81"/>
        <v>329.87299625302842</v>
      </c>
      <c r="W141" s="105">
        <f t="shared" si="82"/>
        <v>164.93649812651421</v>
      </c>
      <c r="X141" s="136">
        <f t="shared" si="83"/>
        <v>0.24438657301306002</v>
      </c>
    </row>
    <row r="142" spans="1:24" ht="18.75" x14ac:dyDescent="0.25">
      <c r="A142" s="164">
        <v>45812</v>
      </c>
      <c r="B142" s="164" t="s">
        <v>108</v>
      </c>
      <c r="C142" t="s">
        <v>135</v>
      </c>
      <c r="D142">
        <v>1</v>
      </c>
      <c r="E142">
        <v>200</v>
      </c>
      <c r="F142" t="s">
        <v>340</v>
      </c>
      <c r="G142">
        <v>676.9</v>
      </c>
      <c r="H142">
        <v>676.9</v>
      </c>
      <c r="I142" s="153">
        <f t="shared" si="73"/>
        <v>99.504299999999986</v>
      </c>
      <c r="J142" s="5">
        <f t="shared" si="74"/>
        <v>193.28888888888886</v>
      </c>
      <c r="K142" s="5">
        <f t="shared" si="75"/>
        <v>97.686645636172443</v>
      </c>
      <c r="L142" s="5">
        <f t="shared" si="76"/>
        <v>87.032967032967051</v>
      </c>
      <c r="M142" s="5">
        <f t="shared" si="77"/>
        <v>15.5</v>
      </c>
      <c r="N142" s="5">
        <f t="shared" si="78"/>
        <v>25.744700315457415</v>
      </c>
      <c r="O142" s="138">
        <f t="shared" si="79"/>
        <v>99.504299999999986</v>
      </c>
      <c r="P142" s="148" cm="1">
        <f t="array" ref="P142">_xlfn.XLOOKUP(C142,'Ürün Maliyeti1'!$I$162:$I$190,_xlfn.XLOOKUP(data!E142,'Ürün Maliyeti1'!$J$161:$O$161,'Ürün Maliyeti1'!$J$162:$O$190))</f>
        <v>193.28888888888886</v>
      </c>
      <c r="Q142" s="138">
        <f>IF(B142="burger",'Genel Gider'!$I$19,"₺ 0")</f>
        <v>97.686645636172443</v>
      </c>
      <c r="R142" s="138">
        <f>IF(B142="burger",'servis maliyeti'!$H$7,"₺ 0")</f>
        <v>87.032967032967051</v>
      </c>
      <c r="S142" s="138">
        <f>IF(B142="burger",'paketleme maliyeti'!$F$9,"₺ 0")</f>
        <v>15.5</v>
      </c>
      <c r="T142" s="138">
        <f>IF(B142="burger",'günlük genel gider maliyeti'!$H$10,"₺ 0")</f>
        <v>25.744700315457415</v>
      </c>
      <c r="U142" s="141">
        <f t="shared" si="80"/>
        <v>518.75750187348581</v>
      </c>
      <c r="V142" s="5">
        <f t="shared" si="81"/>
        <v>158.14249812651417</v>
      </c>
      <c r="W142" s="105">
        <f t="shared" si="82"/>
        <v>158.14249812651417</v>
      </c>
      <c r="X142" s="136">
        <f t="shared" si="83"/>
        <v>0.23362756408112598</v>
      </c>
    </row>
    <row r="143" spans="1:24" ht="18.75" x14ac:dyDescent="0.25">
      <c r="A143" s="164">
        <v>45812</v>
      </c>
      <c r="B143" s="164" t="s">
        <v>108</v>
      </c>
      <c r="C143" t="s">
        <v>135</v>
      </c>
      <c r="D143">
        <v>3</v>
      </c>
      <c r="E143">
        <v>200</v>
      </c>
      <c r="F143" t="s">
        <v>340</v>
      </c>
      <c r="G143">
        <v>689.9</v>
      </c>
      <c r="H143">
        <v>2069.6999999999998</v>
      </c>
      <c r="I143" s="153">
        <f t="shared" si="73"/>
        <v>304.24589999999995</v>
      </c>
      <c r="J143" s="5">
        <f t="shared" si="74"/>
        <v>579.86666666666656</v>
      </c>
      <c r="K143" s="5">
        <f t="shared" si="75"/>
        <v>293.05993690851733</v>
      </c>
      <c r="L143" s="5">
        <f t="shared" si="76"/>
        <v>261.09890109890114</v>
      </c>
      <c r="M143" s="5">
        <f t="shared" si="77"/>
        <v>46.5</v>
      </c>
      <c r="N143" s="5">
        <f t="shared" si="78"/>
        <v>77.234100946372251</v>
      </c>
      <c r="O143" s="138">
        <f t="shared" si="79"/>
        <v>101.41529999999999</v>
      </c>
      <c r="P143" s="148" cm="1">
        <f t="array" ref="P143">_xlfn.XLOOKUP(C143,'Ürün Maliyeti1'!$I$162:$I$190,_xlfn.XLOOKUP(data!E143,'Ürün Maliyeti1'!$J$161:$O$161,'Ürün Maliyeti1'!$J$162:$O$190))</f>
        <v>193.28888888888886</v>
      </c>
      <c r="Q143" s="138">
        <f>IF(B143="burger",'Genel Gider'!$I$19,"₺ 0")</f>
        <v>97.686645636172443</v>
      </c>
      <c r="R143" s="138">
        <f>IF(B143="burger",'servis maliyeti'!$H$7,"₺ 0")</f>
        <v>87.032967032967051</v>
      </c>
      <c r="S143" s="138">
        <f>IF(B143="burger",'paketleme maliyeti'!$F$9,"₺ 0")</f>
        <v>15.5</v>
      </c>
      <c r="T143" s="138">
        <f>IF(B143="burger",'günlük genel gider maliyeti'!$H$10,"₺ 0")</f>
        <v>25.744700315457415</v>
      </c>
      <c r="U143" s="141">
        <f t="shared" si="80"/>
        <v>1562.0055056204574</v>
      </c>
      <c r="V143" s="5">
        <f t="shared" si="81"/>
        <v>507.69449437954245</v>
      </c>
      <c r="W143" s="105">
        <f t="shared" si="82"/>
        <v>169.23149812651414</v>
      </c>
      <c r="X143" s="136">
        <f t="shared" si="83"/>
        <v>0.24529859128353998</v>
      </c>
    </row>
    <row r="144" spans="1:24" ht="18.75" x14ac:dyDescent="0.25">
      <c r="A144" s="164">
        <v>45812</v>
      </c>
      <c r="B144" s="164" t="s">
        <v>108</v>
      </c>
      <c r="C144" t="s">
        <v>7</v>
      </c>
      <c r="D144">
        <v>1</v>
      </c>
      <c r="E144">
        <v>280</v>
      </c>
      <c r="F144" t="s">
        <v>100</v>
      </c>
      <c r="G144">
        <v>694.91</v>
      </c>
      <c r="H144">
        <v>694.91</v>
      </c>
      <c r="I144" s="153">
        <f t="shared" si="73"/>
        <v>62.541899999999998</v>
      </c>
      <c r="J144" s="5">
        <f t="shared" si="74"/>
        <v>223.18888888888884</v>
      </c>
      <c r="K144" s="5">
        <f t="shared" si="75"/>
        <v>97.686645636172443</v>
      </c>
      <c r="L144" s="5">
        <f t="shared" si="76"/>
        <v>87.032967032967051</v>
      </c>
      <c r="M144" s="5">
        <f t="shared" si="77"/>
        <v>15.5</v>
      </c>
      <c r="N144" s="5">
        <f t="shared" si="78"/>
        <v>25.744700315457415</v>
      </c>
      <c r="O144" s="138">
        <f t="shared" si="79"/>
        <v>62.541899999999998</v>
      </c>
      <c r="P144" s="148" cm="1">
        <f t="array" ref="P144">_xlfn.XLOOKUP(C144,'Ürün Maliyeti1'!$I$162:$I$190,_xlfn.XLOOKUP(data!E144,'Ürün Maliyeti1'!$J$161:$O$161,'Ürün Maliyeti1'!$J$162:$O$190))</f>
        <v>223.18888888888884</v>
      </c>
      <c r="Q144" s="138">
        <f>IF(B144="burger",'Genel Gider'!$I$19,"₺ 0")</f>
        <v>97.686645636172443</v>
      </c>
      <c r="R144" s="138">
        <f>IF(B144="burger",'servis maliyeti'!$H$7,"₺ 0")</f>
        <v>87.032967032967051</v>
      </c>
      <c r="S144" s="138">
        <f>IF(B144="burger",'paketleme maliyeti'!$F$9,"₺ 0")</f>
        <v>15.5</v>
      </c>
      <c r="T144" s="138">
        <f>IF(B144="burger",'günlük genel gider maliyeti'!$H$10,"₺ 0")</f>
        <v>25.744700315457415</v>
      </c>
      <c r="U144" s="141">
        <f t="shared" si="80"/>
        <v>511.69510187348573</v>
      </c>
      <c r="V144" s="5">
        <f t="shared" si="81"/>
        <v>183.21489812651424</v>
      </c>
      <c r="W144" s="105">
        <f t="shared" si="82"/>
        <v>183.21489812651424</v>
      </c>
      <c r="X144" s="136">
        <f t="shared" si="83"/>
        <v>0.26365270053174406</v>
      </c>
    </row>
    <row r="145" spans="1:24" ht="18.75" x14ac:dyDescent="0.25">
      <c r="A145" s="164">
        <v>45812</v>
      </c>
      <c r="B145" s="164" t="s">
        <v>108</v>
      </c>
      <c r="C145" t="s">
        <v>18</v>
      </c>
      <c r="D145">
        <v>1</v>
      </c>
      <c r="E145">
        <v>140</v>
      </c>
      <c r="F145" t="s">
        <v>340</v>
      </c>
      <c r="G145">
        <v>696.9</v>
      </c>
      <c r="H145">
        <v>696.9</v>
      </c>
      <c r="I145" s="153">
        <f t="shared" si="73"/>
        <v>102.44429999999998</v>
      </c>
      <c r="J145" s="5">
        <f t="shared" si="74"/>
        <v>167.17777777777775</v>
      </c>
      <c r="K145" s="5">
        <f t="shared" si="75"/>
        <v>97.686645636172443</v>
      </c>
      <c r="L145" s="5">
        <f t="shared" si="76"/>
        <v>87.032967032967051</v>
      </c>
      <c r="M145" s="5">
        <f t="shared" si="77"/>
        <v>15.5</v>
      </c>
      <c r="N145" s="5">
        <f t="shared" si="78"/>
        <v>25.744700315457415</v>
      </c>
      <c r="O145" s="138">
        <f t="shared" si="79"/>
        <v>102.44429999999998</v>
      </c>
      <c r="P145" s="148" cm="1">
        <f t="array" ref="P145">_xlfn.XLOOKUP(C145,'Ürün Maliyeti1'!$I$162:$I$190,_xlfn.XLOOKUP(data!E145,'Ürün Maliyeti1'!$J$161:$O$161,'Ürün Maliyeti1'!$J$162:$O$190))</f>
        <v>167.17777777777775</v>
      </c>
      <c r="Q145" s="138">
        <f>IF(B145="burger",'Genel Gider'!$I$19,"₺ 0")</f>
        <v>97.686645636172443</v>
      </c>
      <c r="R145" s="138">
        <f>IF(B145="burger",'servis maliyeti'!$H$7,"₺ 0")</f>
        <v>87.032967032967051</v>
      </c>
      <c r="S145" s="138">
        <f>IF(B145="burger",'paketleme maliyeti'!$F$9,"₺ 0")</f>
        <v>15.5</v>
      </c>
      <c r="T145" s="138">
        <f>IF(B145="burger",'günlük genel gider maliyeti'!$H$10,"₺ 0")</f>
        <v>25.744700315457415</v>
      </c>
      <c r="U145" s="141">
        <f t="shared" si="80"/>
        <v>495.58639076237466</v>
      </c>
      <c r="V145" s="5">
        <f t="shared" si="81"/>
        <v>201.31360923762531</v>
      </c>
      <c r="W145" s="105">
        <f t="shared" si="82"/>
        <v>201.31360923762531</v>
      </c>
      <c r="X145" s="136">
        <f t="shared" si="83"/>
        <v>0.28887015244314151</v>
      </c>
    </row>
    <row r="146" spans="1:24" ht="18.75" x14ac:dyDescent="0.25">
      <c r="A146" s="164">
        <v>45812</v>
      </c>
      <c r="B146" s="164" t="s">
        <v>108</v>
      </c>
      <c r="C146" t="s">
        <v>5</v>
      </c>
      <c r="D146">
        <v>1</v>
      </c>
      <c r="E146">
        <v>140</v>
      </c>
      <c r="F146" t="s">
        <v>340</v>
      </c>
      <c r="G146">
        <v>696.9</v>
      </c>
      <c r="H146">
        <v>696.9</v>
      </c>
      <c r="I146" s="153">
        <f t="shared" si="73"/>
        <v>102.44429999999998</v>
      </c>
      <c r="J146" s="5">
        <f t="shared" si="74"/>
        <v>182.77222222222221</v>
      </c>
      <c r="K146" s="5">
        <f t="shared" si="75"/>
        <v>97.686645636172443</v>
      </c>
      <c r="L146" s="5">
        <f t="shared" si="76"/>
        <v>87.032967032967051</v>
      </c>
      <c r="M146" s="5">
        <f t="shared" si="77"/>
        <v>15.5</v>
      </c>
      <c r="N146" s="5">
        <f t="shared" si="78"/>
        <v>25.744700315457415</v>
      </c>
      <c r="O146" s="138">
        <f t="shared" si="79"/>
        <v>102.44429999999998</v>
      </c>
      <c r="P146" s="148" cm="1">
        <f t="array" ref="P146">_xlfn.XLOOKUP(C146,'Ürün Maliyeti1'!$I$162:$I$190,_xlfn.XLOOKUP(data!E146,'Ürün Maliyeti1'!$J$161:$O$161,'Ürün Maliyeti1'!$J$162:$O$190))</f>
        <v>182.77222222222221</v>
      </c>
      <c r="Q146" s="138">
        <f>IF(B146="burger",'Genel Gider'!$I$19,"₺ 0")</f>
        <v>97.686645636172443</v>
      </c>
      <c r="R146" s="138">
        <f>IF(B146="burger",'servis maliyeti'!$H$7,"₺ 0")</f>
        <v>87.032967032967051</v>
      </c>
      <c r="S146" s="138">
        <f>IF(B146="burger",'paketleme maliyeti'!$F$9,"₺ 0")</f>
        <v>15.5</v>
      </c>
      <c r="T146" s="138">
        <f>IF(B146="burger",'günlük genel gider maliyeti'!$H$10,"₺ 0")</f>
        <v>25.744700315457415</v>
      </c>
      <c r="U146" s="141">
        <f t="shared" si="80"/>
        <v>511.1808352068191</v>
      </c>
      <c r="V146" s="5">
        <f t="shared" si="81"/>
        <v>185.71916479318088</v>
      </c>
      <c r="W146" s="105">
        <f t="shared" si="82"/>
        <v>185.71916479318088</v>
      </c>
      <c r="X146" s="136">
        <f t="shared" si="83"/>
        <v>0.26649327707444526</v>
      </c>
    </row>
    <row r="147" spans="1:24" ht="18.75" x14ac:dyDescent="0.25">
      <c r="A147" s="164">
        <v>45812</v>
      </c>
      <c r="B147" s="164" t="s">
        <v>108</v>
      </c>
      <c r="C147" t="s">
        <v>7</v>
      </c>
      <c r="D147">
        <v>2</v>
      </c>
      <c r="E147">
        <v>280</v>
      </c>
      <c r="F147" t="s">
        <v>216</v>
      </c>
      <c r="G147">
        <v>698.9</v>
      </c>
      <c r="H147">
        <v>1397.8</v>
      </c>
      <c r="I147" s="153">
        <f t="shared" si="73"/>
        <v>180.31620000000001</v>
      </c>
      <c r="J147" s="5">
        <f t="shared" si="74"/>
        <v>446.37777777777768</v>
      </c>
      <c r="K147" s="5">
        <f t="shared" si="75"/>
        <v>195.37329127234489</v>
      </c>
      <c r="L147" s="5">
        <f t="shared" si="76"/>
        <v>174.0659340659341</v>
      </c>
      <c r="M147" s="5">
        <f t="shared" si="77"/>
        <v>31</v>
      </c>
      <c r="N147" s="5">
        <f t="shared" si="78"/>
        <v>51.48940063091483</v>
      </c>
      <c r="O147" s="138">
        <f t="shared" si="79"/>
        <v>90.158100000000005</v>
      </c>
      <c r="P147" s="148" cm="1">
        <f t="array" ref="P147">_xlfn.XLOOKUP(C147,'Ürün Maliyeti1'!$I$162:$I$190,_xlfn.XLOOKUP(data!E147,'Ürün Maliyeti1'!$J$161:$O$161,'Ürün Maliyeti1'!$J$162:$O$190))</f>
        <v>223.18888888888884</v>
      </c>
      <c r="Q147" s="138">
        <f>IF(B147="burger",'Genel Gider'!$I$19,"₺ 0")</f>
        <v>97.686645636172443</v>
      </c>
      <c r="R147" s="138">
        <f>IF(B147="burger",'servis maliyeti'!$H$7,"₺ 0")</f>
        <v>87.032967032967051</v>
      </c>
      <c r="S147" s="138">
        <f>IF(B147="burger",'paketleme maliyeti'!$F$9,"₺ 0")</f>
        <v>15.5</v>
      </c>
      <c r="T147" s="138">
        <f>IF(B147="burger",'günlük genel gider maliyeti'!$H$10,"₺ 0")</f>
        <v>25.744700315457415</v>
      </c>
      <c r="U147" s="141">
        <f t="shared" si="80"/>
        <v>1078.6226037469717</v>
      </c>
      <c r="V147" s="5">
        <f t="shared" si="81"/>
        <v>319.17739625302829</v>
      </c>
      <c r="W147" s="105">
        <f t="shared" si="82"/>
        <v>159.58869812651415</v>
      </c>
      <c r="X147" s="136">
        <f t="shared" si="83"/>
        <v>0.22834267867579647</v>
      </c>
    </row>
    <row r="148" spans="1:24" ht="18.75" x14ac:dyDescent="0.25">
      <c r="A148" s="164">
        <v>45812</v>
      </c>
      <c r="B148" s="164" t="s">
        <v>108</v>
      </c>
      <c r="C148" t="s">
        <v>5</v>
      </c>
      <c r="D148">
        <v>1</v>
      </c>
      <c r="E148">
        <v>200</v>
      </c>
      <c r="F148" t="s">
        <v>216</v>
      </c>
      <c r="G148">
        <v>698.9</v>
      </c>
      <c r="H148">
        <v>698.9</v>
      </c>
      <c r="I148" s="153">
        <f t="shared" si="73"/>
        <v>90.158100000000005</v>
      </c>
      <c r="J148" s="5">
        <f t="shared" si="74"/>
        <v>235.74444444444444</v>
      </c>
      <c r="K148" s="5">
        <f t="shared" si="75"/>
        <v>97.686645636172443</v>
      </c>
      <c r="L148" s="5">
        <f t="shared" si="76"/>
        <v>87.032967032967051</v>
      </c>
      <c r="M148" s="5">
        <f t="shared" si="77"/>
        <v>15.5</v>
      </c>
      <c r="N148" s="5">
        <f t="shared" si="78"/>
        <v>25.744700315457415</v>
      </c>
      <c r="O148" s="138">
        <f t="shared" si="79"/>
        <v>90.158100000000005</v>
      </c>
      <c r="P148" s="148" cm="1">
        <f t="array" ref="P148">_xlfn.XLOOKUP(C148,'Ürün Maliyeti1'!$I$162:$I$190,_xlfn.XLOOKUP(data!E148,'Ürün Maliyeti1'!$J$161:$O$161,'Ürün Maliyeti1'!$J$162:$O$190))</f>
        <v>235.74444444444444</v>
      </c>
      <c r="Q148" s="138">
        <f>IF(B148="burger",'Genel Gider'!$I$19,"₺ 0")</f>
        <v>97.686645636172443</v>
      </c>
      <c r="R148" s="138">
        <f>IF(B148="burger",'servis maliyeti'!$H$7,"₺ 0")</f>
        <v>87.032967032967051</v>
      </c>
      <c r="S148" s="138">
        <f>IF(B148="burger",'paketleme maliyeti'!$F$9,"₺ 0")</f>
        <v>15.5</v>
      </c>
      <c r="T148" s="138">
        <f>IF(B148="burger",'günlük genel gider maliyeti'!$H$10,"₺ 0")</f>
        <v>25.744700315457415</v>
      </c>
      <c r="U148" s="141">
        <f t="shared" si="80"/>
        <v>551.86685742904137</v>
      </c>
      <c r="V148" s="5">
        <f t="shared" si="81"/>
        <v>147.0331425709586</v>
      </c>
      <c r="W148" s="105">
        <f t="shared" si="82"/>
        <v>147.0331425709586</v>
      </c>
      <c r="X148" s="136">
        <f t="shared" si="83"/>
        <v>0.21037794043634084</v>
      </c>
    </row>
    <row r="149" spans="1:24" ht="18.75" x14ac:dyDescent="0.25">
      <c r="A149" s="164">
        <v>45812</v>
      </c>
      <c r="B149" s="164" t="s">
        <v>108</v>
      </c>
      <c r="C149" t="s">
        <v>135</v>
      </c>
      <c r="D149">
        <v>1</v>
      </c>
      <c r="E149">
        <v>280</v>
      </c>
      <c r="F149" t="s">
        <v>216</v>
      </c>
      <c r="G149">
        <v>699.9</v>
      </c>
      <c r="H149">
        <v>699.9</v>
      </c>
      <c r="I149" s="153">
        <f t="shared" si="73"/>
        <v>90.287099999999995</v>
      </c>
      <c r="J149" s="5">
        <f t="shared" si="74"/>
        <v>231.68888888888884</v>
      </c>
      <c r="K149" s="5">
        <f t="shared" si="75"/>
        <v>97.686645636172443</v>
      </c>
      <c r="L149" s="5">
        <f t="shared" si="76"/>
        <v>87.032967032967051</v>
      </c>
      <c r="M149" s="5">
        <f t="shared" si="77"/>
        <v>15.5</v>
      </c>
      <c r="N149" s="5">
        <f t="shared" si="78"/>
        <v>25.744700315457415</v>
      </c>
      <c r="O149" s="138">
        <f t="shared" si="79"/>
        <v>90.287099999999995</v>
      </c>
      <c r="P149" s="148" cm="1">
        <f t="array" ref="P149">_xlfn.XLOOKUP(C149,'Ürün Maliyeti1'!$I$162:$I$190,_xlfn.XLOOKUP(data!E149,'Ürün Maliyeti1'!$J$161:$O$161,'Ürün Maliyeti1'!$J$162:$O$190))</f>
        <v>231.68888888888884</v>
      </c>
      <c r="Q149" s="138">
        <f>IF(B149="burger",'Genel Gider'!$I$19,"₺ 0")</f>
        <v>97.686645636172443</v>
      </c>
      <c r="R149" s="138">
        <f>IF(B149="burger",'servis maliyeti'!$H$7,"₺ 0")</f>
        <v>87.032967032967051</v>
      </c>
      <c r="S149" s="138">
        <f>IF(B149="burger",'paketleme maliyeti'!$F$9,"₺ 0")</f>
        <v>15.5</v>
      </c>
      <c r="T149" s="138">
        <f>IF(B149="burger",'günlük genel gider maliyeti'!$H$10,"₺ 0")</f>
        <v>25.744700315457415</v>
      </c>
      <c r="U149" s="141">
        <f t="shared" si="80"/>
        <v>547.94030187348574</v>
      </c>
      <c r="V149" s="5">
        <f t="shared" si="81"/>
        <v>151.95969812651424</v>
      </c>
      <c r="W149" s="105">
        <f t="shared" si="82"/>
        <v>151.95969812651424</v>
      </c>
      <c r="X149" s="136">
        <f t="shared" si="83"/>
        <v>0.21711629965211351</v>
      </c>
    </row>
    <row r="150" spans="1:24" ht="18.75" x14ac:dyDescent="0.25">
      <c r="A150" s="164">
        <v>45812</v>
      </c>
      <c r="B150" s="164" t="s">
        <v>108</v>
      </c>
      <c r="C150" t="s">
        <v>18</v>
      </c>
      <c r="D150">
        <v>1</v>
      </c>
      <c r="E150">
        <v>140</v>
      </c>
      <c r="F150" t="s">
        <v>340</v>
      </c>
      <c r="G150">
        <v>709.9</v>
      </c>
      <c r="H150">
        <v>709.9</v>
      </c>
      <c r="I150" s="153">
        <f t="shared" si="73"/>
        <v>104.35529999999999</v>
      </c>
      <c r="J150" s="5">
        <f t="shared" si="74"/>
        <v>167.17777777777775</v>
      </c>
      <c r="K150" s="5">
        <f t="shared" si="75"/>
        <v>97.686645636172443</v>
      </c>
      <c r="L150" s="5">
        <f t="shared" si="76"/>
        <v>87.032967032967051</v>
      </c>
      <c r="M150" s="5">
        <f t="shared" si="77"/>
        <v>15.5</v>
      </c>
      <c r="N150" s="5">
        <f t="shared" si="78"/>
        <v>25.744700315457415</v>
      </c>
      <c r="O150" s="138">
        <f t="shared" si="79"/>
        <v>104.35529999999999</v>
      </c>
      <c r="P150" s="148" cm="1">
        <f t="array" ref="P150">_xlfn.XLOOKUP(C150,'Ürün Maliyeti1'!$I$162:$I$190,_xlfn.XLOOKUP(data!E150,'Ürün Maliyeti1'!$J$161:$O$161,'Ürün Maliyeti1'!$J$162:$O$190))</f>
        <v>167.17777777777775</v>
      </c>
      <c r="Q150" s="138">
        <f>IF(B150="burger",'Genel Gider'!$I$19,"₺ 0")</f>
        <v>97.686645636172443</v>
      </c>
      <c r="R150" s="138">
        <f>IF(B150="burger",'servis maliyeti'!$H$7,"₺ 0")</f>
        <v>87.032967032967051</v>
      </c>
      <c r="S150" s="138">
        <f>IF(B150="burger",'paketleme maliyeti'!$F$9,"₺ 0")</f>
        <v>15.5</v>
      </c>
      <c r="T150" s="138">
        <f>IF(B150="burger",'günlük genel gider maliyeti'!$H$10,"₺ 0")</f>
        <v>25.744700315457415</v>
      </c>
      <c r="U150" s="141">
        <f t="shared" si="80"/>
        <v>497.49739076237466</v>
      </c>
      <c r="V150" s="5">
        <f t="shared" si="81"/>
        <v>212.40260923762531</v>
      </c>
      <c r="W150" s="105">
        <f t="shared" si="82"/>
        <v>212.40260923762531</v>
      </c>
      <c r="X150" s="136">
        <f t="shared" si="83"/>
        <v>0.2992007455101075</v>
      </c>
    </row>
    <row r="151" spans="1:24" ht="18.75" x14ac:dyDescent="0.25">
      <c r="A151" s="164">
        <v>45812</v>
      </c>
      <c r="B151" s="164" t="s">
        <v>108</v>
      </c>
      <c r="C151" t="s">
        <v>11</v>
      </c>
      <c r="D151">
        <v>1</v>
      </c>
      <c r="E151">
        <v>200</v>
      </c>
      <c r="F151" t="s">
        <v>340</v>
      </c>
      <c r="G151">
        <v>716.9</v>
      </c>
      <c r="H151">
        <v>716.9</v>
      </c>
      <c r="I151" s="153">
        <f t="shared" ref="I151:I158" si="84">O151*D151</f>
        <v>105.3843</v>
      </c>
      <c r="J151" s="5">
        <f t="shared" ref="J151:J158" si="85">P151*D151</f>
        <v>187.78888888888886</v>
      </c>
      <c r="K151" s="5">
        <f t="shared" ref="K151:K158" si="86">Q151*D151</f>
        <v>97.686645636172443</v>
      </c>
      <c r="L151" s="5">
        <f t="shared" ref="L151:L158" si="87">R151*D151</f>
        <v>87.032967032967051</v>
      </c>
      <c r="M151" s="5">
        <f t="shared" ref="M151:M158" si="88">S151*D151</f>
        <v>15.5</v>
      </c>
      <c r="N151" s="5">
        <f t="shared" ref="N151:N158" si="89">T151*D151</f>
        <v>25.744700315457415</v>
      </c>
      <c r="O151" s="138">
        <f t="shared" ref="O151:O158" si="90">IF(F151="Restoran Satış",0,IF(F151="Getir Yemek",H151*0.129,IF(F151="Migros Yemek",H151*0.129,IF(F151="Yemek Sepeti",H151*0.147,IF(F151="Trendyol",H151*0.09)))))/D151</f>
        <v>105.3843</v>
      </c>
      <c r="P151" s="148" cm="1">
        <f t="array" ref="P151">_xlfn.XLOOKUP(C151,'Ürün Maliyeti1'!$I$162:$I$190,_xlfn.XLOOKUP(data!E151,'Ürün Maliyeti1'!$J$161:$O$161,'Ürün Maliyeti1'!$J$162:$O$190))</f>
        <v>187.78888888888886</v>
      </c>
      <c r="Q151" s="138">
        <f>IF(B151="burger",'Genel Gider'!$I$19,"₺ 0")</f>
        <v>97.686645636172443</v>
      </c>
      <c r="R151" s="138">
        <f>IF(B151="burger",'servis maliyeti'!$H$7,"₺ 0")</f>
        <v>87.032967032967051</v>
      </c>
      <c r="S151" s="138">
        <f>IF(B151="burger",'paketleme maliyeti'!$F$9,"₺ 0")</f>
        <v>15.5</v>
      </c>
      <c r="T151" s="138">
        <f>IF(B151="burger",'günlük genel gider maliyeti'!$H$10,"₺ 0")</f>
        <v>25.744700315457415</v>
      </c>
      <c r="U151" s="141">
        <f t="shared" ref="U151:U158" si="91">SUM(O151:T151)*D151</f>
        <v>519.1375018734858</v>
      </c>
      <c r="V151" s="5">
        <f t="shared" ref="V151:V158" si="92">H151-U151</f>
        <v>197.76249812651417</v>
      </c>
      <c r="W151" s="105">
        <f t="shared" ref="W151:W158" si="93">V151/D151</f>
        <v>197.76249812651417</v>
      </c>
      <c r="X151" s="136">
        <f t="shared" ref="X151:X158" si="94">(G151-(U151/D151))/G151</f>
        <v>0.27585785761823711</v>
      </c>
    </row>
    <row r="152" spans="1:24" ht="18.75" x14ac:dyDescent="0.25">
      <c r="A152" s="164">
        <v>45812</v>
      </c>
      <c r="B152" s="164" t="s">
        <v>108</v>
      </c>
      <c r="C152" t="s">
        <v>5</v>
      </c>
      <c r="D152">
        <v>3</v>
      </c>
      <c r="E152">
        <v>140</v>
      </c>
      <c r="F152" t="s">
        <v>340</v>
      </c>
      <c r="G152">
        <v>729.9</v>
      </c>
      <c r="H152">
        <v>2189.6999999999998</v>
      </c>
      <c r="I152" s="153">
        <f t="shared" si="84"/>
        <v>321.88589999999994</v>
      </c>
      <c r="J152" s="5">
        <f t="shared" si="85"/>
        <v>548.31666666666661</v>
      </c>
      <c r="K152" s="5">
        <f t="shared" si="86"/>
        <v>293.05993690851733</v>
      </c>
      <c r="L152" s="5">
        <f t="shared" si="87"/>
        <v>261.09890109890114</v>
      </c>
      <c r="M152" s="5">
        <f t="shared" si="88"/>
        <v>46.5</v>
      </c>
      <c r="N152" s="5">
        <f t="shared" si="89"/>
        <v>77.234100946372251</v>
      </c>
      <c r="O152" s="138">
        <f t="shared" si="90"/>
        <v>107.29529999999998</v>
      </c>
      <c r="P152" s="148" cm="1">
        <f t="array" ref="P152">_xlfn.XLOOKUP(C152,'Ürün Maliyeti1'!$I$162:$I$190,_xlfn.XLOOKUP(data!E152,'Ürün Maliyeti1'!$J$161:$O$161,'Ürün Maliyeti1'!$J$162:$O$190))</f>
        <v>182.77222222222221</v>
      </c>
      <c r="Q152" s="138">
        <f>IF(B152="burger",'Genel Gider'!$I$19,"₺ 0")</f>
        <v>97.686645636172443</v>
      </c>
      <c r="R152" s="138">
        <f>IF(B152="burger",'servis maliyeti'!$H$7,"₺ 0")</f>
        <v>87.032967032967051</v>
      </c>
      <c r="S152" s="138">
        <f>IF(B152="burger",'paketleme maliyeti'!$F$9,"₺ 0")</f>
        <v>15.5</v>
      </c>
      <c r="T152" s="138">
        <f>IF(B152="burger",'günlük genel gider maliyeti'!$H$10,"₺ 0")</f>
        <v>25.744700315457415</v>
      </c>
      <c r="U152" s="141">
        <f t="shared" si="91"/>
        <v>1548.0955056204573</v>
      </c>
      <c r="V152" s="5">
        <f t="shared" si="92"/>
        <v>641.60449437954253</v>
      </c>
      <c r="W152" s="105">
        <f t="shared" si="93"/>
        <v>213.86816479318085</v>
      </c>
      <c r="X152" s="136">
        <f t="shared" si="94"/>
        <v>0.2930102271450622</v>
      </c>
    </row>
    <row r="153" spans="1:24" ht="18.75" x14ac:dyDescent="0.25">
      <c r="A153" s="164">
        <v>45812</v>
      </c>
      <c r="B153" s="164" t="s">
        <v>108</v>
      </c>
      <c r="C153" t="s">
        <v>18</v>
      </c>
      <c r="D153">
        <v>1</v>
      </c>
      <c r="E153">
        <v>200</v>
      </c>
      <c r="F153" t="s">
        <v>340</v>
      </c>
      <c r="G153">
        <v>734.9</v>
      </c>
      <c r="H153">
        <v>734.9</v>
      </c>
      <c r="I153" s="153">
        <f t="shared" si="84"/>
        <v>108.0303</v>
      </c>
      <c r="J153" s="5">
        <f t="shared" si="85"/>
        <v>200.42222222222222</v>
      </c>
      <c r="K153" s="5">
        <f t="shared" si="86"/>
        <v>97.686645636172443</v>
      </c>
      <c r="L153" s="5">
        <f t="shared" si="87"/>
        <v>87.032967032967051</v>
      </c>
      <c r="M153" s="5">
        <f t="shared" si="88"/>
        <v>15.5</v>
      </c>
      <c r="N153" s="5">
        <f t="shared" si="89"/>
        <v>25.744700315457415</v>
      </c>
      <c r="O153" s="138">
        <f t="shared" si="90"/>
        <v>108.0303</v>
      </c>
      <c r="P153" s="148" cm="1">
        <f t="array" ref="P153">_xlfn.XLOOKUP(C153,'Ürün Maliyeti1'!$I$162:$I$190,_xlfn.XLOOKUP(data!E153,'Ürün Maliyeti1'!$J$161:$O$161,'Ürün Maliyeti1'!$J$162:$O$190))</f>
        <v>200.42222222222222</v>
      </c>
      <c r="Q153" s="138">
        <f>IF(B153="burger",'Genel Gider'!$I$19,"₺ 0")</f>
        <v>97.686645636172443</v>
      </c>
      <c r="R153" s="138">
        <f>IF(B153="burger",'servis maliyeti'!$H$7,"₺ 0")</f>
        <v>87.032967032967051</v>
      </c>
      <c r="S153" s="138">
        <f>IF(B153="burger",'paketleme maliyeti'!$F$9,"₺ 0")</f>
        <v>15.5</v>
      </c>
      <c r="T153" s="138">
        <f>IF(B153="burger",'günlük genel gider maliyeti'!$H$10,"₺ 0")</f>
        <v>25.744700315457415</v>
      </c>
      <c r="U153" s="141">
        <f t="shared" si="91"/>
        <v>534.4168352068192</v>
      </c>
      <c r="V153" s="5">
        <f t="shared" si="92"/>
        <v>200.48316479318078</v>
      </c>
      <c r="W153" s="105">
        <f t="shared" si="93"/>
        <v>200.48316479318078</v>
      </c>
      <c r="X153" s="136">
        <f t="shared" si="94"/>
        <v>0.27280332670183804</v>
      </c>
    </row>
    <row r="154" spans="1:24" ht="18.75" x14ac:dyDescent="0.25">
      <c r="A154" s="164">
        <v>45812</v>
      </c>
      <c r="B154" s="164" t="s">
        <v>108</v>
      </c>
      <c r="C154" t="s">
        <v>6</v>
      </c>
      <c r="D154">
        <v>1</v>
      </c>
      <c r="E154">
        <v>280</v>
      </c>
      <c r="F154" t="s">
        <v>340</v>
      </c>
      <c r="G154">
        <v>749.9</v>
      </c>
      <c r="H154">
        <v>749.9</v>
      </c>
      <c r="I154" s="153">
        <f t="shared" si="84"/>
        <v>110.2353</v>
      </c>
      <c r="J154" s="5">
        <f t="shared" si="85"/>
        <v>224.68888888888884</v>
      </c>
      <c r="K154" s="5">
        <f t="shared" si="86"/>
        <v>97.686645636172443</v>
      </c>
      <c r="L154" s="5">
        <f t="shared" si="87"/>
        <v>87.032967032967051</v>
      </c>
      <c r="M154" s="5">
        <f t="shared" si="88"/>
        <v>15.5</v>
      </c>
      <c r="N154" s="5">
        <f t="shared" si="89"/>
        <v>25.744700315457415</v>
      </c>
      <c r="O154" s="138">
        <f t="shared" si="90"/>
        <v>110.2353</v>
      </c>
      <c r="P154" s="148" cm="1">
        <f t="array" ref="P154">_xlfn.XLOOKUP(C154,'Ürün Maliyeti1'!$I$162:$I$190,_xlfn.XLOOKUP(data!E154,'Ürün Maliyeti1'!$J$161:$O$161,'Ürün Maliyeti1'!$J$162:$O$190))</f>
        <v>224.68888888888884</v>
      </c>
      <c r="Q154" s="138">
        <f>IF(B154="burger",'Genel Gider'!$I$19,"₺ 0")</f>
        <v>97.686645636172443</v>
      </c>
      <c r="R154" s="138">
        <f>IF(B154="burger",'servis maliyeti'!$H$7,"₺ 0")</f>
        <v>87.032967032967051</v>
      </c>
      <c r="S154" s="138">
        <f>IF(B154="burger",'paketleme maliyeti'!$F$9,"₺ 0")</f>
        <v>15.5</v>
      </c>
      <c r="T154" s="138">
        <f>IF(B154="burger",'günlük genel gider maliyeti'!$H$10,"₺ 0")</f>
        <v>25.744700315457415</v>
      </c>
      <c r="U154" s="141">
        <f t="shared" si="91"/>
        <v>560.88850187348567</v>
      </c>
      <c r="V154" s="5">
        <f t="shared" si="92"/>
        <v>189.01149812651431</v>
      </c>
      <c r="W154" s="105">
        <f t="shared" si="93"/>
        <v>189.01149812651431</v>
      </c>
      <c r="X154" s="136">
        <f t="shared" si="94"/>
        <v>0.25204893736033379</v>
      </c>
    </row>
    <row r="155" spans="1:24" ht="18.75" x14ac:dyDescent="0.25">
      <c r="A155" s="164">
        <v>45812</v>
      </c>
      <c r="B155" s="164" t="s">
        <v>108</v>
      </c>
      <c r="C155" t="s">
        <v>11</v>
      </c>
      <c r="D155">
        <v>1</v>
      </c>
      <c r="E155">
        <v>200</v>
      </c>
      <c r="F155" t="s">
        <v>340</v>
      </c>
      <c r="G155">
        <v>760.9</v>
      </c>
      <c r="H155">
        <v>760.9</v>
      </c>
      <c r="I155" s="153">
        <f t="shared" si="84"/>
        <v>111.85229999999999</v>
      </c>
      <c r="J155" s="5">
        <f t="shared" si="85"/>
        <v>187.78888888888886</v>
      </c>
      <c r="K155" s="5">
        <f t="shared" si="86"/>
        <v>97.686645636172443</v>
      </c>
      <c r="L155" s="5">
        <f t="shared" si="87"/>
        <v>87.032967032967051</v>
      </c>
      <c r="M155" s="5">
        <f t="shared" si="88"/>
        <v>15.5</v>
      </c>
      <c r="N155" s="5">
        <f t="shared" si="89"/>
        <v>25.744700315457415</v>
      </c>
      <c r="O155" s="138">
        <f t="shared" si="90"/>
        <v>111.85229999999999</v>
      </c>
      <c r="P155" s="148" cm="1">
        <f t="array" ref="P155">_xlfn.XLOOKUP(C155,'Ürün Maliyeti1'!$I$162:$I$190,_xlfn.XLOOKUP(data!E155,'Ürün Maliyeti1'!$J$161:$O$161,'Ürün Maliyeti1'!$J$162:$O$190))</f>
        <v>187.78888888888886</v>
      </c>
      <c r="Q155" s="138">
        <f>IF(B155="burger",'Genel Gider'!$I$19,"₺ 0")</f>
        <v>97.686645636172443</v>
      </c>
      <c r="R155" s="138">
        <f>IF(B155="burger",'servis maliyeti'!$H$7,"₺ 0")</f>
        <v>87.032967032967051</v>
      </c>
      <c r="S155" s="138">
        <f>IF(B155="burger",'paketleme maliyeti'!$F$9,"₺ 0")</f>
        <v>15.5</v>
      </c>
      <c r="T155" s="138">
        <f>IF(B155="burger",'günlük genel gider maliyeti'!$H$10,"₺ 0")</f>
        <v>25.744700315457415</v>
      </c>
      <c r="U155" s="141">
        <f t="shared" si="91"/>
        <v>525.60550187348576</v>
      </c>
      <c r="V155" s="5">
        <f t="shared" si="92"/>
        <v>235.29449812651421</v>
      </c>
      <c r="W155" s="105">
        <f t="shared" si="93"/>
        <v>235.29449812651421</v>
      </c>
      <c r="X155" s="136">
        <f t="shared" si="94"/>
        <v>0.30923182826457379</v>
      </c>
    </row>
    <row r="156" spans="1:24" ht="18.75" x14ac:dyDescent="0.25">
      <c r="A156" s="164">
        <v>45812</v>
      </c>
      <c r="B156" s="164" t="s">
        <v>108</v>
      </c>
      <c r="C156" t="s">
        <v>5</v>
      </c>
      <c r="D156">
        <v>1</v>
      </c>
      <c r="E156">
        <v>280</v>
      </c>
      <c r="F156" t="s">
        <v>340</v>
      </c>
      <c r="G156">
        <v>799.9</v>
      </c>
      <c r="H156">
        <v>799.9</v>
      </c>
      <c r="I156" s="153">
        <f t="shared" si="84"/>
        <v>117.58529999999999</v>
      </c>
      <c r="J156" s="5">
        <f t="shared" si="85"/>
        <v>274.14444444444439</v>
      </c>
      <c r="K156" s="5">
        <f t="shared" si="86"/>
        <v>97.686645636172443</v>
      </c>
      <c r="L156" s="5">
        <f t="shared" si="87"/>
        <v>87.032967032967051</v>
      </c>
      <c r="M156" s="5">
        <f t="shared" si="88"/>
        <v>15.5</v>
      </c>
      <c r="N156" s="5">
        <f t="shared" si="89"/>
        <v>25.744700315457415</v>
      </c>
      <c r="O156" s="138">
        <f t="shared" si="90"/>
        <v>117.58529999999999</v>
      </c>
      <c r="P156" s="148" cm="1">
        <f t="array" ref="P156">_xlfn.XLOOKUP(C156,'Ürün Maliyeti1'!$I$162:$I$190,_xlfn.XLOOKUP(data!E156,'Ürün Maliyeti1'!$J$161:$O$161,'Ürün Maliyeti1'!$J$162:$O$190))</f>
        <v>274.14444444444439</v>
      </c>
      <c r="Q156" s="138">
        <f>IF(B156="burger",'Genel Gider'!$I$19,"₺ 0")</f>
        <v>97.686645636172443</v>
      </c>
      <c r="R156" s="138">
        <f>IF(B156="burger",'servis maliyeti'!$H$7,"₺ 0")</f>
        <v>87.032967032967051</v>
      </c>
      <c r="S156" s="138">
        <f>IF(B156="burger",'paketleme maliyeti'!$F$9,"₺ 0")</f>
        <v>15.5</v>
      </c>
      <c r="T156" s="138">
        <f>IF(B156="burger",'günlük genel gider maliyeti'!$H$10,"₺ 0")</f>
        <v>25.744700315457415</v>
      </c>
      <c r="U156" s="141">
        <f t="shared" si="91"/>
        <v>617.69405742904121</v>
      </c>
      <c r="V156" s="5">
        <f t="shared" si="92"/>
        <v>182.20594257095877</v>
      </c>
      <c r="W156" s="105">
        <f t="shared" si="93"/>
        <v>182.20594257095877</v>
      </c>
      <c r="X156" s="136">
        <f t="shared" si="94"/>
        <v>0.22778590145137989</v>
      </c>
    </row>
    <row r="157" spans="1:24" ht="18.75" x14ac:dyDescent="0.25">
      <c r="A157" s="164">
        <v>45812</v>
      </c>
      <c r="B157" s="164" t="s">
        <v>108</v>
      </c>
      <c r="C157" t="s">
        <v>5</v>
      </c>
      <c r="D157">
        <v>1</v>
      </c>
      <c r="E157">
        <v>280</v>
      </c>
      <c r="F157" t="s">
        <v>100</v>
      </c>
      <c r="G157">
        <v>827.8</v>
      </c>
      <c r="H157">
        <v>827.8</v>
      </c>
      <c r="I157" s="153">
        <f t="shared" si="84"/>
        <v>74.501999999999995</v>
      </c>
      <c r="J157" s="5">
        <f t="shared" si="85"/>
        <v>274.14444444444439</v>
      </c>
      <c r="K157" s="5">
        <f t="shared" si="86"/>
        <v>97.686645636172443</v>
      </c>
      <c r="L157" s="5">
        <f t="shared" si="87"/>
        <v>87.032967032967051</v>
      </c>
      <c r="M157" s="5">
        <f t="shared" si="88"/>
        <v>15.5</v>
      </c>
      <c r="N157" s="5">
        <f t="shared" si="89"/>
        <v>25.744700315457415</v>
      </c>
      <c r="O157" s="138">
        <f t="shared" si="90"/>
        <v>74.501999999999995</v>
      </c>
      <c r="P157" s="148" cm="1">
        <f t="array" ref="P157">_xlfn.XLOOKUP(C157,'Ürün Maliyeti1'!$I$162:$I$190,_xlfn.XLOOKUP(data!E157,'Ürün Maliyeti1'!$J$161:$O$161,'Ürün Maliyeti1'!$J$162:$O$190))</f>
        <v>274.14444444444439</v>
      </c>
      <c r="Q157" s="138">
        <f>IF(B157="burger",'Genel Gider'!$I$19,"₺ 0")</f>
        <v>97.686645636172443</v>
      </c>
      <c r="R157" s="138">
        <f>IF(B157="burger",'servis maliyeti'!$H$7,"₺ 0")</f>
        <v>87.032967032967051</v>
      </c>
      <c r="S157" s="138">
        <f>IF(B157="burger",'paketleme maliyeti'!$F$9,"₺ 0")</f>
        <v>15.5</v>
      </c>
      <c r="T157" s="138">
        <f>IF(B157="burger",'günlük genel gider maliyeti'!$H$10,"₺ 0")</f>
        <v>25.744700315457415</v>
      </c>
      <c r="U157" s="141">
        <f t="shared" si="91"/>
        <v>574.61075742904131</v>
      </c>
      <c r="V157" s="5">
        <f t="shared" si="92"/>
        <v>253.18924257095864</v>
      </c>
      <c r="W157" s="105">
        <f t="shared" si="93"/>
        <v>253.18924257095864</v>
      </c>
      <c r="X157" s="136">
        <f t="shared" si="94"/>
        <v>0.3058579881263091</v>
      </c>
    </row>
    <row r="158" spans="1:24" ht="18.75" x14ac:dyDescent="0.25">
      <c r="A158" s="164">
        <v>45812</v>
      </c>
      <c r="B158" s="164" t="s">
        <v>108</v>
      </c>
      <c r="C158" t="s">
        <v>5</v>
      </c>
      <c r="D158">
        <v>1</v>
      </c>
      <c r="E158">
        <v>280</v>
      </c>
      <c r="F158" t="s">
        <v>100</v>
      </c>
      <c r="G158">
        <v>869.8</v>
      </c>
      <c r="H158">
        <v>869.8</v>
      </c>
      <c r="I158" s="153">
        <f t="shared" si="84"/>
        <v>78.281999999999996</v>
      </c>
      <c r="J158" s="5">
        <f t="shared" si="85"/>
        <v>274.14444444444439</v>
      </c>
      <c r="K158" s="5">
        <f t="shared" si="86"/>
        <v>97.686645636172443</v>
      </c>
      <c r="L158" s="5">
        <f t="shared" si="87"/>
        <v>87.032967032967051</v>
      </c>
      <c r="M158" s="5">
        <f t="shared" si="88"/>
        <v>15.5</v>
      </c>
      <c r="N158" s="5">
        <f t="shared" si="89"/>
        <v>25.744700315457415</v>
      </c>
      <c r="O158" s="138">
        <f t="shared" si="90"/>
        <v>78.281999999999996</v>
      </c>
      <c r="P158" s="148" cm="1">
        <f t="array" ref="P158">_xlfn.XLOOKUP(C158,'Ürün Maliyeti1'!$I$162:$I$190,_xlfn.XLOOKUP(data!E158,'Ürün Maliyeti1'!$J$161:$O$161,'Ürün Maliyeti1'!$J$162:$O$190))</f>
        <v>274.14444444444439</v>
      </c>
      <c r="Q158" s="138">
        <f>IF(B158="burger",'Genel Gider'!$I$19,"₺ 0")</f>
        <v>97.686645636172443</v>
      </c>
      <c r="R158" s="138">
        <f>IF(B158="burger",'servis maliyeti'!$H$7,"₺ 0")</f>
        <v>87.032967032967051</v>
      </c>
      <c r="S158" s="138">
        <f>IF(B158="burger",'paketleme maliyeti'!$F$9,"₺ 0")</f>
        <v>15.5</v>
      </c>
      <c r="T158" s="138">
        <f>IF(B158="burger",'günlük genel gider maliyeti'!$H$10,"₺ 0")</f>
        <v>25.744700315457415</v>
      </c>
      <c r="U158" s="141">
        <f t="shared" si="91"/>
        <v>578.39075742904129</v>
      </c>
      <c r="V158" s="5">
        <f t="shared" si="92"/>
        <v>291.40924257095867</v>
      </c>
      <c r="W158" s="105">
        <f t="shared" si="93"/>
        <v>291.40924257095867</v>
      </c>
      <c r="X158" s="136">
        <f t="shared" si="94"/>
        <v>0.33503017081048364</v>
      </c>
    </row>
    <row r="159" spans="1:24" ht="18.75" x14ac:dyDescent="0.25">
      <c r="A159" s="164"/>
      <c r="B159"/>
      <c r="C159"/>
      <c r="D159"/>
      <c r="E159"/>
      <c r="F159"/>
      <c r="G159"/>
      <c r="H159"/>
      <c r="I159" s="153"/>
      <c r="J159" s="5"/>
      <c r="K159" s="5"/>
      <c r="L159" s="5"/>
      <c r="M159" s="5"/>
      <c r="N159" s="5"/>
      <c r="O159" s="138"/>
      <c r="P159" s="148"/>
      <c r="Q159" s="138"/>
      <c r="U159" s="141"/>
      <c r="V159" s="5"/>
      <c r="W159" s="106"/>
      <c r="X159" s="149"/>
    </row>
    <row r="160" spans="1:24" ht="18.75" x14ac:dyDescent="0.25">
      <c r="A160" s="164"/>
      <c r="B160"/>
      <c r="C160"/>
      <c r="D160"/>
      <c r="E160"/>
      <c r="F160"/>
      <c r="G160"/>
      <c r="H160"/>
      <c r="I160" s="153"/>
      <c r="J160" s="5"/>
      <c r="K160" s="5"/>
      <c r="L160" s="5"/>
      <c r="M160" s="5"/>
      <c r="N160" s="5"/>
      <c r="O160" s="138"/>
      <c r="P160" s="148"/>
      <c r="Q160" s="138"/>
      <c r="U160" s="141"/>
      <c r="V160" s="5"/>
      <c r="W160" s="106"/>
      <c r="X160" s="149"/>
    </row>
    <row r="161" spans="1:24" ht="18.75" x14ac:dyDescent="0.25">
      <c r="A161" s="164"/>
      <c r="B161"/>
      <c r="C161"/>
      <c r="D161"/>
      <c r="E161"/>
      <c r="F161"/>
      <c r="G161"/>
      <c r="H161"/>
      <c r="I161" s="153"/>
      <c r="J161" s="5"/>
      <c r="K161" s="5"/>
      <c r="L161" s="5"/>
      <c r="M161" s="5"/>
      <c r="N161" s="5"/>
      <c r="O161" s="138"/>
      <c r="P161" s="148"/>
      <c r="Q161" s="138"/>
      <c r="U161" s="141"/>
      <c r="V161" s="5"/>
      <c r="W161" s="106"/>
      <c r="X161" s="149"/>
    </row>
    <row r="162" spans="1:24" ht="18.75" x14ac:dyDescent="0.25">
      <c r="A162" s="164"/>
      <c r="B162" s="164"/>
      <c r="C162"/>
      <c r="D162"/>
      <c r="E162"/>
      <c r="F162"/>
      <c r="G162"/>
      <c r="H162"/>
      <c r="I162" s="153"/>
      <c r="J162" s="5"/>
      <c r="K162" s="5"/>
      <c r="L162" s="5"/>
      <c r="M162" s="5"/>
      <c r="N162" s="5"/>
      <c r="O162" s="138"/>
      <c r="P162" s="148"/>
      <c r="Q162" s="138"/>
      <c r="U162" s="141"/>
      <c r="V162" s="5"/>
      <c r="W162" s="106"/>
      <c r="X162" s="149"/>
    </row>
    <row r="163" spans="1:24" ht="18.75" x14ac:dyDescent="0.25">
      <c r="A163" s="143"/>
      <c r="F163"/>
      <c r="G163" s="1"/>
      <c r="H163" s="159">
        <f t="shared" ref="H163:Q163" si="95">SUM(H8:H162)</f>
        <v>171774.40999999977</v>
      </c>
      <c r="I163" s="159">
        <f t="shared" si="95"/>
        <v>17371.130279999987</v>
      </c>
      <c r="J163" s="159">
        <f t="shared" si="95"/>
        <v>44965.772222222229</v>
      </c>
      <c r="K163" s="159">
        <f t="shared" si="95"/>
        <v>30966.666666666621</v>
      </c>
      <c r="L163" s="159">
        <f t="shared" si="95"/>
        <v>24021.098901098885</v>
      </c>
      <c r="M163" s="159">
        <f t="shared" si="95"/>
        <v>4278</v>
      </c>
      <c r="N163" s="159">
        <f t="shared" si="95"/>
        <v>8161.0700000000134</v>
      </c>
      <c r="O163" s="159">
        <f t="shared" si="95"/>
        <v>7221.3343799999966</v>
      </c>
      <c r="P163" s="159">
        <f t="shared" si="95"/>
        <v>18729.927777777793</v>
      </c>
      <c r="Q163" s="159">
        <f t="shared" si="95"/>
        <v>12406.203995793916</v>
      </c>
      <c r="R163" s="150"/>
      <c r="S163" s="150"/>
      <c r="T163" s="150"/>
      <c r="U163" s="159">
        <f>SUM(U8:U162)</f>
        <v>129763.73806998775</v>
      </c>
      <c r="V163" s="159">
        <f>SUM(V8:V162)</f>
        <v>42010.671930012206</v>
      </c>
      <c r="W163" s="66"/>
      <c r="X163" s="149">
        <f>MIN(X8:X150)</f>
        <v>7.5278335443825142E-3</v>
      </c>
    </row>
    <row r="164" spans="1:24" ht="31.5" x14ac:dyDescent="0.25">
      <c r="A164" s="143"/>
      <c r="G164" s="1" t="s">
        <v>256</v>
      </c>
      <c r="H164" s="5">
        <f>H165-H163</f>
        <v>-21087.409999999771</v>
      </c>
      <c r="I164" s="153"/>
      <c r="J164" s="5"/>
      <c r="K164" s="5"/>
      <c r="L164" s="5"/>
      <c r="M164" s="5"/>
      <c r="N164" s="5"/>
      <c r="O164" s="138"/>
      <c r="P164" s="148"/>
      <c r="Q164" s="138"/>
      <c r="R164" s="138"/>
      <c r="S164" s="138"/>
      <c r="T164" s="138"/>
      <c r="U164" s="141"/>
      <c r="V164" s="183" t="s">
        <v>298</v>
      </c>
      <c r="W164" s="106"/>
    </row>
    <row r="165" spans="1:24" x14ac:dyDescent="0.25">
      <c r="A165" s="143"/>
      <c r="G165" s="1" t="s">
        <v>257</v>
      </c>
      <c r="H165" s="160">
        <f>H166+H167</f>
        <v>150687</v>
      </c>
      <c r="I165" s="154"/>
      <c r="J165" s="104" t="s">
        <v>304</v>
      </c>
      <c r="K165" s="104"/>
      <c r="L165" s="104"/>
      <c r="M165" s="104"/>
      <c r="N165" s="104"/>
      <c r="O165" s="138"/>
      <c r="P165" s="148"/>
      <c r="Q165" s="138"/>
      <c r="R165" s="138"/>
      <c r="S165" s="138"/>
      <c r="T165" s="138"/>
      <c r="U165" s="141"/>
      <c r="V165" s="5"/>
      <c r="W165" s="106"/>
    </row>
    <row r="166" spans="1:24" x14ac:dyDescent="0.25">
      <c r="A166" s="143"/>
      <c r="G166" s="1" t="s">
        <v>362</v>
      </c>
      <c r="H166" s="160">
        <v>143670</v>
      </c>
      <c r="I166" s="232"/>
      <c r="J166" s="232"/>
      <c r="K166" s="232"/>
      <c r="L166" s="232"/>
      <c r="M166" s="232"/>
      <c r="N166" s="232"/>
      <c r="U166" s="190"/>
      <c r="W166" s="106"/>
    </row>
    <row r="167" spans="1:24" x14ac:dyDescent="0.25">
      <c r="A167" s="143"/>
      <c r="G167" s="1" t="s">
        <v>363</v>
      </c>
      <c r="H167" s="160">
        <v>7017</v>
      </c>
      <c r="I167" s="232"/>
      <c r="J167" s="232"/>
      <c r="K167" s="232"/>
      <c r="L167" s="232"/>
      <c r="M167" s="232"/>
      <c r="N167" s="232"/>
      <c r="U167" s="190"/>
      <c r="W167" s="106"/>
    </row>
    <row r="168" spans="1:24" x14ac:dyDescent="0.25">
      <c r="A168" s="143"/>
      <c r="G168" s="131" t="s">
        <v>258</v>
      </c>
      <c r="H168" s="185">
        <f>V163+H164</f>
        <v>20923.261930012435</v>
      </c>
      <c r="I168" s="3">
        <f>H168*31</f>
        <v>648621.11983038555</v>
      </c>
      <c r="J168" s="187">
        <f>H168/H165</f>
        <v>0.13885246856074138</v>
      </c>
    </row>
    <row r="169" spans="1:24" ht="16.5" thickBot="1" x14ac:dyDescent="0.3">
      <c r="A169" s="143"/>
      <c r="G169" s="131" t="s">
        <v>259</v>
      </c>
      <c r="H169" s="158">
        <f>L181</f>
        <v>163.46827800922239</v>
      </c>
    </row>
    <row r="170" spans="1:24" x14ac:dyDescent="0.25">
      <c r="A170" s="143"/>
      <c r="G170" s="131"/>
      <c r="H170" s="131"/>
      <c r="M170" s="60" t="s">
        <v>255</v>
      </c>
      <c r="O170" s="266" t="s">
        <v>1</v>
      </c>
      <c r="P170" s="267" t="s">
        <v>392</v>
      </c>
      <c r="Q170" s="268" t="s">
        <v>297</v>
      </c>
      <c r="R170" s="269" t="s">
        <v>393</v>
      </c>
    </row>
    <row r="171" spans="1:24" x14ac:dyDescent="0.25">
      <c r="A171" s="143"/>
      <c r="G171" s="131"/>
      <c r="H171" s="131"/>
      <c r="K171" s="60" t="s">
        <v>247</v>
      </c>
      <c r="L171" s="5">
        <f>J163/G173</f>
        <v>141.84786189975466</v>
      </c>
      <c r="M171" s="3">
        <f>L171+L172+L175+L173</f>
        <v>285.91798549943559</v>
      </c>
      <c r="N171" s="3">
        <f>M171</f>
        <v>285.91798549943559</v>
      </c>
      <c r="O171" s="261">
        <v>0</v>
      </c>
      <c r="P171" s="5">
        <f>$G$175+$O171*$M$171</f>
        <v>30966.666666666668</v>
      </c>
      <c r="Q171" s="270">
        <f>O171*$L$178</f>
        <v>0</v>
      </c>
      <c r="R171" s="56">
        <f>Q171-P171</f>
        <v>-30966.666666666668</v>
      </c>
    </row>
    <row r="172" spans="1:24" x14ac:dyDescent="0.25">
      <c r="A172" s="143"/>
      <c r="G172" s="131"/>
      <c r="H172" s="131"/>
      <c r="K172" s="60" t="s">
        <v>250</v>
      </c>
      <c r="L172" s="5">
        <f>I163/G173</f>
        <v>54.798518233438443</v>
      </c>
      <c r="M172" s="3">
        <f>M171*G173</f>
        <v>90636.001403321075</v>
      </c>
      <c r="N172" s="3"/>
      <c r="O172" s="261">
        <v>5</v>
      </c>
      <c r="P172" s="5">
        <f t="shared" ref="P172:P235" si="96">$G$175+$O172*$M$171</f>
        <v>32396.256594163846</v>
      </c>
      <c r="Q172" s="270">
        <f t="shared" ref="Q172:Q235" si="97">O172*$L$178</f>
        <v>2376.7665615141955</v>
      </c>
      <c r="R172" s="56">
        <f t="shared" ref="R172:R235" si="98">Q172-P172</f>
        <v>-30019.49003264965</v>
      </c>
    </row>
    <row r="173" spans="1:24" x14ac:dyDescent="0.25">
      <c r="A173" s="143"/>
      <c r="F173" s="60" t="s">
        <v>260</v>
      </c>
      <c r="G173" s="131">
        <f>AB45</f>
        <v>317</v>
      </c>
      <c r="H173" s="131"/>
      <c r="K173" s="60" t="s">
        <v>279</v>
      </c>
      <c r="L173" s="3">
        <f>M163/G173</f>
        <v>13.495268138801261</v>
      </c>
      <c r="O173" s="261">
        <v>10</v>
      </c>
      <c r="P173" s="5">
        <f t="shared" si="96"/>
        <v>33825.84652166102</v>
      </c>
      <c r="Q173" s="270">
        <f t="shared" si="97"/>
        <v>4753.5331230283909</v>
      </c>
      <c r="R173" s="56">
        <f t="shared" si="98"/>
        <v>-29072.313398632628</v>
      </c>
    </row>
    <row r="174" spans="1:24" x14ac:dyDescent="0.25">
      <c r="A174" s="143"/>
      <c r="F174" s="60" t="s">
        <v>261</v>
      </c>
      <c r="G174" s="189">
        <f>V163+H164</f>
        <v>20923.261930012435</v>
      </c>
      <c r="H174" s="131"/>
      <c r="I174" s="60" t="s">
        <v>394</v>
      </c>
      <c r="K174" s="60" t="s">
        <v>251</v>
      </c>
      <c r="L174" s="3">
        <f>K163/G173</f>
        <v>97.686645636172301</v>
      </c>
      <c r="O174" s="261">
        <v>15</v>
      </c>
      <c r="P174" s="5">
        <f t="shared" si="96"/>
        <v>35255.436449158202</v>
      </c>
      <c r="Q174" s="270">
        <f t="shared" si="97"/>
        <v>7130.2996845425869</v>
      </c>
      <c r="R174" s="56">
        <f t="shared" si="98"/>
        <v>-28125.136764615614</v>
      </c>
    </row>
    <row r="175" spans="1:24" x14ac:dyDescent="0.25">
      <c r="A175" s="143"/>
      <c r="F175" s="60" t="s">
        <v>246</v>
      </c>
      <c r="G175" s="188">
        <f>'Genel Gider'!F20</f>
        <v>30966.666666666668</v>
      </c>
      <c r="H175" s="188"/>
      <c r="K175" s="60" t="s">
        <v>252</v>
      </c>
      <c r="L175" s="3">
        <f>L163/G173</f>
        <v>75.776337227441275</v>
      </c>
      <c r="O175" s="261">
        <v>20</v>
      </c>
      <c r="P175" s="5">
        <f t="shared" si="96"/>
        <v>36685.026376655384</v>
      </c>
      <c r="Q175" s="270">
        <f t="shared" si="97"/>
        <v>9507.0662460567819</v>
      </c>
      <c r="R175" s="56">
        <f t="shared" si="98"/>
        <v>-27177.9601305986</v>
      </c>
    </row>
    <row r="176" spans="1:24" x14ac:dyDescent="0.25">
      <c r="A176" s="143"/>
      <c r="K176" s="60" t="s">
        <v>371</v>
      </c>
      <c r="L176" s="3">
        <f>N163/G173</f>
        <v>25.744700315457454</v>
      </c>
      <c r="O176" s="261">
        <v>25</v>
      </c>
      <c r="P176" s="5">
        <f t="shared" si="96"/>
        <v>38114.616304152558</v>
      </c>
      <c r="Q176" s="270">
        <f t="shared" si="97"/>
        <v>11883.832807570978</v>
      </c>
      <c r="R176" s="56">
        <f t="shared" si="98"/>
        <v>-26230.783496581578</v>
      </c>
    </row>
    <row r="177" spans="1:18" ht="19.5" x14ac:dyDescent="0.25">
      <c r="A177" s="143"/>
      <c r="K177" s="60" t="s">
        <v>253</v>
      </c>
      <c r="L177" s="161">
        <f>SUM(L171:L176)</f>
        <v>409.34933145106538</v>
      </c>
      <c r="O177" s="261">
        <v>30</v>
      </c>
      <c r="P177" s="5">
        <f t="shared" si="96"/>
        <v>39544.206231649732</v>
      </c>
      <c r="Q177" s="270">
        <f t="shared" si="97"/>
        <v>14260.599369085174</v>
      </c>
      <c r="R177" s="56">
        <f t="shared" si="98"/>
        <v>-25283.606862564557</v>
      </c>
    </row>
    <row r="178" spans="1:18" ht="19.5" x14ac:dyDescent="0.25">
      <c r="A178" s="143"/>
      <c r="K178" s="60" t="s">
        <v>248</v>
      </c>
      <c r="L178" s="162">
        <f>H165/G173</f>
        <v>475.35331230283913</v>
      </c>
      <c r="O178" s="261">
        <v>35</v>
      </c>
      <c r="P178" s="5">
        <f t="shared" si="96"/>
        <v>40973.796159146914</v>
      </c>
      <c r="Q178" s="270">
        <f t="shared" si="97"/>
        <v>16637.365930599368</v>
      </c>
      <c r="R178" s="56">
        <f t="shared" si="98"/>
        <v>-24336.430228547546</v>
      </c>
    </row>
    <row r="179" spans="1:18" ht="19.5" x14ac:dyDescent="0.25">
      <c r="A179" s="143"/>
      <c r="K179" s="60" t="s">
        <v>254</v>
      </c>
      <c r="L179" s="161">
        <f>(L178-L177)</f>
        <v>66.003980851773747</v>
      </c>
      <c r="O179" s="261">
        <v>40</v>
      </c>
      <c r="P179" s="5">
        <f t="shared" si="96"/>
        <v>42403.386086644095</v>
      </c>
      <c r="Q179" s="270">
        <f t="shared" si="97"/>
        <v>19014.132492113564</v>
      </c>
      <c r="R179" s="56">
        <f t="shared" si="98"/>
        <v>-23389.253594530532</v>
      </c>
    </row>
    <row r="180" spans="1:18" x14ac:dyDescent="0.25">
      <c r="A180" s="143"/>
      <c r="K180" s="60" t="s">
        <v>280</v>
      </c>
      <c r="L180" s="3">
        <f>G173*L179</f>
        <v>20923.261930012279</v>
      </c>
      <c r="O180" s="261">
        <v>45</v>
      </c>
      <c r="P180" s="5">
        <f t="shared" si="96"/>
        <v>43832.97601414127</v>
      </c>
      <c r="Q180" s="270">
        <f t="shared" si="97"/>
        <v>21390.89905362776</v>
      </c>
      <c r="R180" s="56">
        <f t="shared" si="98"/>
        <v>-22442.07696051351</v>
      </c>
    </row>
    <row r="181" spans="1:18" x14ac:dyDescent="0.25">
      <c r="A181" s="143"/>
      <c r="K181" s="60" t="s">
        <v>249</v>
      </c>
      <c r="L181" s="158">
        <f>G175/(L178-M171)</f>
        <v>163.46827800922239</v>
      </c>
      <c r="O181" s="261">
        <v>50</v>
      </c>
      <c r="P181" s="5">
        <f t="shared" si="96"/>
        <v>45262.565941638444</v>
      </c>
      <c r="Q181" s="270">
        <f t="shared" si="97"/>
        <v>23767.665615141956</v>
      </c>
      <c r="R181" s="56">
        <f t="shared" si="98"/>
        <v>-21494.900326496489</v>
      </c>
    </row>
    <row r="182" spans="1:18" x14ac:dyDescent="0.25">
      <c r="A182" s="143"/>
      <c r="O182" s="261">
        <v>55</v>
      </c>
      <c r="P182" s="5">
        <f t="shared" si="96"/>
        <v>46692.155869135626</v>
      </c>
      <c r="Q182" s="270">
        <f t="shared" si="97"/>
        <v>26144.432176656152</v>
      </c>
      <c r="R182" s="56">
        <f t="shared" si="98"/>
        <v>-20547.723692479474</v>
      </c>
    </row>
    <row r="183" spans="1:18" x14ac:dyDescent="0.25">
      <c r="A183" s="143"/>
      <c r="O183" s="261">
        <v>60</v>
      </c>
      <c r="P183" s="5">
        <f t="shared" si="96"/>
        <v>48121.745796632807</v>
      </c>
      <c r="Q183" s="270">
        <f t="shared" si="97"/>
        <v>28521.198738170347</v>
      </c>
      <c r="R183" s="56">
        <f t="shared" si="98"/>
        <v>-19600.54705846246</v>
      </c>
    </row>
    <row r="184" spans="1:18" ht="27.75" customHeight="1" x14ac:dyDescent="0.25">
      <c r="A184" s="143"/>
      <c r="J184" s="186" t="s">
        <v>379</v>
      </c>
      <c r="K184" s="3">
        <f>J163/G173</f>
        <v>141.84786189975466</v>
      </c>
      <c r="O184" s="261">
        <v>65</v>
      </c>
      <c r="P184" s="5">
        <f t="shared" si="96"/>
        <v>49551.335724129982</v>
      </c>
      <c r="Q184" s="270">
        <f t="shared" si="97"/>
        <v>30897.965299684543</v>
      </c>
      <c r="R184" s="56">
        <f t="shared" si="98"/>
        <v>-18653.370424445438</v>
      </c>
    </row>
    <row r="185" spans="1:18" x14ac:dyDescent="0.25">
      <c r="A185" s="143"/>
      <c r="J185" s="60" t="s">
        <v>270</v>
      </c>
      <c r="K185" s="3">
        <f>'Genel Gider'!I19</f>
        <v>97.686645636172443</v>
      </c>
      <c r="L185" s="3"/>
      <c r="O185" s="261">
        <v>70</v>
      </c>
      <c r="P185" s="5">
        <f t="shared" si="96"/>
        <v>50980.925651627156</v>
      </c>
      <c r="Q185" s="270">
        <f t="shared" si="97"/>
        <v>33274.731861198736</v>
      </c>
      <c r="R185" s="56">
        <f t="shared" si="98"/>
        <v>-17706.19379042842</v>
      </c>
    </row>
    <row r="186" spans="1:18" x14ac:dyDescent="0.25">
      <c r="A186" s="143"/>
      <c r="J186" s="60" t="s">
        <v>269</v>
      </c>
      <c r="K186" s="3">
        <f>L163/G173</f>
        <v>75.776337227441275</v>
      </c>
      <c r="O186" s="261">
        <v>75</v>
      </c>
      <c r="P186" s="5">
        <f t="shared" si="96"/>
        <v>52410.515579124338</v>
      </c>
      <c r="Q186" s="270">
        <f t="shared" si="97"/>
        <v>35651.498422712932</v>
      </c>
      <c r="R186" s="56">
        <f t="shared" si="98"/>
        <v>-16759.017156411406</v>
      </c>
    </row>
    <row r="187" spans="1:18" x14ac:dyDescent="0.25">
      <c r="A187" s="143"/>
      <c r="J187" s="60" t="s">
        <v>372</v>
      </c>
      <c r="K187" s="3">
        <f>N163/G173</f>
        <v>25.744700315457454</v>
      </c>
      <c r="O187" s="261">
        <v>80</v>
      </c>
      <c r="P187" s="5">
        <f t="shared" si="96"/>
        <v>53840.105506621519</v>
      </c>
      <c r="Q187" s="270">
        <f t="shared" si="97"/>
        <v>38028.264984227128</v>
      </c>
      <c r="R187" s="56">
        <f t="shared" si="98"/>
        <v>-15811.840522394392</v>
      </c>
    </row>
    <row r="188" spans="1:18" x14ac:dyDescent="0.25">
      <c r="A188" s="143"/>
      <c r="J188" s="60" t="s">
        <v>271</v>
      </c>
      <c r="K188" s="3">
        <f>'paketleme maliyeti'!F9</f>
        <v>15.5</v>
      </c>
      <c r="O188" s="261">
        <v>85</v>
      </c>
      <c r="P188" s="5">
        <f t="shared" si="96"/>
        <v>55269.695434118694</v>
      </c>
      <c r="Q188" s="270">
        <f t="shared" si="97"/>
        <v>40405.031545741323</v>
      </c>
      <c r="R188" s="56">
        <f t="shared" si="98"/>
        <v>-14864.66388837737</v>
      </c>
    </row>
    <row r="189" spans="1:18" x14ac:dyDescent="0.25">
      <c r="A189" s="143"/>
      <c r="J189" s="60" t="s">
        <v>272</v>
      </c>
      <c r="K189" s="3">
        <f>I163/G173</f>
        <v>54.798518233438443</v>
      </c>
      <c r="O189" s="261">
        <v>90</v>
      </c>
      <c r="P189" s="5">
        <f t="shared" si="96"/>
        <v>56699.285361615868</v>
      </c>
      <c r="Q189" s="270">
        <f t="shared" si="97"/>
        <v>42781.798107255519</v>
      </c>
      <c r="R189" s="56">
        <f t="shared" si="98"/>
        <v>-13917.487254360349</v>
      </c>
    </row>
    <row r="190" spans="1:18" x14ac:dyDescent="0.25">
      <c r="A190" s="143"/>
      <c r="J190" s="60" t="s">
        <v>273</v>
      </c>
      <c r="K190" s="3">
        <f>SUM(K184:K189)</f>
        <v>411.35406331226432</v>
      </c>
      <c r="O190" s="261">
        <v>95</v>
      </c>
      <c r="P190" s="5">
        <f t="shared" si="96"/>
        <v>58128.87528911305</v>
      </c>
      <c r="Q190" s="270">
        <f t="shared" si="97"/>
        <v>45158.564668769715</v>
      </c>
      <c r="R190" s="56">
        <f t="shared" si="98"/>
        <v>-12970.310620343334</v>
      </c>
    </row>
    <row r="191" spans="1:18" ht="16.5" customHeight="1" x14ac:dyDescent="0.25">
      <c r="A191" s="143"/>
      <c r="J191" s="60" t="s">
        <v>274</v>
      </c>
      <c r="K191" s="3">
        <f>G173*K190</f>
        <v>130399.23806998778</v>
      </c>
      <c r="L191" s="146">
        <f>K191-(J163+K163)</f>
        <v>54466.799181098933</v>
      </c>
      <c r="M191" s="3"/>
      <c r="N191" s="3"/>
      <c r="O191" s="261">
        <v>100</v>
      </c>
      <c r="P191" s="5">
        <f t="shared" si="96"/>
        <v>59558.465216610231</v>
      </c>
      <c r="Q191" s="270">
        <f t="shared" si="97"/>
        <v>47535.331230283911</v>
      </c>
      <c r="R191" s="56">
        <f t="shared" si="98"/>
        <v>-12023.13398632632</v>
      </c>
    </row>
    <row r="192" spans="1:18" x14ac:dyDescent="0.25">
      <c r="A192" s="143"/>
      <c r="J192" s="60" t="s">
        <v>275</v>
      </c>
      <c r="K192" s="3">
        <f>H163</f>
        <v>171774.40999999977</v>
      </c>
      <c r="O192" s="261">
        <v>105</v>
      </c>
      <c r="P192" s="5">
        <f t="shared" si="96"/>
        <v>60988.055144107406</v>
      </c>
      <c r="Q192" s="270">
        <f t="shared" si="97"/>
        <v>49912.097791798107</v>
      </c>
      <c r="R192" s="56">
        <f t="shared" si="98"/>
        <v>-11075.957352309299</v>
      </c>
    </row>
    <row r="193" spans="1:18" x14ac:dyDescent="0.25">
      <c r="A193" s="143"/>
      <c r="J193" s="60" t="s">
        <v>276</v>
      </c>
      <c r="K193" s="3">
        <f>H164</f>
        <v>-21087.409999999771</v>
      </c>
      <c r="O193" s="261">
        <v>110</v>
      </c>
      <c r="P193" s="5">
        <f t="shared" si="96"/>
        <v>62417.64507160458</v>
      </c>
      <c r="Q193" s="270">
        <f t="shared" si="97"/>
        <v>52288.864353312303</v>
      </c>
      <c r="R193" s="56">
        <f t="shared" si="98"/>
        <v>-10128.780718292277</v>
      </c>
    </row>
    <row r="194" spans="1:18" x14ac:dyDescent="0.25">
      <c r="A194" s="143"/>
      <c r="J194" s="60" t="s">
        <v>277</v>
      </c>
      <c r="K194" s="3">
        <f>K192+K193</f>
        <v>150687</v>
      </c>
      <c r="O194" s="261">
        <v>115</v>
      </c>
      <c r="P194" s="5">
        <f t="shared" si="96"/>
        <v>63847.234999101755</v>
      </c>
      <c r="Q194" s="270">
        <f t="shared" si="97"/>
        <v>54665.630914826499</v>
      </c>
      <c r="R194" s="56">
        <f t="shared" si="98"/>
        <v>-9181.6040842752554</v>
      </c>
    </row>
    <row r="195" spans="1:18" x14ac:dyDescent="0.25">
      <c r="A195" s="143"/>
      <c r="J195" s="60" t="s">
        <v>278</v>
      </c>
      <c r="K195" s="3">
        <f>K194-K191</f>
        <v>20287.761930012217</v>
      </c>
      <c r="O195" s="261">
        <v>120</v>
      </c>
      <c r="P195" s="5">
        <f t="shared" si="96"/>
        <v>65276.824926598943</v>
      </c>
      <c r="Q195" s="270">
        <f t="shared" si="97"/>
        <v>57042.397476340695</v>
      </c>
      <c r="R195" s="56">
        <f t="shared" si="98"/>
        <v>-8234.4274502582484</v>
      </c>
    </row>
    <row r="196" spans="1:18" x14ac:dyDescent="0.25">
      <c r="A196" s="143"/>
      <c r="O196" s="261">
        <v>125</v>
      </c>
      <c r="P196" s="5">
        <f t="shared" si="96"/>
        <v>66706.414854096118</v>
      </c>
      <c r="Q196" s="270">
        <f t="shared" si="97"/>
        <v>59419.164037854891</v>
      </c>
      <c r="R196" s="56">
        <f t="shared" si="98"/>
        <v>-7287.2508162412269</v>
      </c>
    </row>
    <row r="197" spans="1:18" x14ac:dyDescent="0.25">
      <c r="A197" s="143"/>
      <c r="O197" s="261">
        <v>130</v>
      </c>
      <c r="P197" s="5">
        <f t="shared" si="96"/>
        <v>68136.004781593292</v>
      </c>
      <c r="Q197" s="270">
        <f t="shared" si="97"/>
        <v>61795.930599369087</v>
      </c>
      <c r="R197" s="56">
        <f t="shared" si="98"/>
        <v>-6340.0741822242053</v>
      </c>
    </row>
    <row r="198" spans="1:18" x14ac:dyDescent="0.25">
      <c r="A198" s="143"/>
      <c r="O198" s="261">
        <v>135</v>
      </c>
      <c r="P198" s="5">
        <f t="shared" si="96"/>
        <v>69565.594709090466</v>
      </c>
      <c r="Q198" s="270">
        <f t="shared" si="97"/>
        <v>64172.697160883283</v>
      </c>
      <c r="R198" s="56">
        <f t="shared" si="98"/>
        <v>-5392.8975482071837</v>
      </c>
    </row>
    <row r="199" spans="1:18" x14ac:dyDescent="0.25">
      <c r="A199" s="143"/>
      <c r="J199" s="60" t="s">
        <v>281</v>
      </c>
      <c r="K199" s="146">
        <f>U163-H164</f>
        <v>150851.14806998754</v>
      </c>
      <c r="O199" s="261">
        <v>140</v>
      </c>
      <c r="P199" s="5">
        <f t="shared" si="96"/>
        <v>70995.184636587655</v>
      </c>
      <c r="Q199" s="270">
        <f t="shared" si="97"/>
        <v>66549.463722397471</v>
      </c>
      <c r="R199" s="56">
        <f t="shared" si="98"/>
        <v>-4445.720914190184</v>
      </c>
    </row>
    <row r="200" spans="1:18" ht="16.5" customHeight="1" x14ac:dyDescent="0.25">
      <c r="A200" s="143"/>
      <c r="J200" s="60" t="s">
        <v>297</v>
      </c>
      <c r="K200" s="163">
        <f>H163</f>
        <v>171774.40999999977</v>
      </c>
      <c r="O200" s="261">
        <v>145</v>
      </c>
      <c r="P200" s="5">
        <f t="shared" si="96"/>
        <v>72424.77456408483</v>
      </c>
      <c r="Q200" s="270">
        <f t="shared" si="97"/>
        <v>68926.230283911675</v>
      </c>
      <c r="R200" s="56">
        <f t="shared" si="98"/>
        <v>-3498.5442801731551</v>
      </c>
    </row>
    <row r="201" spans="1:18" ht="18" customHeight="1" x14ac:dyDescent="0.25">
      <c r="A201" s="143"/>
      <c r="J201" s="178" t="s">
        <v>282</v>
      </c>
      <c r="K201" s="179">
        <f>K200-K199</f>
        <v>20923.261930012231</v>
      </c>
      <c r="O201" s="261">
        <v>150</v>
      </c>
      <c r="P201" s="5">
        <f t="shared" si="96"/>
        <v>73854.364491582004</v>
      </c>
      <c r="Q201" s="270">
        <f t="shared" si="97"/>
        <v>71302.996845425863</v>
      </c>
      <c r="R201" s="56">
        <f t="shared" si="98"/>
        <v>-2551.3676461561408</v>
      </c>
    </row>
    <row r="202" spans="1:18" x14ac:dyDescent="0.25">
      <c r="A202" s="143"/>
      <c r="O202" s="261">
        <v>155</v>
      </c>
      <c r="P202" s="5">
        <f t="shared" si="96"/>
        <v>75283.954419079178</v>
      </c>
      <c r="Q202" s="270">
        <f t="shared" si="97"/>
        <v>73679.763406940066</v>
      </c>
      <c r="R202" s="56">
        <f t="shared" si="98"/>
        <v>-1604.191012139112</v>
      </c>
    </row>
    <row r="203" spans="1:18" x14ac:dyDescent="0.25">
      <c r="A203" s="143"/>
      <c r="O203" s="261">
        <v>160</v>
      </c>
      <c r="P203" s="5">
        <f t="shared" si="96"/>
        <v>76713.544346576367</v>
      </c>
      <c r="Q203" s="270">
        <f t="shared" si="97"/>
        <v>76056.529968454255</v>
      </c>
      <c r="R203" s="56">
        <f t="shared" si="98"/>
        <v>-657.01437812211225</v>
      </c>
    </row>
    <row r="204" spans="1:18" x14ac:dyDescent="0.25">
      <c r="A204" s="143" t="s">
        <v>1</v>
      </c>
      <c r="B204" s="60" t="s">
        <v>392</v>
      </c>
      <c r="C204" s="132" t="s">
        <v>297</v>
      </c>
      <c r="D204" s="60" t="s">
        <v>393</v>
      </c>
      <c r="O204" s="261">
        <v>165</v>
      </c>
      <c r="P204" s="5">
        <f t="shared" si="96"/>
        <v>78143.134274073542</v>
      </c>
      <c r="Q204" s="270">
        <f t="shared" si="97"/>
        <v>78433.296529968458</v>
      </c>
      <c r="R204" s="56">
        <f t="shared" si="98"/>
        <v>290.1622558949166</v>
      </c>
    </row>
    <row r="205" spans="1:18" x14ac:dyDescent="0.25">
      <c r="A205" s="260">
        <v>0</v>
      </c>
      <c r="B205" s="3"/>
      <c r="O205" s="261">
        <v>170</v>
      </c>
      <c r="P205" s="5">
        <f t="shared" si="96"/>
        <v>79572.724201570716</v>
      </c>
      <c r="Q205" s="270">
        <f t="shared" si="97"/>
        <v>80810.063091482647</v>
      </c>
      <c r="R205" s="56">
        <f t="shared" si="98"/>
        <v>1237.3388899119309</v>
      </c>
    </row>
    <row r="206" spans="1:18" x14ac:dyDescent="0.25">
      <c r="A206" s="260">
        <v>5</v>
      </c>
      <c r="B206" s="3"/>
      <c r="O206" s="261">
        <v>175</v>
      </c>
      <c r="P206" s="5">
        <f t="shared" si="96"/>
        <v>81002.31412906789</v>
      </c>
      <c r="Q206" s="270">
        <f t="shared" si="97"/>
        <v>83186.82965299685</v>
      </c>
      <c r="R206" s="56">
        <f t="shared" si="98"/>
        <v>2184.5155239289597</v>
      </c>
    </row>
    <row r="207" spans="1:18" x14ac:dyDescent="0.25">
      <c r="A207" s="260">
        <v>10</v>
      </c>
      <c r="O207" s="261">
        <v>180</v>
      </c>
      <c r="P207" s="5">
        <f t="shared" si="96"/>
        <v>82431.904056565079</v>
      </c>
      <c r="Q207" s="270">
        <f t="shared" si="97"/>
        <v>85563.596214511039</v>
      </c>
      <c r="R207" s="56">
        <f t="shared" si="98"/>
        <v>3131.6921579459595</v>
      </c>
    </row>
    <row r="208" spans="1:18" x14ac:dyDescent="0.25">
      <c r="A208" s="260">
        <v>15</v>
      </c>
      <c r="O208" s="261">
        <v>185</v>
      </c>
      <c r="P208" s="5">
        <f t="shared" si="96"/>
        <v>83861.493984062254</v>
      </c>
      <c r="Q208" s="270">
        <f t="shared" si="97"/>
        <v>87940.362776025242</v>
      </c>
      <c r="R208" s="56">
        <f t="shared" si="98"/>
        <v>4078.8687919629883</v>
      </c>
    </row>
    <row r="209" spans="1:18" x14ac:dyDescent="0.25">
      <c r="A209" s="260">
        <v>20</v>
      </c>
      <c r="O209" s="261">
        <v>190</v>
      </c>
      <c r="P209" s="5">
        <f t="shared" si="96"/>
        <v>85291.083911559428</v>
      </c>
      <c r="Q209" s="270">
        <f t="shared" si="97"/>
        <v>90317.129337539431</v>
      </c>
      <c r="R209" s="56">
        <f t="shared" si="98"/>
        <v>5026.0454259800026</v>
      </c>
    </row>
    <row r="210" spans="1:18" x14ac:dyDescent="0.25">
      <c r="A210" s="260">
        <v>25</v>
      </c>
      <c r="O210" s="261">
        <v>195</v>
      </c>
      <c r="P210" s="5">
        <f t="shared" si="96"/>
        <v>86720.673839056602</v>
      </c>
      <c r="Q210" s="270">
        <f t="shared" si="97"/>
        <v>92693.895899053634</v>
      </c>
      <c r="R210" s="56">
        <f t="shared" si="98"/>
        <v>5973.2220599970315</v>
      </c>
    </row>
    <row r="211" spans="1:18" x14ac:dyDescent="0.25">
      <c r="A211" s="260">
        <v>30</v>
      </c>
      <c r="O211" s="261">
        <v>200</v>
      </c>
      <c r="P211" s="5">
        <f t="shared" si="96"/>
        <v>88150.263766553791</v>
      </c>
      <c r="Q211" s="270">
        <f t="shared" si="97"/>
        <v>95070.662460567823</v>
      </c>
      <c r="R211" s="56">
        <f t="shared" si="98"/>
        <v>6920.3986940140312</v>
      </c>
    </row>
    <row r="212" spans="1:18" x14ac:dyDescent="0.25">
      <c r="A212" s="260">
        <v>35</v>
      </c>
      <c r="O212" s="261">
        <v>205</v>
      </c>
      <c r="P212" s="5">
        <f t="shared" si="96"/>
        <v>89579.853694050966</v>
      </c>
      <c r="Q212" s="270">
        <f t="shared" si="97"/>
        <v>97447.429022082026</v>
      </c>
      <c r="R212" s="56">
        <f t="shared" si="98"/>
        <v>7867.5753280310601</v>
      </c>
    </row>
    <row r="213" spans="1:18" x14ac:dyDescent="0.25">
      <c r="A213" s="260">
        <v>40</v>
      </c>
      <c r="O213" s="261">
        <v>210</v>
      </c>
      <c r="P213" s="5">
        <f t="shared" si="96"/>
        <v>91009.44362154814</v>
      </c>
      <c r="Q213" s="270">
        <f t="shared" si="97"/>
        <v>99824.195583596214</v>
      </c>
      <c r="R213" s="56">
        <f t="shared" si="98"/>
        <v>8814.7519620480743</v>
      </c>
    </row>
    <row r="214" spans="1:18" x14ac:dyDescent="0.25">
      <c r="A214" s="260">
        <v>45</v>
      </c>
      <c r="O214" s="261">
        <v>215</v>
      </c>
      <c r="P214" s="5">
        <f t="shared" si="96"/>
        <v>92439.033549045314</v>
      </c>
      <c r="Q214" s="270">
        <f t="shared" si="97"/>
        <v>102200.96214511042</v>
      </c>
      <c r="R214" s="56">
        <f t="shared" si="98"/>
        <v>9761.9285960651032</v>
      </c>
    </row>
    <row r="215" spans="1:18" x14ac:dyDescent="0.25">
      <c r="A215" s="260">
        <v>50</v>
      </c>
      <c r="O215" s="261">
        <v>220</v>
      </c>
      <c r="P215" s="5">
        <f t="shared" si="96"/>
        <v>93868.623476542503</v>
      </c>
      <c r="Q215" s="270">
        <f t="shared" si="97"/>
        <v>104577.72870662461</v>
      </c>
      <c r="R215" s="56">
        <f t="shared" si="98"/>
        <v>10709.105230082103</v>
      </c>
    </row>
    <row r="216" spans="1:18" x14ac:dyDescent="0.25">
      <c r="A216" s="260">
        <v>55</v>
      </c>
      <c r="O216" s="261">
        <v>225</v>
      </c>
      <c r="P216" s="5">
        <f t="shared" si="96"/>
        <v>95298.213404039678</v>
      </c>
      <c r="Q216" s="270">
        <f t="shared" si="97"/>
        <v>106954.49526813881</v>
      </c>
      <c r="R216" s="56">
        <f t="shared" si="98"/>
        <v>11656.281864099132</v>
      </c>
    </row>
    <row r="217" spans="1:18" x14ac:dyDescent="0.25">
      <c r="A217" s="260">
        <v>60</v>
      </c>
      <c r="O217" s="261">
        <v>230</v>
      </c>
      <c r="P217" s="5">
        <f t="shared" si="96"/>
        <v>96727.803331536852</v>
      </c>
      <c r="Q217" s="270">
        <f t="shared" si="97"/>
        <v>109331.261829653</v>
      </c>
      <c r="R217" s="56">
        <f t="shared" si="98"/>
        <v>12603.458498116146</v>
      </c>
    </row>
    <row r="218" spans="1:18" x14ac:dyDescent="0.25">
      <c r="A218" s="260">
        <v>65</v>
      </c>
      <c r="O218" s="261">
        <v>235</v>
      </c>
      <c r="P218" s="5">
        <f t="shared" si="96"/>
        <v>98157.393259034041</v>
      </c>
      <c r="Q218" s="270">
        <f t="shared" si="97"/>
        <v>111708.0283911672</v>
      </c>
      <c r="R218" s="56">
        <f t="shared" si="98"/>
        <v>13550.63513213316</v>
      </c>
    </row>
    <row r="219" spans="1:18" x14ac:dyDescent="0.25">
      <c r="A219" s="260">
        <v>70</v>
      </c>
      <c r="O219" s="261">
        <v>240</v>
      </c>
      <c r="P219" s="5">
        <f t="shared" si="96"/>
        <v>99586.983186531215</v>
      </c>
      <c r="Q219" s="270">
        <f t="shared" si="97"/>
        <v>114084.79495268139</v>
      </c>
      <c r="R219" s="56">
        <f t="shared" si="98"/>
        <v>14497.811766150175</v>
      </c>
    </row>
    <row r="220" spans="1:18" x14ac:dyDescent="0.25">
      <c r="A220" s="260">
        <v>75</v>
      </c>
      <c r="O220" s="261">
        <v>245</v>
      </c>
      <c r="P220" s="5">
        <f t="shared" si="96"/>
        <v>101016.57311402839</v>
      </c>
      <c r="Q220" s="270">
        <f t="shared" si="97"/>
        <v>116461.56151419559</v>
      </c>
      <c r="R220" s="56">
        <f t="shared" si="98"/>
        <v>15444.988400167204</v>
      </c>
    </row>
    <row r="221" spans="1:18" x14ac:dyDescent="0.25">
      <c r="A221" s="260">
        <v>80</v>
      </c>
      <c r="O221" s="261">
        <v>250</v>
      </c>
      <c r="P221" s="5">
        <f t="shared" si="96"/>
        <v>102446.16304152556</v>
      </c>
      <c r="Q221" s="270">
        <f t="shared" si="97"/>
        <v>118838.32807570978</v>
      </c>
      <c r="R221" s="56">
        <f t="shared" si="98"/>
        <v>16392.165034184218</v>
      </c>
    </row>
    <row r="222" spans="1:18" x14ac:dyDescent="0.25">
      <c r="A222" s="260">
        <v>85</v>
      </c>
      <c r="O222" s="261">
        <v>255</v>
      </c>
      <c r="P222" s="5">
        <f t="shared" si="96"/>
        <v>103875.75296902275</v>
      </c>
      <c r="Q222" s="270">
        <f t="shared" si="97"/>
        <v>121215.09463722399</v>
      </c>
      <c r="R222" s="56">
        <f t="shared" si="98"/>
        <v>17339.341668201232</v>
      </c>
    </row>
    <row r="223" spans="1:18" x14ac:dyDescent="0.25">
      <c r="A223" s="260">
        <v>90</v>
      </c>
      <c r="O223" s="261">
        <v>260</v>
      </c>
      <c r="P223" s="5">
        <f t="shared" si="96"/>
        <v>105305.34289651993</v>
      </c>
      <c r="Q223" s="270">
        <f t="shared" si="97"/>
        <v>123591.86119873817</v>
      </c>
      <c r="R223" s="56">
        <f t="shared" si="98"/>
        <v>18286.518302218246</v>
      </c>
    </row>
    <row r="224" spans="1:18" x14ac:dyDescent="0.25">
      <c r="A224" s="260">
        <v>95</v>
      </c>
      <c r="O224" s="261">
        <v>265</v>
      </c>
      <c r="P224" s="5">
        <f t="shared" si="96"/>
        <v>106734.9328240171</v>
      </c>
      <c r="Q224" s="270">
        <f t="shared" si="97"/>
        <v>125968.62776025236</v>
      </c>
      <c r="R224" s="56">
        <f t="shared" si="98"/>
        <v>19233.694936235261</v>
      </c>
    </row>
    <row r="225" spans="1:18" x14ac:dyDescent="0.25">
      <c r="A225" s="260">
        <v>100</v>
      </c>
      <c r="O225" s="261">
        <v>270</v>
      </c>
      <c r="P225" s="5">
        <f t="shared" si="96"/>
        <v>108164.52275151428</v>
      </c>
      <c r="Q225" s="270">
        <f t="shared" si="97"/>
        <v>128345.39432176657</v>
      </c>
      <c r="R225" s="56">
        <f t="shared" si="98"/>
        <v>20180.87157025229</v>
      </c>
    </row>
    <row r="226" spans="1:18" x14ac:dyDescent="0.25">
      <c r="A226" s="260">
        <v>105</v>
      </c>
      <c r="O226" s="261">
        <v>275</v>
      </c>
      <c r="P226" s="5">
        <f t="shared" si="96"/>
        <v>109594.11267901146</v>
      </c>
      <c r="Q226" s="270">
        <f t="shared" si="97"/>
        <v>130722.16088328075</v>
      </c>
      <c r="R226" s="56">
        <f t="shared" si="98"/>
        <v>21128.048204269289</v>
      </c>
    </row>
    <row r="227" spans="1:18" x14ac:dyDescent="0.25">
      <c r="A227" s="260">
        <v>110</v>
      </c>
      <c r="O227" s="261">
        <v>280</v>
      </c>
      <c r="P227" s="5">
        <f t="shared" si="96"/>
        <v>111023.70260650864</v>
      </c>
      <c r="Q227" s="270">
        <f t="shared" si="97"/>
        <v>133098.92744479494</v>
      </c>
      <c r="R227" s="56">
        <f t="shared" si="98"/>
        <v>22075.224838286304</v>
      </c>
    </row>
    <row r="228" spans="1:18" x14ac:dyDescent="0.25">
      <c r="A228" s="260">
        <v>115</v>
      </c>
      <c r="O228" s="261">
        <v>285</v>
      </c>
      <c r="P228" s="5">
        <f t="shared" si="96"/>
        <v>112453.29253400581</v>
      </c>
      <c r="Q228" s="270">
        <f t="shared" si="97"/>
        <v>135475.69400630915</v>
      </c>
      <c r="R228" s="56">
        <f t="shared" si="98"/>
        <v>23022.401472303332</v>
      </c>
    </row>
    <row r="229" spans="1:18" x14ac:dyDescent="0.25">
      <c r="A229" s="260">
        <v>120</v>
      </c>
      <c r="O229" s="261">
        <v>290</v>
      </c>
      <c r="P229" s="5">
        <f t="shared" si="96"/>
        <v>113882.88246150299</v>
      </c>
      <c r="Q229" s="270">
        <f t="shared" si="97"/>
        <v>137852.46056782335</v>
      </c>
      <c r="R229" s="56">
        <f t="shared" si="98"/>
        <v>23969.578106320361</v>
      </c>
    </row>
    <row r="230" spans="1:18" x14ac:dyDescent="0.25">
      <c r="A230" s="260">
        <v>125</v>
      </c>
      <c r="O230" s="261">
        <v>295</v>
      </c>
      <c r="P230" s="5">
        <f t="shared" si="96"/>
        <v>115312.47238900018</v>
      </c>
      <c r="Q230" s="270">
        <f t="shared" si="97"/>
        <v>140229.22712933755</v>
      </c>
      <c r="R230" s="56">
        <f t="shared" si="98"/>
        <v>24916.754740337376</v>
      </c>
    </row>
    <row r="231" spans="1:18" x14ac:dyDescent="0.25">
      <c r="A231" s="260">
        <v>130</v>
      </c>
      <c r="O231" s="261">
        <v>300</v>
      </c>
      <c r="P231" s="5">
        <f t="shared" si="96"/>
        <v>116742.06231649735</v>
      </c>
      <c r="Q231" s="270">
        <f t="shared" si="97"/>
        <v>142605.99369085173</v>
      </c>
      <c r="R231" s="56">
        <f t="shared" si="98"/>
        <v>25863.931374354375</v>
      </c>
    </row>
    <row r="232" spans="1:18" x14ac:dyDescent="0.25">
      <c r="A232" s="260">
        <v>135</v>
      </c>
      <c r="O232" s="261">
        <v>305</v>
      </c>
      <c r="P232" s="5">
        <f t="shared" si="96"/>
        <v>118171.65224399453</v>
      </c>
      <c r="Q232" s="270">
        <f t="shared" si="97"/>
        <v>144982.76025236593</v>
      </c>
      <c r="R232" s="56">
        <f t="shared" si="98"/>
        <v>26811.108008371404</v>
      </c>
    </row>
    <row r="233" spans="1:18" x14ac:dyDescent="0.25">
      <c r="A233" s="260">
        <v>140</v>
      </c>
      <c r="O233" s="261">
        <v>310</v>
      </c>
      <c r="P233" s="5">
        <f t="shared" si="96"/>
        <v>119601.2421714917</v>
      </c>
      <c r="Q233" s="270">
        <f t="shared" si="97"/>
        <v>147359.52681388013</v>
      </c>
      <c r="R233" s="56">
        <f t="shared" si="98"/>
        <v>27758.284642388433</v>
      </c>
    </row>
    <row r="234" spans="1:18" x14ac:dyDescent="0.25">
      <c r="A234" s="260">
        <v>145</v>
      </c>
      <c r="O234" s="261">
        <v>315</v>
      </c>
      <c r="P234" s="5">
        <f t="shared" si="96"/>
        <v>121030.83209898889</v>
      </c>
      <c r="Q234" s="270">
        <f t="shared" si="97"/>
        <v>149736.29337539434</v>
      </c>
      <c r="R234" s="56">
        <f t="shared" si="98"/>
        <v>28705.461276405447</v>
      </c>
    </row>
    <row r="235" spans="1:18" x14ac:dyDescent="0.25">
      <c r="A235" s="260">
        <v>150</v>
      </c>
      <c r="O235" s="261">
        <v>320</v>
      </c>
      <c r="P235" s="5">
        <f t="shared" si="96"/>
        <v>122460.42202648606</v>
      </c>
      <c r="Q235" s="270">
        <f t="shared" si="97"/>
        <v>152113.05993690851</v>
      </c>
      <c r="R235" s="56">
        <f t="shared" si="98"/>
        <v>29652.637910422447</v>
      </c>
    </row>
    <row r="236" spans="1:18" x14ac:dyDescent="0.25">
      <c r="A236" s="260">
        <v>155</v>
      </c>
      <c r="O236" s="261">
        <v>325</v>
      </c>
      <c r="P236" s="5">
        <f t="shared" ref="P236:P271" si="99">$G$175+$O236*$M$171</f>
        <v>123890.01195398324</v>
      </c>
      <c r="Q236" s="270">
        <f t="shared" ref="Q236:Q271" si="100">O236*$L$178</f>
        <v>154489.82649842271</v>
      </c>
      <c r="R236" s="56">
        <f t="shared" ref="R236:R271" si="101">Q236-P236</f>
        <v>30599.814544439476</v>
      </c>
    </row>
    <row r="237" spans="1:18" x14ac:dyDescent="0.25">
      <c r="A237" s="260">
        <v>160</v>
      </c>
      <c r="O237" s="261">
        <v>330</v>
      </c>
      <c r="P237" s="5">
        <f t="shared" si="99"/>
        <v>125319.60188148041</v>
      </c>
      <c r="Q237" s="270">
        <f t="shared" si="100"/>
        <v>156866.59305993692</v>
      </c>
      <c r="R237" s="56">
        <f t="shared" si="101"/>
        <v>31546.991178456505</v>
      </c>
    </row>
    <row r="238" spans="1:18" x14ac:dyDescent="0.25">
      <c r="A238" s="260">
        <v>165</v>
      </c>
      <c r="O238" s="261">
        <v>335</v>
      </c>
      <c r="P238" s="5">
        <f t="shared" si="99"/>
        <v>126749.19180897759</v>
      </c>
      <c r="Q238" s="270">
        <f t="shared" si="100"/>
        <v>159243.35962145112</v>
      </c>
      <c r="R238" s="56">
        <f t="shared" si="101"/>
        <v>32494.167812473534</v>
      </c>
    </row>
    <row r="239" spans="1:18" x14ac:dyDescent="0.25">
      <c r="A239" s="260">
        <v>170</v>
      </c>
      <c r="O239" s="261">
        <v>340</v>
      </c>
      <c r="P239" s="5">
        <f t="shared" si="99"/>
        <v>128178.78173647478</v>
      </c>
      <c r="Q239" s="270">
        <f t="shared" si="100"/>
        <v>161620.12618296529</v>
      </c>
      <c r="R239" s="56">
        <f t="shared" si="101"/>
        <v>33441.344446490519</v>
      </c>
    </row>
    <row r="240" spans="1:18" x14ac:dyDescent="0.25">
      <c r="A240" s="260">
        <v>175</v>
      </c>
      <c r="O240" s="261">
        <v>345</v>
      </c>
      <c r="P240" s="5">
        <f t="shared" si="99"/>
        <v>129608.37166397195</v>
      </c>
      <c r="Q240" s="270">
        <f t="shared" si="100"/>
        <v>163996.8927444795</v>
      </c>
      <c r="R240" s="56">
        <f t="shared" si="101"/>
        <v>34388.521080507548</v>
      </c>
    </row>
    <row r="241" spans="1:18" x14ac:dyDescent="0.25">
      <c r="A241" s="260">
        <v>180</v>
      </c>
      <c r="O241" s="261">
        <v>350</v>
      </c>
      <c r="P241" s="5">
        <f t="shared" si="99"/>
        <v>131037.96159146912</v>
      </c>
      <c r="Q241" s="270">
        <f t="shared" si="100"/>
        <v>166373.6593059937</v>
      </c>
      <c r="R241" s="56">
        <f t="shared" si="101"/>
        <v>35335.697714524576</v>
      </c>
    </row>
    <row r="242" spans="1:18" x14ac:dyDescent="0.25">
      <c r="A242" s="260">
        <v>185</v>
      </c>
      <c r="O242" s="261">
        <v>355</v>
      </c>
      <c r="P242" s="5">
        <f t="shared" si="99"/>
        <v>132467.5515189663</v>
      </c>
      <c r="Q242" s="270">
        <f t="shared" si="100"/>
        <v>168750.4258675079</v>
      </c>
      <c r="R242" s="56">
        <f t="shared" si="101"/>
        <v>36282.874348541605</v>
      </c>
    </row>
    <row r="243" spans="1:18" x14ac:dyDescent="0.25">
      <c r="A243" s="260">
        <v>190</v>
      </c>
      <c r="O243" s="261">
        <v>360</v>
      </c>
      <c r="P243" s="5">
        <f t="shared" si="99"/>
        <v>133897.14144646347</v>
      </c>
      <c r="Q243" s="270">
        <f t="shared" si="100"/>
        <v>171127.19242902208</v>
      </c>
      <c r="R243" s="56">
        <f t="shared" si="101"/>
        <v>37230.050982558605</v>
      </c>
    </row>
    <row r="244" spans="1:18" x14ac:dyDescent="0.25">
      <c r="A244" s="260">
        <v>195</v>
      </c>
      <c r="O244" s="261">
        <v>365</v>
      </c>
      <c r="P244" s="5">
        <f t="shared" si="99"/>
        <v>135326.73137396065</v>
      </c>
      <c r="Q244" s="270">
        <f t="shared" si="100"/>
        <v>173503.95899053628</v>
      </c>
      <c r="R244" s="56">
        <f t="shared" si="101"/>
        <v>38177.227616575634</v>
      </c>
    </row>
    <row r="245" spans="1:18" x14ac:dyDescent="0.25">
      <c r="A245" s="260">
        <v>200</v>
      </c>
      <c r="O245" s="261">
        <v>370</v>
      </c>
      <c r="P245" s="5">
        <f t="shared" si="99"/>
        <v>136756.32130145782</v>
      </c>
      <c r="Q245" s="270">
        <f t="shared" si="100"/>
        <v>175880.72555205048</v>
      </c>
      <c r="R245" s="56">
        <f t="shared" si="101"/>
        <v>39124.404250592663</v>
      </c>
    </row>
    <row r="246" spans="1:18" x14ac:dyDescent="0.25">
      <c r="A246" s="260">
        <v>205</v>
      </c>
      <c r="O246" s="261">
        <v>375</v>
      </c>
      <c r="P246" s="5">
        <f t="shared" si="99"/>
        <v>138185.911228955</v>
      </c>
      <c r="Q246" s="270">
        <f t="shared" si="100"/>
        <v>178257.49211356469</v>
      </c>
      <c r="R246" s="56">
        <f t="shared" si="101"/>
        <v>40071.580884609692</v>
      </c>
    </row>
    <row r="247" spans="1:18" x14ac:dyDescent="0.25">
      <c r="A247" s="260">
        <v>210</v>
      </c>
      <c r="O247" s="261">
        <v>380</v>
      </c>
      <c r="P247" s="5">
        <f t="shared" si="99"/>
        <v>139615.5011564522</v>
      </c>
      <c r="Q247" s="270">
        <f t="shared" si="100"/>
        <v>180634.25867507886</v>
      </c>
      <c r="R247" s="56">
        <f t="shared" si="101"/>
        <v>41018.757518626662</v>
      </c>
    </row>
    <row r="248" spans="1:18" x14ac:dyDescent="0.25">
      <c r="A248" s="260">
        <v>215</v>
      </c>
      <c r="O248" s="261">
        <v>385</v>
      </c>
      <c r="P248" s="5">
        <f t="shared" si="99"/>
        <v>141045.09108394937</v>
      </c>
      <c r="Q248" s="270">
        <f t="shared" si="100"/>
        <v>183011.02523659306</v>
      </c>
      <c r="R248" s="56">
        <f t="shared" si="101"/>
        <v>41965.934152643691</v>
      </c>
    </row>
    <row r="249" spans="1:18" x14ac:dyDescent="0.25">
      <c r="A249" s="260">
        <v>220</v>
      </c>
      <c r="O249" s="261">
        <v>390</v>
      </c>
      <c r="P249" s="5">
        <f t="shared" si="99"/>
        <v>142474.68101144655</v>
      </c>
      <c r="Q249" s="270">
        <f t="shared" si="100"/>
        <v>185387.79179810727</v>
      </c>
      <c r="R249" s="56">
        <f t="shared" si="101"/>
        <v>42913.11078666072</v>
      </c>
    </row>
    <row r="250" spans="1:18" x14ac:dyDescent="0.25">
      <c r="A250" s="260">
        <v>225</v>
      </c>
      <c r="O250" s="261">
        <v>395</v>
      </c>
      <c r="P250" s="5">
        <f t="shared" si="99"/>
        <v>143904.27093894372</v>
      </c>
      <c r="Q250" s="270">
        <f t="shared" si="100"/>
        <v>187764.55835962144</v>
      </c>
      <c r="R250" s="56">
        <f t="shared" si="101"/>
        <v>43860.28742067772</v>
      </c>
    </row>
    <row r="251" spans="1:18" x14ac:dyDescent="0.25">
      <c r="A251" s="260">
        <v>230</v>
      </c>
      <c r="O251" s="261">
        <v>400</v>
      </c>
      <c r="P251" s="5">
        <f t="shared" si="99"/>
        <v>145333.8608664409</v>
      </c>
      <c r="Q251" s="270">
        <f t="shared" si="100"/>
        <v>190141.32492113565</v>
      </c>
      <c r="R251" s="56">
        <f t="shared" si="101"/>
        <v>44807.464054694748</v>
      </c>
    </row>
    <row r="252" spans="1:18" x14ac:dyDescent="0.25">
      <c r="A252" s="260">
        <v>235</v>
      </c>
      <c r="O252" s="261">
        <v>405</v>
      </c>
      <c r="P252" s="5">
        <f t="shared" si="99"/>
        <v>146763.45079393807</v>
      </c>
      <c r="Q252" s="270">
        <f t="shared" si="100"/>
        <v>192518.09148264985</v>
      </c>
      <c r="R252" s="56">
        <f t="shared" si="101"/>
        <v>45754.640688711777</v>
      </c>
    </row>
    <row r="253" spans="1:18" x14ac:dyDescent="0.25">
      <c r="A253" s="260">
        <v>240</v>
      </c>
      <c r="O253" s="261">
        <v>410</v>
      </c>
      <c r="P253" s="5">
        <f t="shared" si="99"/>
        <v>148193.04072143525</v>
      </c>
      <c r="Q253" s="270">
        <f t="shared" si="100"/>
        <v>194894.85804416405</v>
      </c>
      <c r="R253" s="56">
        <f t="shared" si="101"/>
        <v>46701.817322728806</v>
      </c>
    </row>
    <row r="254" spans="1:18" x14ac:dyDescent="0.25">
      <c r="A254" s="260">
        <v>245</v>
      </c>
      <c r="O254" s="261">
        <v>415</v>
      </c>
      <c r="P254" s="5">
        <f t="shared" si="99"/>
        <v>149622.63064893242</v>
      </c>
      <c r="Q254" s="270">
        <f t="shared" si="100"/>
        <v>197271.62460567823</v>
      </c>
      <c r="R254" s="56">
        <f t="shared" si="101"/>
        <v>47648.993956745806</v>
      </c>
    </row>
    <row r="255" spans="1:18" x14ac:dyDescent="0.25">
      <c r="A255" s="260">
        <v>250</v>
      </c>
      <c r="O255" s="261">
        <v>420</v>
      </c>
      <c r="P255" s="5">
        <f t="shared" si="99"/>
        <v>151052.22057642962</v>
      </c>
      <c r="Q255" s="270">
        <f t="shared" si="100"/>
        <v>199648.39116719243</v>
      </c>
      <c r="R255" s="56">
        <f t="shared" si="101"/>
        <v>48596.170590762806</v>
      </c>
    </row>
    <row r="256" spans="1:18" x14ac:dyDescent="0.25">
      <c r="A256" s="260">
        <v>255</v>
      </c>
      <c r="O256" s="261">
        <v>425</v>
      </c>
      <c r="P256" s="5">
        <f t="shared" si="99"/>
        <v>152481.8105039268</v>
      </c>
      <c r="Q256" s="270">
        <f t="shared" si="100"/>
        <v>202025.15772870663</v>
      </c>
      <c r="R256" s="56">
        <f t="shared" si="101"/>
        <v>49543.347224779835</v>
      </c>
    </row>
    <row r="257" spans="1:18" x14ac:dyDescent="0.25">
      <c r="A257" s="260">
        <v>260</v>
      </c>
      <c r="O257" s="261">
        <v>430</v>
      </c>
      <c r="P257" s="5">
        <f t="shared" si="99"/>
        <v>153911.40043142397</v>
      </c>
      <c r="Q257" s="270">
        <f t="shared" si="100"/>
        <v>204401.92429022084</v>
      </c>
      <c r="R257" s="56">
        <f t="shared" si="101"/>
        <v>50490.523858796863</v>
      </c>
    </row>
    <row r="258" spans="1:18" x14ac:dyDescent="0.25">
      <c r="A258" s="260">
        <v>265</v>
      </c>
      <c r="O258" s="261">
        <v>435</v>
      </c>
      <c r="P258" s="5">
        <f t="shared" si="99"/>
        <v>155340.99035892115</v>
      </c>
      <c r="Q258" s="270">
        <f t="shared" si="100"/>
        <v>206778.69085173501</v>
      </c>
      <c r="R258" s="56">
        <f t="shared" si="101"/>
        <v>51437.700492813863</v>
      </c>
    </row>
    <row r="259" spans="1:18" x14ac:dyDescent="0.25">
      <c r="A259" s="260">
        <v>270</v>
      </c>
      <c r="O259" s="261">
        <v>440</v>
      </c>
      <c r="P259" s="5">
        <f t="shared" si="99"/>
        <v>156770.58028641832</v>
      </c>
      <c r="Q259" s="270">
        <f t="shared" si="100"/>
        <v>209155.45741324921</v>
      </c>
      <c r="R259" s="56">
        <f t="shared" si="101"/>
        <v>52384.877126830892</v>
      </c>
    </row>
    <row r="260" spans="1:18" x14ac:dyDescent="0.25">
      <c r="A260" s="260">
        <v>275</v>
      </c>
      <c r="O260" s="261">
        <v>445</v>
      </c>
      <c r="P260" s="5">
        <f t="shared" si="99"/>
        <v>158200.17021391549</v>
      </c>
      <c r="Q260" s="270">
        <f t="shared" si="100"/>
        <v>211532.22397476342</v>
      </c>
      <c r="R260" s="56">
        <f t="shared" si="101"/>
        <v>53332.053760847921</v>
      </c>
    </row>
    <row r="261" spans="1:18" x14ac:dyDescent="0.25">
      <c r="A261" s="260">
        <v>280</v>
      </c>
      <c r="O261" s="261">
        <v>450</v>
      </c>
      <c r="P261" s="5">
        <f t="shared" si="99"/>
        <v>159629.76014141267</v>
      </c>
      <c r="Q261" s="270">
        <f t="shared" si="100"/>
        <v>213908.99053627762</v>
      </c>
      <c r="R261" s="56">
        <f t="shared" si="101"/>
        <v>54279.23039486495</v>
      </c>
    </row>
    <row r="262" spans="1:18" x14ac:dyDescent="0.25">
      <c r="A262" s="260">
        <v>285</v>
      </c>
      <c r="O262" s="261">
        <v>455</v>
      </c>
      <c r="P262" s="5">
        <f t="shared" si="99"/>
        <v>161059.35006890984</v>
      </c>
      <c r="Q262" s="270">
        <f t="shared" si="100"/>
        <v>216285.75709779179</v>
      </c>
      <c r="R262" s="56">
        <f t="shared" si="101"/>
        <v>55226.407028881949</v>
      </c>
    </row>
    <row r="263" spans="1:18" x14ac:dyDescent="0.25">
      <c r="A263" s="260">
        <v>290</v>
      </c>
      <c r="O263" s="261">
        <v>460</v>
      </c>
      <c r="P263" s="5">
        <f t="shared" si="99"/>
        <v>162488.93999640702</v>
      </c>
      <c r="Q263" s="270">
        <f t="shared" si="100"/>
        <v>218662.523659306</v>
      </c>
      <c r="R263" s="56">
        <f t="shared" si="101"/>
        <v>56173.583662898978</v>
      </c>
    </row>
    <row r="264" spans="1:18" x14ac:dyDescent="0.25">
      <c r="A264" s="260">
        <v>295</v>
      </c>
      <c r="O264" s="261">
        <v>465</v>
      </c>
      <c r="P264" s="5">
        <f t="shared" si="99"/>
        <v>163918.52992390419</v>
      </c>
      <c r="Q264" s="270">
        <f t="shared" si="100"/>
        <v>221039.2902208202</v>
      </c>
      <c r="R264" s="56">
        <f t="shared" si="101"/>
        <v>57120.760296916007</v>
      </c>
    </row>
    <row r="265" spans="1:18" x14ac:dyDescent="0.25">
      <c r="A265" s="260">
        <v>300</v>
      </c>
      <c r="O265" s="261">
        <v>470</v>
      </c>
      <c r="P265" s="5">
        <f t="shared" si="99"/>
        <v>165348.1198514014</v>
      </c>
      <c r="Q265" s="270">
        <f t="shared" si="100"/>
        <v>223416.0567823344</v>
      </c>
      <c r="R265" s="56">
        <f t="shared" si="101"/>
        <v>58067.936930933007</v>
      </c>
    </row>
    <row r="266" spans="1:18" x14ac:dyDescent="0.25">
      <c r="A266" s="260">
        <v>305</v>
      </c>
      <c r="O266" s="261">
        <v>475</v>
      </c>
      <c r="P266" s="5">
        <f t="shared" si="99"/>
        <v>166777.70977889857</v>
      </c>
      <c r="Q266" s="270">
        <f t="shared" si="100"/>
        <v>225792.82334384858</v>
      </c>
      <c r="R266" s="56">
        <f t="shared" si="101"/>
        <v>59015.113564950007</v>
      </c>
    </row>
    <row r="267" spans="1:18" x14ac:dyDescent="0.25">
      <c r="A267" s="260">
        <v>310</v>
      </c>
      <c r="O267" s="261">
        <v>480</v>
      </c>
      <c r="P267" s="5">
        <f t="shared" si="99"/>
        <v>168207.29970639574</v>
      </c>
      <c r="Q267" s="270">
        <f t="shared" si="100"/>
        <v>228169.58990536278</v>
      </c>
      <c r="R267" s="56">
        <f t="shared" si="101"/>
        <v>59962.290198967035</v>
      </c>
    </row>
    <row r="268" spans="1:18" x14ac:dyDescent="0.25">
      <c r="A268" s="260">
        <v>315</v>
      </c>
      <c r="O268" s="261">
        <v>485</v>
      </c>
      <c r="P268" s="5">
        <f t="shared" si="99"/>
        <v>169636.88963389292</v>
      </c>
      <c r="Q268" s="270">
        <f t="shared" si="100"/>
        <v>230546.35646687698</v>
      </c>
      <c r="R268" s="56">
        <f t="shared" si="101"/>
        <v>60909.466832984064</v>
      </c>
    </row>
    <row r="269" spans="1:18" x14ac:dyDescent="0.25">
      <c r="A269" s="260">
        <v>320</v>
      </c>
      <c r="O269" s="261">
        <v>490</v>
      </c>
      <c r="P269" s="5">
        <f t="shared" si="99"/>
        <v>171066.47956139009</v>
      </c>
      <c r="Q269" s="270">
        <f t="shared" si="100"/>
        <v>232923.12302839119</v>
      </c>
      <c r="R269" s="56">
        <f t="shared" si="101"/>
        <v>61856.643467001093</v>
      </c>
    </row>
    <row r="270" spans="1:18" x14ac:dyDescent="0.25">
      <c r="A270" s="260">
        <v>325</v>
      </c>
      <c r="O270" s="261">
        <v>495</v>
      </c>
      <c r="P270" s="5">
        <f t="shared" si="99"/>
        <v>172496.06948888727</v>
      </c>
      <c r="Q270" s="270">
        <f t="shared" si="100"/>
        <v>235299.88958990536</v>
      </c>
      <c r="R270" s="56">
        <f t="shared" si="101"/>
        <v>62803.820101018093</v>
      </c>
    </row>
    <row r="271" spans="1:18" x14ac:dyDescent="0.25">
      <c r="A271" s="260">
        <v>330</v>
      </c>
      <c r="O271" s="261">
        <v>500</v>
      </c>
      <c r="P271" s="5">
        <f t="shared" si="99"/>
        <v>173925.65941638444</v>
      </c>
      <c r="Q271" s="270">
        <f t="shared" si="100"/>
        <v>237676.65615141956</v>
      </c>
      <c r="R271" s="56">
        <f t="shared" si="101"/>
        <v>63750.996735035122</v>
      </c>
    </row>
    <row r="272" spans="1:18" ht="16.5" thickBot="1" x14ac:dyDescent="0.3">
      <c r="A272" s="260">
        <v>335</v>
      </c>
      <c r="O272" s="262"/>
      <c r="P272" s="263"/>
      <c r="Q272" s="264"/>
      <c r="R272" s="265"/>
    </row>
    <row r="273" spans="1:1" x14ac:dyDescent="0.25">
      <c r="A273" s="260">
        <v>340</v>
      </c>
    </row>
    <row r="274" spans="1:1" x14ac:dyDescent="0.25">
      <c r="A274" s="260">
        <v>345</v>
      </c>
    </row>
    <row r="275" spans="1:1" x14ac:dyDescent="0.25">
      <c r="A275" s="260">
        <v>350</v>
      </c>
    </row>
    <row r="276" spans="1:1" x14ac:dyDescent="0.25">
      <c r="A276" s="260">
        <v>355</v>
      </c>
    </row>
    <row r="277" spans="1:1" x14ac:dyDescent="0.25">
      <c r="A277" s="260">
        <v>360</v>
      </c>
    </row>
    <row r="278" spans="1:1" x14ac:dyDescent="0.25">
      <c r="A278" s="260">
        <v>365</v>
      </c>
    </row>
    <row r="279" spans="1:1" x14ac:dyDescent="0.25">
      <c r="A279" s="260">
        <v>370</v>
      </c>
    </row>
    <row r="280" spans="1:1" x14ac:dyDescent="0.25">
      <c r="A280" s="260">
        <v>375</v>
      </c>
    </row>
    <row r="281" spans="1:1" x14ac:dyDescent="0.25">
      <c r="A281" s="260">
        <v>380</v>
      </c>
    </row>
    <row r="282" spans="1:1" x14ac:dyDescent="0.25">
      <c r="A282" s="260">
        <v>385</v>
      </c>
    </row>
    <row r="283" spans="1:1" x14ac:dyDescent="0.25">
      <c r="A283" s="260">
        <v>390</v>
      </c>
    </row>
    <row r="284" spans="1:1" x14ac:dyDescent="0.25">
      <c r="A284" s="260">
        <v>395</v>
      </c>
    </row>
    <row r="285" spans="1:1" x14ac:dyDescent="0.25">
      <c r="A285" s="260">
        <v>400</v>
      </c>
    </row>
    <row r="286" spans="1:1" x14ac:dyDescent="0.25">
      <c r="A286" s="260">
        <v>405</v>
      </c>
    </row>
    <row r="287" spans="1:1" x14ac:dyDescent="0.25">
      <c r="A287" s="260">
        <v>410</v>
      </c>
    </row>
    <row r="288" spans="1:1" x14ac:dyDescent="0.25">
      <c r="A288" s="260">
        <v>415</v>
      </c>
    </row>
    <row r="289" spans="1:1" x14ac:dyDescent="0.25">
      <c r="A289" s="260">
        <v>420</v>
      </c>
    </row>
    <row r="290" spans="1:1" x14ac:dyDescent="0.25">
      <c r="A290" s="260">
        <v>425</v>
      </c>
    </row>
    <row r="291" spans="1:1" x14ac:dyDescent="0.25">
      <c r="A291" s="260">
        <v>430</v>
      </c>
    </row>
    <row r="292" spans="1:1" x14ac:dyDescent="0.25">
      <c r="A292" s="260">
        <v>435</v>
      </c>
    </row>
    <row r="293" spans="1:1" x14ac:dyDescent="0.25">
      <c r="A293" s="260">
        <v>440</v>
      </c>
    </row>
    <row r="294" spans="1:1" x14ac:dyDescent="0.25">
      <c r="A294" s="260">
        <v>445</v>
      </c>
    </row>
    <row r="295" spans="1:1" x14ac:dyDescent="0.25">
      <c r="A295" s="260">
        <v>450</v>
      </c>
    </row>
    <row r="296" spans="1:1" x14ac:dyDescent="0.25">
      <c r="A296" s="260">
        <v>455</v>
      </c>
    </row>
    <row r="297" spans="1:1" x14ac:dyDescent="0.25">
      <c r="A297" s="260">
        <v>460</v>
      </c>
    </row>
    <row r="298" spans="1:1" x14ac:dyDescent="0.25">
      <c r="A298" s="260">
        <v>465</v>
      </c>
    </row>
    <row r="299" spans="1:1" x14ac:dyDescent="0.25">
      <c r="A299" s="260">
        <v>470</v>
      </c>
    </row>
    <row r="300" spans="1:1" x14ac:dyDescent="0.25">
      <c r="A300" s="260">
        <v>475</v>
      </c>
    </row>
    <row r="301" spans="1:1" x14ac:dyDescent="0.25">
      <c r="A301" s="260">
        <v>480</v>
      </c>
    </row>
    <row r="302" spans="1:1" x14ac:dyDescent="0.25">
      <c r="A302" s="260">
        <v>485</v>
      </c>
    </row>
    <row r="303" spans="1:1" x14ac:dyDescent="0.25">
      <c r="A303" s="260">
        <v>490</v>
      </c>
    </row>
    <row r="304" spans="1:1" x14ac:dyDescent="0.25">
      <c r="A304" s="260">
        <v>495</v>
      </c>
    </row>
    <row r="305" spans="1:1" x14ac:dyDescent="0.25">
      <c r="A305" s="260">
        <v>500</v>
      </c>
    </row>
  </sheetData>
  <sheetProtection selectLockedCells="1"/>
  <protectedRanges>
    <protectedRange algorithmName="SHA-512" hashValue="4JV879fsajUdJmWD2oA3Kv7fijDg7upzgAsMBCq+voODYfWm+XCEnDUlT/UA99wQ3dJSpLAZuePRu9PvPUoWfQ==" saltValue="lFG6bHMMuTuwTq9RfgCOmA==" spinCount="100000" sqref="AA36:AA40 A19:B21 D19:H21 A22:H24 D25:H28 A25:B28 A8:H18 A29:H162" name="Aralık1"/>
  </protectedRanges>
  <autoFilter ref="B7:X181" xr:uid="{00000000-0001-0000-0200-000000000000}"/>
  <mergeCells count="2">
    <mergeCell ref="AK63:AL63"/>
    <mergeCell ref="AG38:AH38"/>
  </mergeCells>
  <phoneticPr fontId="28" type="noConversion"/>
  <conditionalFormatting sqref="F7:F170 G173 F174:F177 K178 F179:F1048576 K181">
    <cfRule type="cellIs" dxfId="15" priority="8" operator="between">
      <formula>"Trendyol"</formula>
      <formula>"Trendsyol"</formula>
    </cfRule>
    <cfRule type="cellIs" dxfId="14" priority="9" operator="between">
      <formula>"Getir Yemek"</formula>
      <formula>"Getir Yemek"</formula>
    </cfRule>
    <cfRule type="cellIs" dxfId="13" priority="10" operator="between">
      <formula>"YemekSepeti"</formula>
      <formula>"YemekSepeti"</formula>
    </cfRule>
    <cfRule type="cellIs" dxfId="12" priority="11" operator="between">
      <formula>"Restoran Satış"</formula>
      <formula>"Restoran Satış"</formula>
    </cfRule>
  </conditionalFormatting>
  <conditionalFormatting sqref="J171:K171">
    <cfRule type="cellIs" dxfId="11" priority="4" operator="between">
      <formula>"Trendyol"</formula>
      <formula>"Trendsyol"</formula>
    </cfRule>
    <cfRule type="cellIs" dxfId="10" priority="5" operator="between">
      <formula>"Getir Yemek"</formula>
      <formula>"Getir Yemek"</formula>
    </cfRule>
    <cfRule type="cellIs" dxfId="9" priority="6" operator="between">
      <formula>"YemekSepeti"</formula>
      <formula>"YemekSepeti"</formula>
    </cfRule>
    <cfRule type="cellIs" dxfId="8" priority="7" operator="between">
      <formula>"Restoran Satış"</formula>
      <formula>"Restoran Satış"</formula>
    </cfRule>
  </conditionalFormatting>
  <conditionalFormatting sqref="W8:W162">
    <cfRule type="colorScale" priority="5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25" right="0.25" top="0.75" bottom="0.75" header="0.3" footer="0.3"/>
  <pageSetup paperSize="166" scale="5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4A3D-0B93-43E0-B901-D85E399E93E7}">
  <dimension ref="A1:D31"/>
  <sheetViews>
    <sheetView workbookViewId="0">
      <selection activeCell="D31" sqref="D31"/>
    </sheetView>
  </sheetViews>
  <sheetFormatPr defaultRowHeight="15.75" x14ac:dyDescent="0.25"/>
  <cols>
    <col min="2" max="2" width="11.625" bestFit="1" customWidth="1"/>
    <col min="3" max="3" width="20.625" bestFit="1" customWidth="1"/>
  </cols>
  <sheetData>
    <row r="1" spans="1:4" x14ac:dyDescent="0.25">
      <c r="A1" t="s">
        <v>387</v>
      </c>
      <c r="B1" t="s">
        <v>389</v>
      </c>
      <c r="C1" t="s">
        <v>390</v>
      </c>
      <c r="D1" t="s">
        <v>388</v>
      </c>
    </row>
    <row r="5" spans="1:4" x14ac:dyDescent="0.25">
      <c r="A5" s="164">
        <v>45812</v>
      </c>
      <c r="B5" s="241">
        <f>data!H166</f>
        <v>143670</v>
      </c>
      <c r="C5" s="241">
        <f>data!H167</f>
        <v>7017</v>
      </c>
      <c r="D5">
        <f>data!H164</f>
        <v>-21087.409999999771</v>
      </c>
    </row>
    <row r="31" spans="2:4" x14ac:dyDescent="0.25">
      <c r="B31">
        <f>SUM(B2:B30)</f>
        <v>143670</v>
      </c>
      <c r="C31">
        <f>SUM(C2:C30)</f>
        <v>7017</v>
      </c>
      <c r="D31">
        <f>SUM(D2:D30)</f>
        <v>-21087.409999999771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ayfa4"/>
  <dimension ref="A1:L27"/>
  <sheetViews>
    <sheetView zoomScale="130" zoomScaleNormal="130" workbookViewId="0">
      <selection activeCell="B27" sqref="B27"/>
    </sheetView>
  </sheetViews>
  <sheetFormatPr defaultRowHeight="15.75" x14ac:dyDescent="0.25"/>
  <cols>
    <col min="1" max="1" width="21.25" bestFit="1" customWidth="1"/>
    <col min="2" max="2" width="59.875" bestFit="1" customWidth="1"/>
    <col min="4" max="5" width="9.125" bestFit="1" customWidth="1"/>
    <col min="6" max="6" width="14" customWidth="1"/>
    <col min="7" max="7" width="12.75" customWidth="1"/>
    <col min="8" max="8" width="8.75" customWidth="1"/>
    <col min="9" max="9" width="28.25" bestFit="1" customWidth="1"/>
    <col min="12" max="12" width="11.75" bestFit="1" customWidth="1"/>
  </cols>
  <sheetData>
    <row r="1" spans="1:8" ht="24" x14ac:dyDescent="0.25">
      <c r="A1" s="21" t="s">
        <v>42</v>
      </c>
      <c r="B1" s="21" t="s">
        <v>43</v>
      </c>
      <c r="C1" s="21" t="s">
        <v>44</v>
      </c>
      <c r="D1" s="21" t="s">
        <v>45</v>
      </c>
      <c r="E1" s="21" t="s">
        <v>4</v>
      </c>
      <c r="F1" s="21" t="s">
        <v>46</v>
      </c>
      <c r="G1" s="30"/>
    </row>
    <row r="2" spans="1:8" x14ac:dyDescent="0.25">
      <c r="A2" s="22" t="s">
        <v>47</v>
      </c>
      <c r="B2" s="22" t="s">
        <v>75</v>
      </c>
      <c r="C2" s="23" t="s">
        <v>16</v>
      </c>
      <c r="D2" s="24">
        <v>1</v>
      </c>
      <c r="E2" s="25"/>
      <c r="F2" s="25">
        <v>70000</v>
      </c>
      <c r="G2" s="30"/>
    </row>
    <row r="3" spans="1:8" x14ac:dyDescent="0.25">
      <c r="A3" s="22" t="s">
        <v>48</v>
      </c>
      <c r="B3" s="22" t="s">
        <v>263</v>
      </c>
      <c r="C3" s="23">
        <v>35000</v>
      </c>
      <c r="D3" s="24"/>
      <c r="E3" s="25"/>
      <c r="F3" s="283">
        <f>SUM(C3:C8)</f>
        <v>204000</v>
      </c>
      <c r="G3" s="30"/>
    </row>
    <row r="4" spans="1:8" x14ac:dyDescent="0.25">
      <c r="A4" s="4"/>
      <c r="B4" s="22" t="s">
        <v>264</v>
      </c>
      <c r="C4" s="23">
        <v>34000</v>
      </c>
      <c r="D4" s="24"/>
      <c r="E4" s="25"/>
      <c r="F4" s="283"/>
      <c r="G4" s="30"/>
    </row>
    <row r="5" spans="1:8" x14ac:dyDescent="0.25">
      <c r="A5" s="4"/>
      <c r="B5" s="22" t="s">
        <v>283</v>
      </c>
      <c r="C5" s="23">
        <v>32000</v>
      </c>
      <c r="D5" s="24"/>
      <c r="E5" s="25"/>
      <c r="F5" s="283"/>
      <c r="G5" s="30"/>
    </row>
    <row r="6" spans="1:8" x14ac:dyDescent="0.25">
      <c r="A6" s="4"/>
      <c r="B6" s="22" t="s">
        <v>284</v>
      </c>
      <c r="C6" s="23">
        <v>32000</v>
      </c>
      <c r="D6" s="24"/>
      <c r="E6" s="25"/>
      <c r="F6" s="283"/>
      <c r="G6" s="30"/>
    </row>
    <row r="7" spans="1:8" x14ac:dyDescent="0.25">
      <c r="A7" s="4"/>
      <c r="B7" s="22" t="s">
        <v>265</v>
      </c>
      <c r="C7" s="23">
        <v>37000</v>
      </c>
      <c r="D7" s="24"/>
      <c r="E7" s="25"/>
      <c r="F7" s="283"/>
      <c r="G7" s="30"/>
    </row>
    <row r="8" spans="1:8" x14ac:dyDescent="0.25">
      <c r="A8" s="4"/>
      <c r="B8" s="22" t="s">
        <v>266</v>
      </c>
      <c r="C8" s="23">
        <v>34000</v>
      </c>
      <c r="D8" s="24"/>
      <c r="E8" s="25"/>
      <c r="F8" s="284"/>
      <c r="G8" s="30"/>
    </row>
    <row r="9" spans="1:8" x14ac:dyDescent="0.25">
      <c r="A9" s="26" t="s">
        <v>49</v>
      </c>
      <c r="B9" s="26" t="s">
        <v>195</v>
      </c>
      <c r="C9" s="23" t="s">
        <v>16</v>
      </c>
      <c r="D9" s="27">
        <v>1</v>
      </c>
      <c r="E9" s="28"/>
      <c r="F9" s="28">
        <v>20000</v>
      </c>
      <c r="G9" s="30"/>
    </row>
    <row r="10" spans="1:8" x14ac:dyDescent="0.25">
      <c r="A10" s="26" t="s">
        <v>50</v>
      </c>
      <c r="B10" s="26" t="s">
        <v>56</v>
      </c>
      <c r="C10" s="23" t="s">
        <v>16</v>
      </c>
      <c r="D10" s="27"/>
      <c r="E10" s="28"/>
      <c r="F10" s="28">
        <v>5000</v>
      </c>
      <c r="G10" s="30"/>
    </row>
    <row r="11" spans="1:8" x14ac:dyDescent="0.25">
      <c r="A11" s="29" t="s">
        <v>51</v>
      </c>
      <c r="B11" s="29" t="s">
        <v>52</v>
      </c>
      <c r="C11" s="52" t="s">
        <v>16</v>
      </c>
      <c r="D11" s="29">
        <v>1</v>
      </c>
      <c r="E11" s="29"/>
      <c r="F11" s="25">
        <v>85000</v>
      </c>
      <c r="G11" s="30"/>
    </row>
    <row r="12" spans="1:8" ht="31.5" x14ac:dyDescent="0.25">
      <c r="A12" s="52" t="s">
        <v>208</v>
      </c>
      <c r="B12" s="184" t="s">
        <v>300</v>
      </c>
      <c r="C12" s="52"/>
      <c r="D12" s="29"/>
      <c r="E12" s="29"/>
      <c r="F12" s="25">
        <v>200000</v>
      </c>
      <c r="G12" s="30"/>
      <c r="H12">
        <v>70000</v>
      </c>
    </row>
    <row r="13" spans="1:8" x14ac:dyDescent="0.25">
      <c r="A13" s="29" t="s">
        <v>53</v>
      </c>
      <c r="B13" s="29" t="s">
        <v>54</v>
      </c>
      <c r="C13" s="52" t="s">
        <v>16</v>
      </c>
      <c r="D13" s="29">
        <v>1</v>
      </c>
      <c r="E13" s="29"/>
      <c r="F13" s="25">
        <v>200000</v>
      </c>
      <c r="G13" s="30"/>
      <c r="H13">
        <v>30000</v>
      </c>
    </row>
    <row r="14" spans="1:8" x14ac:dyDescent="0.25">
      <c r="A14" s="29" t="s">
        <v>143</v>
      </c>
      <c r="B14" s="29" t="s">
        <v>144</v>
      </c>
      <c r="C14" s="52"/>
      <c r="D14" s="29"/>
      <c r="E14" s="29"/>
      <c r="F14" s="25">
        <v>20000</v>
      </c>
      <c r="G14" s="30"/>
      <c r="H14">
        <v>20000</v>
      </c>
    </row>
    <row r="15" spans="1:8" x14ac:dyDescent="0.25">
      <c r="A15" s="29" t="s">
        <v>193</v>
      </c>
      <c r="B15" s="29" t="s">
        <v>194</v>
      </c>
      <c r="C15" s="52"/>
      <c r="D15" s="29"/>
      <c r="E15" s="29"/>
      <c r="F15" s="25">
        <v>50000</v>
      </c>
      <c r="G15" s="30"/>
    </row>
    <row r="16" spans="1:8" x14ac:dyDescent="0.25">
      <c r="A16" s="29" t="s">
        <v>145</v>
      </c>
      <c r="B16" s="29" t="s">
        <v>146</v>
      </c>
      <c r="C16" s="52"/>
      <c r="D16" s="29"/>
      <c r="E16" s="29"/>
      <c r="F16" s="25">
        <v>20000</v>
      </c>
      <c r="G16" s="30"/>
    </row>
    <row r="17" spans="1:12" x14ac:dyDescent="0.25">
      <c r="A17" s="29" t="s">
        <v>159</v>
      </c>
      <c r="B17" s="29" t="s">
        <v>147</v>
      </c>
      <c r="C17" s="52"/>
      <c r="D17" s="29"/>
      <c r="E17" s="29"/>
      <c r="F17" s="25">
        <v>15000</v>
      </c>
      <c r="G17" s="30"/>
    </row>
    <row r="18" spans="1:12" x14ac:dyDescent="0.25">
      <c r="A18" s="29" t="s">
        <v>55</v>
      </c>
      <c r="B18" s="29" t="s">
        <v>299</v>
      </c>
      <c r="C18" s="29"/>
      <c r="D18" s="29"/>
      <c r="E18" s="29"/>
      <c r="F18" s="25">
        <v>40000</v>
      </c>
      <c r="G18" s="30"/>
      <c r="I18" s="42" t="s">
        <v>118</v>
      </c>
      <c r="L18" t="s">
        <v>204</v>
      </c>
    </row>
    <row r="19" spans="1:12" x14ac:dyDescent="0.25">
      <c r="A19" s="30"/>
      <c r="B19" s="30"/>
      <c r="C19" s="30"/>
      <c r="D19" s="30"/>
      <c r="E19" s="30"/>
      <c r="F19" s="31">
        <f>SUM(F2:F18)</f>
        <v>929000</v>
      </c>
      <c r="G19" s="30">
        <f>data!AB62</f>
        <v>317</v>
      </c>
      <c r="H19">
        <v>30</v>
      </c>
      <c r="I19" s="65">
        <f>F19/G19/H19</f>
        <v>97.686645636172443</v>
      </c>
      <c r="L19" t="e">
        <f>'Ürün Maliyeti1'!#REF!</f>
        <v>#REF!</v>
      </c>
    </row>
    <row r="20" spans="1:12" x14ac:dyDescent="0.25">
      <c r="A20" s="30"/>
      <c r="B20" s="30"/>
      <c r="C20" s="30"/>
      <c r="D20" s="30"/>
      <c r="E20" s="62"/>
      <c r="F20" s="62">
        <f>F19/H19</f>
        <v>30966.666666666668</v>
      </c>
      <c r="G20" s="30"/>
      <c r="I20" s="2"/>
      <c r="L20" t="s">
        <v>205</v>
      </c>
    </row>
    <row r="21" spans="1:12" x14ac:dyDescent="0.25">
      <c r="A21" s="30"/>
      <c r="B21" s="30"/>
      <c r="C21" s="30"/>
      <c r="D21" s="30"/>
      <c r="E21" s="30"/>
      <c r="F21" s="62"/>
      <c r="G21" s="62"/>
      <c r="H21" s="2"/>
    </row>
    <row r="22" spans="1:12" x14ac:dyDescent="0.25">
      <c r="A22" s="30"/>
      <c r="B22" s="30"/>
      <c r="C22" s="30"/>
      <c r="D22" s="30"/>
      <c r="E22" s="30"/>
      <c r="F22" s="30"/>
      <c r="G22" s="30"/>
    </row>
    <row r="23" spans="1:12" x14ac:dyDescent="0.25">
      <c r="F23" t="s">
        <v>141</v>
      </c>
      <c r="H23" t="s">
        <v>203</v>
      </c>
    </row>
    <row r="24" spans="1:12" x14ac:dyDescent="0.25">
      <c r="F24" s="3">
        <f>I19+'servis maliyeti'!H7+'paketleme maliyeti'!F9</f>
        <v>200.21961266913951</v>
      </c>
      <c r="G24">
        <f>'Ürün Maliyeti1'!G13</f>
        <v>117.16666666666667</v>
      </c>
      <c r="H24" s="2">
        <f>F24+G24</f>
        <v>317.38627933580619</v>
      </c>
      <c r="I24" s="2"/>
    </row>
    <row r="25" spans="1:12" x14ac:dyDescent="0.25">
      <c r="A25" t="s">
        <v>381</v>
      </c>
      <c r="B25" s="2">
        <f>F20+'servis maliyeti'!F5+'günlük genel gider maliyeti'!F8+'paketleme maliyeti'!F13+data!I163+data!J163</f>
        <v>130138.13916888888</v>
      </c>
      <c r="F25" s="2">
        <f>F24*G19</f>
        <v>63469.617216117222</v>
      </c>
    </row>
    <row r="26" spans="1:12" x14ac:dyDescent="0.25">
      <c r="A26" t="s">
        <v>382</v>
      </c>
      <c r="B26" s="241">
        <f>data!H165</f>
        <v>150687</v>
      </c>
    </row>
    <row r="27" spans="1:12" x14ac:dyDescent="0.25">
      <c r="A27" t="s">
        <v>383</v>
      </c>
      <c r="B27" s="2">
        <f>B26-B25</f>
        <v>20548.860831111117</v>
      </c>
    </row>
  </sheetData>
  <mergeCells count="1">
    <mergeCell ref="F3:F8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ayfa5"/>
  <dimension ref="A1:I14"/>
  <sheetViews>
    <sheetView workbookViewId="0">
      <selection activeCell="E19" sqref="E19"/>
    </sheetView>
  </sheetViews>
  <sheetFormatPr defaultRowHeight="15.75" x14ac:dyDescent="0.25"/>
  <cols>
    <col min="1" max="1" width="17.875" customWidth="1"/>
    <col min="2" max="2" width="25.5" customWidth="1"/>
    <col min="5" max="5" width="10.25" bestFit="1" customWidth="1"/>
    <col min="6" max="6" width="12.375" bestFit="1" customWidth="1"/>
    <col min="7" max="7" width="10.75" bestFit="1" customWidth="1"/>
    <col min="8" max="8" width="11.25" customWidth="1"/>
    <col min="13" max="13" width="26.25" bestFit="1" customWidth="1"/>
  </cols>
  <sheetData>
    <row r="1" spans="1:9" ht="24" x14ac:dyDescent="0.25">
      <c r="A1" s="21" t="s">
        <v>42</v>
      </c>
      <c r="B1" s="21" t="s">
        <v>43</v>
      </c>
      <c r="C1" s="21" t="s">
        <v>44</v>
      </c>
      <c r="D1" s="21" t="s">
        <v>45</v>
      </c>
      <c r="E1" s="21" t="s">
        <v>4</v>
      </c>
      <c r="F1" s="21" t="s">
        <v>46</v>
      </c>
      <c r="G1" s="21" t="s">
        <v>83</v>
      </c>
      <c r="H1" s="21" t="s">
        <v>84</v>
      </c>
    </row>
    <row r="2" spans="1:9" x14ac:dyDescent="0.25">
      <c r="A2" s="32" t="s">
        <v>39</v>
      </c>
      <c r="B2" s="32" t="s">
        <v>71</v>
      </c>
      <c r="C2" s="33" t="s">
        <v>16</v>
      </c>
      <c r="D2" s="34"/>
      <c r="E2" s="35"/>
      <c r="F2" s="35">
        <f>'[1]04.06'!$G$17</f>
        <v>19910.000000000004</v>
      </c>
      <c r="G2" s="238">
        <f>data!$AB$62-data!AI43</f>
        <v>273</v>
      </c>
      <c r="H2" s="38">
        <f t="shared" ref="H2:H4" si="0">F2/G2</f>
        <v>72.930402930402948</v>
      </c>
    </row>
    <row r="3" spans="1:9" x14ac:dyDescent="0.25">
      <c r="A3" s="32" t="s">
        <v>267</v>
      </c>
      <c r="B3" s="32"/>
      <c r="C3" s="33" t="s">
        <v>268</v>
      </c>
      <c r="D3" s="34"/>
      <c r="E3" s="35"/>
      <c r="F3" s="35">
        <f>'[1]04.06'!$H$17</f>
        <v>3000</v>
      </c>
      <c r="G3" s="238">
        <f>data!$AB$62-data!AI43</f>
        <v>273</v>
      </c>
      <c r="H3" s="38">
        <f t="shared" si="0"/>
        <v>10.989010989010989</v>
      </c>
    </row>
    <row r="4" spans="1:9" x14ac:dyDescent="0.25">
      <c r="A4" s="32" t="s">
        <v>40</v>
      </c>
      <c r="B4" s="32" t="s">
        <v>72</v>
      </c>
      <c r="C4" s="33" t="s">
        <v>16</v>
      </c>
      <c r="D4" s="34"/>
      <c r="E4" s="35"/>
      <c r="F4" s="35">
        <f>'[1]04.06'!$I$17</f>
        <v>850</v>
      </c>
      <c r="G4" s="238">
        <f>data!$AB$62-data!AI43</f>
        <v>273</v>
      </c>
      <c r="H4" s="38">
        <f t="shared" si="0"/>
        <v>3.1135531135531136</v>
      </c>
    </row>
    <row r="5" spans="1:9" x14ac:dyDescent="0.25">
      <c r="F5" s="2">
        <f>SUM(F2:F4)</f>
        <v>23760.000000000004</v>
      </c>
    </row>
    <row r="6" spans="1:9" x14ac:dyDescent="0.25">
      <c r="G6" s="285" t="s">
        <v>119</v>
      </c>
      <c r="H6" s="285"/>
      <c r="I6" s="285"/>
    </row>
    <row r="7" spans="1:9" x14ac:dyDescent="0.25">
      <c r="G7" s="42"/>
      <c r="H7" s="45">
        <f>SUM(H2:H4)</f>
        <v>87.032967032967051</v>
      </c>
      <c r="I7" s="42"/>
    </row>
    <row r="9" spans="1:9" ht="16.5" x14ac:dyDescent="0.3">
      <c r="A9" s="57"/>
      <c r="B9" s="57"/>
      <c r="C9" s="58"/>
      <c r="D9" s="42"/>
      <c r="E9" s="42"/>
      <c r="F9" s="63"/>
      <c r="G9" s="59"/>
      <c r="H9" s="43"/>
    </row>
    <row r="12" spans="1:9" x14ac:dyDescent="0.25">
      <c r="F12" s="67"/>
    </row>
    <row r="13" spans="1:9" x14ac:dyDescent="0.25">
      <c r="F13" s="67"/>
    </row>
    <row r="14" spans="1:9" x14ac:dyDescent="0.25">
      <c r="F14">
        <v>111</v>
      </c>
    </row>
  </sheetData>
  <mergeCells count="1">
    <mergeCell ref="G6:I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9350-034C-44E5-BAAF-6EA5599A334A}">
  <dimension ref="A1:I10"/>
  <sheetViews>
    <sheetView workbookViewId="0">
      <selection activeCell="F8" sqref="F8"/>
    </sheetView>
  </sheetViews>
  <sheetFormatPr defaultRowHeight="15.75" x14ac:dyDescent="0.25"/>
  <cols>
    <col min="1" max="1" width="17.875" customWidth="1"/>
    <col min="2" max="2" width="25.5" customWidth="1"/>
    <col min="5" max="5" width="10.25" bestFit="1" customWidth="1"/>
    <col min="6" max="6" width="12.375" bestFit="1" customWidth="1"/>
    <col min="7" max="7" width="10.75" bestFit="1" customWidth="1"/>
    <col min="8" max="8" width="11.25" customWidth="1"/>
    <col min="13" max="13" width="26.25" bestFit="1" customWidth="1"/>
  </cols>
  <sheetData>
    <row r="1" spans="1:9" ht="24" x14ac:dyDescent="0.25">
      <c r="A1" s="21" t="s">
        <v>42</v>
      </c>
      <c r="B1" s="21" t="s">
        <v>43</v>
      </c>
      <c r="C1" s="21" t="s">
        <v>44</v>
      </c>
      <c r="D1" s="21" t="s">
        <v>45</v>
      </c>
      <c r="E1" s="21" t="s">
        <v>4</v>
      </c>
      <c r="F1" s="21" t="s">
        <v>46</v>
      </c>
      <c r="G1" s="21" t="s">
        <v>83</v>
      </c>
      <c r="H1" s="21" t="s">
        <v>84</v>
      </c>
    </row>
    <row r="2" spans="1:9" x14ac:dyDescent="0.25">
      <c r="A2" s="32"/>
      <c r="B2" s="32" t="s">
        <v>201</v>
      </c>
      <c r="C2" s="33"/>
      <c r="D2" s="34"/>
      <c r="E2" s="36">
        <v>54500</v>
      </c>
      <c r="F2">
        <f>E2*0.1</f>
        <v>5450</v>
      </c>
      <c r="G2" s="238">
        <f>data!$AB$62</f>
        <v>317</v>
      </c>
      <c r="H2" s="38">
        <f t="shared" ref="H2:H7" si="0">F2/G2</f>
        <v>17.19242902208202</v>
      </c>
    </row>
    <row r="3" spans="1:9" x14ac:dyDescent="0.25">
      <c r="A3" s="32" t="s">
        <v>302</v>
      </c>
      <c r="B3" s="32" t="s">
        <v>303</v>
      </c>
      <c r="C3" s="33"/>
      <c r="D3" s="34"/>
      <c r="E3" s="36">
        <v>30410</v>
      </c>
      <c r="F3">
        <f>E3*0.027</f>
        <v>821.06999999999994</v>
      </c>
      <c r="G3" s="238">
        <f>data!$AB$62</f>
        <v>317</v>
      </c>
      <c r="H3" s="38">
        <f t="shared" si="0"/>
        <v>2.5901261829652995</v>
      </c>
    </row>
    <row r="4" spans="1:9" x14ac:dyDescent="0.25">
      <c r="A4" s="32"/>
      <c r="B4" s="32" t="s">
        <v>327</v>
      </c>
      <c r="C4" s="33"/>
      <c r="D4" s="34"/>
      <c r="E4" s="35"/>
      <c r="F4" s="35">
        <v>0</v>
      </c>
      <c r="G4" s="238">
        <f>data!$AB$62</f>
        <v>317</v>
      </c>
      <c r="H4" s="38">
        <f t="shared" si="0"/>
        <v>0</v>
      </c>
    </row>
    <row r="5" spans="1:9" x14ac:dyDescent="0.25">
      <c r="A5" s="32"/>
      <c r="B5" s="32" t="s">
        <v>367</v>
      </c>
      <c r="C5" s="33"/>
      <c r="D5" s="34"/>
      <c r="E5" s="35"/>
      <c r="F5" s="35">
        <f>'[1]04.06'!$E$23</f>
        <v>800</v>
      </c>
      <c r="G5" s="238">
        <f>data!$AB$62</f>
        <v>317</v>
      </c>
      <c r="H5" s="38">
        <f t="shared" si="0"/>
        <v>2.5236593059936907</v>
      </c>
    </row>
    <row r="6" spans="1:9" x14ac:dyDescent="0.25">
      <c r="A6" s="32"/>
      <c r="B6" s="32" t="s">
        <v>326</v>
      </c>
      <c r="C6" s="33"/>
      <c r="D6" s="34"/>
      <c r="E6" s="35"/>
      <c r="F6" s="35">
        <f>'[1]04.06'!$E$24</f>
        <v>390</v>
      </c>
      <c r="G6" s="238">
        <f>data!$AB$62</f>
        <v>317</v>
      </c>
      <c r="H6" s="38">
        <f t="shared" si="0"/>
        <v>1.2302839116719242</v>
      </c>
    </row>
    <row r="7" spans="1:9" x14ac:dyDescent="0.25">
      <c r="A7" s="32"/>
      <c r="B7" s="32" t="s">
        <v>311</v>
      </c>
      <c r="C7" s="33"/>
      <c r="D7" s="34"/>
      <c r="E7" s="35"/>
      <c r="F7" s="35">
        <f>'[1]04.06'!$E$25</f>
        <v>700</v>
      </c>
      <c r="G7" s="238">
        <f>data!$AB$62</f>
        <v>317</v>
      </c>
      <c r="H7" s="38">
        <f t="shared" si="0"/>
        <v>2.2082018927444795</v>
      </c>
    </row>
    <row r="8" spans="1:9" x14ac:dyDescent="0.25">
      <c r="F8">
        <f>SUM(F2:F7)</f>
        <v>8161.07</v>
      </c>
    </row>
    <row r="9" spans="1:9" x14ac:dyDescent="0.25">
      <c r="F9" s="285" t="s">
        <v>368</v>
      </c>
      <c r="G9" s="285"/>
      <c r="H9" s="285"/>
      <c r="I9" s="285"/>
    </row>
    <row r="10" spans="1:9" x14ac:dyDescent="0.25">
      <c r="G10" s="42"/>
      <c r="H10" s="45">
        <f>SUM(H2:H7)</f>
        <v>25.744700315457415</v>
      </c>
      <c r="I10" s="42"/>
    </row>
  </sheetData>
  <mergeCells count="1">
    <mergeCell ref="F9:I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ayfa6"/>
  <dimension ref="A1:G13"/>
  <sheetViews>
    <sheetView workbookViewId="0">
      <selection activeCell="F14" sqref="F14"/>
    </sheetView>
  </sheetViews>
  <sheetFormatPr defaultRowHeight="15.75" x14ac:dyDescent="0.25"/>
  <cols>
    <col min="1" max="1" width="18.625" customWidth="1"/>
    <col min="2" max="2" width="17.375" bestFit="1" customWidth="1"/>
    <col min="5" max="5" width="9.875" bestFit="1" customWidth="1"/>
    <col min="9" max="9" width="5.75" customWidth="1"/>
  </cols>
  <sheetData>
    <row r="1" spans="1:7" x14ac:dyDescent="0.25">
      <c r="A1" s="286" t="s">
        <v>41</v>
      </c>
      <c r="B1" s="286"/>
      <c r="C1" s="286"/>
      <c r="D1" s="286"/>
      <c r="E1" s="286"/>
      <c r="F1" s="286"/>
    </row>
    <row r="2" spans="1:7" x14ac:dyDescent="0.25">
      <c r="A2" s="17" t="s">
        <v>31</v>
      </c>
      <c r="B2" s="17" t="s">
        <v>32</v>
      </c>
      <c r="C2" s="18" t="s">
        <v>16</v>
      </c>
      <c r="D2" s="44">
        <v>1</v>
      </c>
      <c r="E2" s="19">
        <v>1.5</v>
      </c>
      <c r="F2" s="19">
        <f>D2*E2</f>
        <v>1.5</v>
      </c>
    </row>
    <row r="3" spans="1:7" x14ac:dyDescent="0.25">
      <c r="A3" s="17" t="s">
        <v>262</v>
      </c>
      <c r="B3" s="17" t="s">
        <v>262</v>
      </c>
      <c r="C3" s="18" t="s">
        <v>26</v>
      </c>
      <c r="D3" s="44">
        <v>1</v>
      </c>
      <c r="E3" s="19">
        <v>2.5</v>
      </c>
      <c r="F3" s="19">
        <v>2</v>
      </c>
    </row>
    <row r="4" spans="1:7" x14ac:dyDescent="0.25">
      <c r="A4" s="17" t="s">
        <v>33</v>
      </c>
      <c r="B4" s="17" t="s">
        <v>34</v>
      </c>
      <c r="C4" s="18" t="s">
        <v>16</v>
      </c>
      <c r="D4" s="44">
        <v>1</v>
      </c>
      <c r="E4" s="19">
        <v>8</v>
      </c>
      <c r="F4" s="19">
        <f>E4</f>
        <v>8</v>
      </c>
    </row>
    <row r="5" spans="1:7" x14ac:dyDescent="0.25">
      <c r="A5" s="17" t="s">
        <v>35</v>
      </c>
      <c r="B5" s="17" t="s">
        <v>36</v>
      </c>
      <c r="C5" s="18" t="s">
        <v>16</v>
      </c>
      <c r="D5" s="44">
        <v>1</v>
      </c>
      <c r="E5" s="19">
        <v>1.5</v>
      </c>
      <c r="F5" s="19">
        <f>D5*E5</f>
        <v>1.5</v>
      </c>
    </row>
    <row r="6" spans="1:7" x14ac:dyDescent="0.25">
      <c r="A6" s="17" t="s">
        <v>37</v>
      </c>
      <c r="B6" s="17" t="s">
        <v>37</v>
      </c>
      <c r="C6" s="18" t="s">
        <v>16</v>
      </c>
      <c r="D6" s="44">
        <v>1</v>
      </c>
      <c r="E6" s="19">
        <v>2.5</v>
      </c>
      <c r="F6" s="19">
        <f>D6*E6</f>
        <v>2.5</v>
      </c>
    </row>
    <row r="8" spans="1:7" x14ac:dyDescent="0.25">
      <c r="D8" s="285" t="s">
        <v>120</v>
      </c>
      <c r="E8" s="285"/>
      <c r="F8" s="285"/>
      <c r="G8" s="285"/>
    </row>
    <row r="9" spans="1:7" x14ac:dyDescent="0.25">
      <c r="F9" s="45">
        <f>SUM(F2:F6)</f>
        <v>15.5</v>
      </c>
    </row>
    <row r="13" spans="1:7" x14ac:dyDescent="0.25">
      <c r="F13" s="2">
        <f>F9*'günlük genel gider maliyeti'!G7</f>
        <v>4913.5</v>
      </c>
    </row>
  </sheetData>
  <mergeCells count="2">
    <mergeCell ref="A1:F1"/>
    <mergeCell ref="D8:G8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96B3-225D-4FA2-8EA6-7837438E8DFF}">
  <sheetPr>
    <pageSetUpPr fitToPage="1"/>
  </sheetPr>
  <dimension ref="A1:AD10791"/>
  <sheetViews>
    <sheetView zoomScale="70" zoomScaleNormal="70" workbookViewId="0">
      <pane ySplit="12" topLeftCell="A13" activePane="bottomLeft" state="frozen"/>
      <selection pane="bottomLeft" activeCell="F10" sqref="F10"/>
    </sheetView>
  </sheetViews>
  <sheetFormatPr defaultRowHeight="15.75" x14ac:dyDescent="0.25"/>
  <cols>
    <col min="1" max="1" width="16.5" style="254" customWidth="1"/>
    <col min="2" max="2" width="16" style="131" customWidth="1"/>
    <col min="3" max="3" width="27.75" style="131" customWidth="1"/>
    <col min="4" max="4" width="11.875" style="131" customWidth="1"/>
    <col min="5" max="5" width="13.5" style="130" customWidth="1"/>
    <col min="6" max="6" width="22.375" style="131" bestFit="1" customWidth="1"/>
    <col min="7" max="7" width="15.25" style="247" bestFit="1" customWidth="1"/>
    <col min="8" max="8" width="18.25" style="247" customWidth="1"/>
    <col min="9" max="9" width="15.875" style="247" customWidth="1"/>
    <col min="10" max="10" width="27.375" style="247" customWidth="1"/>
    <col min="11" max="11" width="27" style="247" bestFit="1" customWidth="1"/>
    <col min="12" max="12" width="13.625" style="247" customWidth="1"/>
    <col min="13" max="13" width="15.75" style="247" customWidth="1"/>
    <col min="14" max="14" width="14.375" style="249" bestFit="1" customWidth="1"/>
    <col min="15" max="15" width="12.75" style="250" bestFit="1" customWidth="1"/>
    <col min="16" max="16" width="18.75" style="249" bestFit="1" customWidth="1"/>
    <col min="17" max="17" width="13.625" style="249" bestFit="1" customWidth="1"/>
    <col min="18" max="18" width="17.625" style="249" bestFit="1" customWidth="1"/>
    <col min="19" max="19" width="14.5" style="250" bestFit="1" customWidth="1"/>
    <col min="20" max="20" width="13" style="247" bestFit="1" customWidth="1"/>
    <col min="21" max="21" width="11.75" style="247" bestFit="1" customWidth="1"/>
    <col min="22" max="22" width="12" style="255" customWidth="1"/>
    <col min="23" max="23" width="36" style="247" bestFit="1" customWidth="1"/>
    <col min="24" max="24" width="13.5" style="131" customWidth="1"/>
    <col min="25" max="25" width="11.75" bestFit="1" customWidth="1"/>
    <col min="26" max="26" width="24" customWidth="1"/>
  </cols>
  <sheetData>
    <row r="1" spans="1:24" ht="63" x14ac:dyDescent="0.25">
      <c r="A1" s="144" t="s">
        <v>239</v>
      </c>
      <c r="B1" s="131" t="s">
        <v>82</v>
      </c>
      <c r="C1" s="133" t="s">
        <v>0</v>
      </c>
      <c r="D1" s="131" t="s">
        <v>1</v>
      </c>
      <c r="E1" s="130" t="s">
        <v>2</v>
      </c>
      <c r="F1" s="151" t="s">
        <v>3</v>
      </c>
      <c r="G1" s="134" t="s">
        <v>234</v>
      </c>
      <c r="H1" s="134" t="s">
        <v>14</v>
      </c>
      <c r="I1" s="152" t="s">
        <v>329</v>
      </c>
      <c r="J1" s="134" t="s">
        <v>330</v>
      </c>
      <c r="K1" s="134" t="s">
        <v>331</v>
      </c>
      <c r="L1" s="134" t="s">
        <v>332</v>
      </c>
      <c r="M1" s="134" t="s">
        <v>333</v>
      </c>
      <c r="N1" s="137" t="s">
        <v>310</v>
      </c>
      <c r="O1" s="147" t="s">
        <v>305</v>
      </c>
      <c r="P1" s="137" t="s">
        <v>306</v>
      </c>
      <c r="Q1" s="137" t="s">
        <v>307</v>
      </c>
      <c r="R1" s="137" t="s">
        <v>308</v>
      </c>
      <c r="S1" s="140" t="s">
        <v>309</v>
      </c>
      <c r="T1" s="244" t="s">
        <v>369</v>
      </c>
      <c r="U1" s="5" t="s">
        <v>214</v>
      </c>
      <c r="V1" s="5" t="s">
        <v>215</v>
      </c>
      <c r="W1" s="135" t="s">
        <v>220</v>
      </c>
      <c r="X1" t="s">
        <v>221</v>
      </c>
    </row>
    <row r="2" spans="1:24" ht="18.75" x14ac:dyDescent="0.25">
      <c r="A2" s="143"/>
      <c r="B2" s="60"/>
      <c r="C2" s="132" t="s">
        <v>328</v>
      </c>
      <c r="D2" s="159">
        <f>SUMIF($B$13:$B$1048576,"burger",D13:D1048576)</f>
        <v>946</v>
      </c>
      <c r="E2" s="47"/>
      <c r="F2"/>
      <c r="G2" s="1"/>
      <c r="H2" s="159">
        <f>SUMIF($B$13:$B$1048576,"burger",H13:H1048576)</f>
        <v>488266.34000000136</v>
      </c>
      <c r="I2" s="159">
        <f>SUMIF($B$13:$B$1048576,"burger",I13:I1048576)</f>
        <v>47799.752160000011</v>
      </c>
      <c r="J2" s="159">
        <f>SUMIF($B$13:$B$1048576,"burger",J13:J1048576)</f>
        <v>131093.63333333304</v>
      </c>
      <c r="K2" s="159">
        <f>SUMIF($B$13:$B$10331,"burger",K13:K1048576)</f>
        <v>92900.000000000102</v>
      </c>
      <c r="L2" s="159">
        <f>SUMIF($B$13:$B$1048576,"burger",L13:L1048576)</f>
        <v>76399.506282941482</v>
      </c>
      <c r="M2" s="159">
        <f>SUMIF($B$13:$B$1048576,"burger",M13:M1048576)</f>
        <v>13206</v>
      </c>
      <c r="N2" s="159">
        <f>SUMIF($B$13:$B$1048576,"burger",O13:O1048576)</f>
        <v>21389.35788</v>
      </c>
      <c r="O2" s="159">
        <f>SUMIF($B$13:$B$1048576,"burger",P13:P1048576)</f>
        <v>56573.861111111029</v>
      </c>
      <c r="P2" s="159">
        <f>SUMIF($B$13:$B$1048576,"burger",Q13:Q1048576)</f>
        <v>37881.533659823472</v>
      </c>
      <c r="Q2" s="159">
        <f>SUMIF($B$13:$B$1048576,"burger",R13:R1048576)</f>
        <v>31634.413316185157</v>
      </c>
      <c r="R2" s="159">
        <f>SUMIF($B$13:$B$1048576,"burger",S13:S1048576)</f>
        <v>5456</v>
      </c>
      <c r="S2" s="159">
        <f>SUMIF($B$13:$B$1048576,"burger",S13:S1048576)</f>
        <v>5456</v>
      </c>
      <c r="T2" s="159">
        <f>SUMIF($B$13:$B$1048576,"burger",T13:T1048576)</f>
        <v>9031.2488430559115</v>
      </c>
      <c r="U2" s="159">
        <f>SUM(U13:U20294)</f>
        <v>388557.59185627475</v>
      </c>
      <c r="V2" s="159">
        <f>SUM(W13:W20294)</f>
        <v>51331.644347238762</v>
      </c>
      <c r="W2" s="149">
        <f>AVERAGE(X13:X10553)</f>
        <v>7043.4725825206751</v>
      </c>
      <c r="X2" s="149"/>
    </row>
    <row r="3" spans="1:24" x14ac:dyDescent="0.25">
      <c r="A3" s="143"/>
      <c r="B3" s="218"/>
      <c r="C3" s="219"/>
      <c r="D3" s="143"/>
      <c r="E3" s="218"/>
      <c r="F3" s="219"/>
      <c r="G3" s="143"/>
      <c r="H3" s="218"/>
      <c r="I3" s="219"/>
      <c r="J3" s="143"/>
      <c r="K3" s="218"/>
      <c r="L3" s="219"/>
      <c r="M3" s="60"/>
      <c r="N3" s="139"/>
      <c r="O3" s="142"/>
      <c r="P3" s="139"/>
      <c r="Q3" s="139"/>
      <c r="R3" s="139"/>
      <c r="S3" s="142"/>
      <c r="T3" s="248"/>
      <c r="U3" s="3"/>
      <c r="V3" s="3"/>
      <c r="W3" s="128"/>
      <c r="X3" s="218">
        <v>45770</v>
      </c>
    </row>
    <row r="4" spans="1:24" x14ac:dyDescent="0.25">
      <c r="A4" s="143"/>
      <c r="B4" s="60"/>
      <c r="C4" s="132"/>
      <c r="D4" s="60"/>
      <c r="E4" s="47"/>
      <c r="F4" s="60"/>
      <c r="G4" s="60"/>
      <c r="H4" s="60"/>
      <c r="I4" s="60"/>
      <c r="J4" s="60"/>
      <c r="K4" s="60"/>
      <c r="L4" s="60"/>
      <c r="M4" s="60"/>
      <c r="N4" s="139"/>
      <c r="O4" s="142"/>
      <c r="P4" s="139"/>
      <c r="Q4" s="139"/>
      <c r="R4" s="139"/>
      <c r="S4" s="142"/>
      <c r="T4" s="3"/>
      <c r="U4" s="3"/>
      <c r="V4" s="128"/>
      <c r="W4"/>
      <c r="X4"/>
    </row>
    <row r="5" spans="1:24" ht="23.25" customHeight="1" thickBot="1" x14ac:dyDescent="0.4">
      <c r="A5" s="287" t="s">
        <v>334</v>
      </c>
      <c r="B5" s="287"/>
      <c r="C5" s="287"/>
      <c r="D5" s="287"/>
      <c r="E5" s="287"/>
      <c r="F5" s="287"/>
      <c r="G5" s="287"/>
      <c r="H5" s="287"/>
      <c r="I5" s="287"/>
      <c r="J5" s="287"/>
      <c r="K5" s="287"/>
      <c r="L5" s="287"/>
      <c r="M5" s="60"/>
      <c r="N5" s="139"/>
      <c r="O5" s="142"/>
      <c r="P5" s="139"/>
      <c r="Q5" s="139"/>
      <c r="R5" s="139"/>
      <c r="S5" s="142"/>
      <c r="T5" s="3"/>
      <c r="U5" s="3"/>
      <c r="V5" s="128"/>
      <c r="W5"/>
      <c r="X5"/>
    </row>
    <row r="6" spans="1:24" ht="60" customHeight="1" thickBot="1" x14ac:dyDescent="0.3">
      <c r="A6" s="208" t="s">
        <v>322</v>
      </c>
      <c r="B6" s="208" t="s">
        <v>315</v>
      </c>
      <c r="C6" s="209" t="s">
        <v>269</v>
      </c>
      <c r="D6" s="208" t="s">
        <v>316</v>
      </c>
      <c r="E6" s="208" t="s">
        <v>317</v>
      </c>
      <c r="F6" s="208" t="s">
        <v>319</v>
      </c>
      <c r="G6" s="211" t="s">
        <v>337</v>
      </c>
      <c r="H6" s="211" t="s">
        <v>325</v>
      </c>
      <c r="I6" s="212" t="s">
        <v>336</v>
      </c>
      <c r="J6" s="213" t="s">
        <v>391</v>
      </c>
      <c r="K6" s="214" t="s">
        <v>278</v>
      </c>
      <c r="L6" s="222" t="s">
        <v>323</v>
      </c>
      <c r="M6" s="211" t="s">
        <v>338</v>
      </c>
      <c r="N6" s="220" t="s">
        <v>339</v>
      </c>
      <c r="O6" s="142"/>
      <c r="P6" s="139"/>
      <c r="Q6" s="139"/>
      <c r="R6" s="139"/>
      <c r="S6" s="142"/>
      <c r="T6" s="3"/>
      <c r="U6" s="3"/>
      <c r="V6" s="128"/>
      <c r="W6"/>
      <c r="X6"/>
    </row>
    <row r="7" spans="1:24" s="205" customFormat="1" ht="30.75" customHeight="1" thickBot="1" x14ac:dyDescent="0.4">
      <c r="A7" s="210">
        <f>J2/L7</f>
        <v>138.57677942212794</v>
      </c>
      <c r="B7" s="210">
        <f>K2/L7</f>
        <v>98.202959830866916</v>
      </c>
      <c r="C7" s="210">
        <f>L2/L7</f>
        <v>80.760577466111499</v>
      </c>
      <c r="D7" s="210">
        <f>M2/L7</f>
        <v>13.959830866807611</v>
      </c>
      <c r="E7" s="210">
        <f>I2/L7</f>
        <v>50.528279238900645</v>
      </c>
      <c r="F7" s="210">
        <f>SUM(A7:E7)</f>
        <v>382.02842682481469</v>
      </c>
      <c r="G7" s="215">
        <f>L7*F7</f>
        <v>361398.89177627472</v>
      </c>
      <c r="H7" s="215">
        <f>H2</f>
        <v>488266.34000000136</v>
      </c>
      <c r="I7" s="216">
        <f>Ciro!D31</f>
        <v>-21087.409999999771</v>
      </c>
      <c r="J7" s="215">
        <f>H7+I7</f>
        <v>467178.93000000156</v>
      </c>
      <c r="K7" s="217">
        <f>J7-G7</f>
        <v>105780.03822372685</v>
      </c>
      <c r="L7" s="223">
        <f>SUMIF(B13:B1048576,"BURGER",D13:D1048576)</f>
        <v>946</v>
      </c>
      <c r="M7" s="215">
        <f>U2-K7</f>
        <v>282777.5536325479</v>
      </c>
      <c r="N7" s="221">
        <f>K7+M7</f>
        <v>388557.59185627475</v>
      </c>
      <c r="O7" s="202">
        <f>'[2]01.04'!$C$31</f>
        <v>0</v>
      </c>
      <c r="P7" s="201"/>
      <c r="Q7" s="201"/>
      <c r="R7" s="201"/>
      <c r="S7" s="202"/>
      <c r="T7" s="203"/>
      <c r="U7" s="203"/>
      <c r="V7" s="204"/>
    </row>
    <row r="8" spans="1:24" s="205" customFormat="1" ht="30.75" customHeight="1" thickBot="1" x14ac:dyDescent="0.4">
      <c r="A8" s="288" t="s">
        <v>335</v>
      </c>
      <c r="B8" s="288"/>
      <c r="C8" s="288"/>
      <c r="D8" s="288"/>
      <c r="E8" s="288"/>
      <c r="F8" s="288"/>
      <c r="G8" s="288"/>
      <c r="H8" s="288"/>
      <c r="I8" s="288"/>
      <c r="J8" s="288"/>
      <c r="K8" s="288"/>
      <c r="L8" s="288"/>
      <c r="M8" s="200"/>
      <c r="N8" s="201"/>
      <c r="O8" s="202"/>
      <c r="P8" s="201"/>
      <c r="Q8" s="201"/>
      <c r="R8" s="201"/>
      <c r="S8" s="202"/>
      <c r="T8" s="203"/>
      <c r="U8" s="203"/>
      <c r="V8" s="204"/>
    </row>
    <row r="9" spans="1:24" s="205" customFormat="1" ht="52.5" customHeight="1" thickBot="1" x14ac:dyDescent="0.4">
      <c r="A9" s="192" t="s">
        <v>322</v>
      </c>
      <c r="B9" s="192" t="s">
        <v>315</v>
      </c>
      <c r="C9" s="193" t="s">
        <v>269</v>
      </c>
      <c r="D9" s="192" t="s">
        <v>316</v>
      </c>
      <c r="E9" s="192" t="s">
        <v>317</v>
      </c>
      <c r="F9" s="192" t="s">
        <v>319</v>
      </c>
      <c r="H9" s="192" t="s">
        <v>318</v>
      </c>
      <c r="I9" s="192" t="s">
        <v>320</v>
      </c>
      <c r="J9" s="195" t="s">
        <v>321</v>
      </c>
      <c r="K9" s="193" t="s">
        <v>277</v>
      </c>
      <c r="L9" s="194" t="s">
        <v>278</v>
      </c>
      <c r="M9" s="191" t="s">
        <v>323</v>
      </c>
      <c r="N9" s="206" t="s">
        <v>324</v>
      </c>
      <c r="O9" s="202"/>
      <c r="P9" s="201"/>
      <c r="Q9" s="201"/>
      <c r="R9" s="201"/>
      <c r="S9" s="202"/>
      <c r="T9" s="203"/>
      <c r="U9" s="203"/>
      <c r="V9" s="204"/>
    </row>
    <row r="10" spans="1:24" s="205" customFormat="1" ht="30.75" customHeight="1" thickBot="1" x14ac:dyDescent="0.4">
      <c r="A10" s="196" t="e">
        <f ca="1">SUMIFS(J13:J1048576,$B$13:$B$1048576,"burger",$A$13:$A$1048576,$N$10)/$M$10</f>
        <v>#DIV/0!</v>
      </c>
      <c r="B10" s="196" t="e">
        <f ca="1">SUMIFS(K13:K1048576,$B$13:$B$1048576,"burger",$A$13:$A$1048576,$N$10)/$M$10</f>
        <v>#DIV/0!</v>
      </c>
      <c r="C10" s="196" t="e">
        <f ca="1">SUMIFS(L13:L1048576,$B$13:$B$1048576,"burger",$A$13:$A$1048576,$N$10)/$M$10</f>
        <v>#DIV/0!</v>
      </c>
      <c r="D10" s="196" t="e">
        <f ca="1">SUMIFS(M13:M1048576,$B$13:$B$1048576,"burger",$A$13:$A$1048576,$N$10)/$M$10</f>
        <v>#DIV/0!</v>
      </c>
      <c r="E10" s="196" t="e">
        <f ca="1">SUMIFS(I13:I1048576,$B$13:$B$1048576,"burger",$A$13:$A$1048576,$N$10)/$M$10</f>
        <v>#DIV/0!</v>
      </c>
      <c r="F10" s="196" t="e">
        <f ca="1">SUM(A10:E10)</f>
        <v>#DIV/0!</v>
      </c>
      <c r="H10" s="196" t="e">
        <f ca="1">F10*M10</f>
        <v>#DIV/0!</v>
      </c>
      <c r="I10" s="196">
        <f ca="1">SUMIF(A12:A1048576,N10,H12:H1048576)</f>
        <v>0</v>
      </c>
      <c r="J10" s="197">
        <f>data!H164</f>
        <v>-21087.409999999771</v>
      </c>
      <c r="K10" s="196">
        <f ca="1">I10+J10</f>
        <v>-21087.409999999771</v>
      </c>
      <c r="L10" s="198" t="e">
        <f ca="1">K10-H10</f>
        <v>#DIV/0!</v>
      </c>
      <c r="M10" s="199">
        <f ca="1">SUMIFS(D13:D1048576,B13:B1048576,"burger",A13:A1048576,N10)</f>
        <v>0</v>
      </c>
      <c r="N10" s="207">
        <f ca="1">TODAY()-1</f>
        <v>45846</v>
      </c>
      <c r="O10" s="202"/>
      <c r="P10" s="201"/>
      <c r="Q10" s="201"/>
      <c r="R10" s="201"/>
      <c r="S10" s="202"/>
      <c r="T10" s="203"/>
      <c r="U10" s="203"/>
      <c r="V10" s="204"/>
    </row>
    <row r="11" spans="1:24" x14ac:dyDescent="0.25">
      <c r="A11" s="143"/>
      <c r="B11" s="60"/>
      <c r="C11" s="132"/>
      <c r="D11" s="60"/>
      <c r="E11" s="47"/>
      <c r="F11" s="60"/>
      <c r="G11" s="60"/>
      <c r="H11" s="60"/>
      <c r="I11" s="60"/>
      <c r="J11" s="60"/>
      <c r="K11" s="60"/>
      <c r="L11" s="60"/>
      <c r="M11" s="60"/>
      <c r="N11" s="139"/>
      <c r="O11" s="142"/>
      <c r="P11" s="139"/>
      <c r="Q11" s="139"/>
      <c r="R11" s="139"/>
      <c r="S11" s="142"/>
      <c r="T11" s="3"/>
      <c r="U11" s="3"/>
      <c r="V11" s="128"/>
      <c r="W11"/>
      <c r="X11"/>
    </row>
    <row r="12" spans="1:24" ht="63" x14ac:dyDescent="0.25">
      <c r="A12" s="253" t="s">
        <v>239</v>
      </c>
      <c r="B12" s="131" t="s">
        <v>82</v>
      </c>
      <c r="C12" s="131" t="s">
        <v>0</v>
      </c>
      <c r="D12" s="131" t="s">
        <v>1</v>
      </c>
      <c r="E12" s="130" t="s">
        <v>2</v>
      </c>
      <c r="F12" s="151" t="s">
        <v>3</v>
      </c>
      <c r="G12" s="242" t="s">
        <v>234</v>
      </c>
      <c r="H12" s="242" t="s">
        <v>361</v>
      </c>
      <c r="I12" s="243" t="s">
        <v>235</v>
      </c>
      <c r="J12" s="242" t="s">
        <v>236</v>
      </c>
      <c r="K12" s="242" t="s">
        <v>376</v>
      </c>
      <c r="L12" s="242" t="s">
        <v>237</v>
      </c>
      <c r="M12" s="242" t="s">
        <v>238</v>
      </c>
      <c r="N12" s="242" t="s">
        <v>370</v>
      </c>
      <c r="O12" s="244" t="s">
        <v>310</v>
      </c>
      <c r="P12" s="245" t="s">
        <v>305</v>
      </c>
      <c r="Q12" s="244" t="s">
        <v>306</v>
      </c>
      <c r="R12" s="244" t="s">
        <v>307</v>
      </c>
      <c r="S12" s="244" t="s">
        <v>308</v>
      </c>
      <c r="T12" s="244" t="s">
        <v>369</v>
      </c>
      <c r="U12" s="246" t="s">
        <v>375</v>
      </c>
      <c r="V12" s="247" t="s">
        <v>214</v>
      </c>
      <c r="W12" s="247" t="s">
        <v>215</v>
      </c>
      <c r="X12" s="135" t="s">
        <v>220</v>
      </c>
    </row>
    <row r="13" spans="1:24" x14ac:dyDescent="0.25">
      <c r="A13" s="254">
        <v>45810</v>
      </c>
      <c r="B13" s="131" t="s">
        <v>29</v>
      </c>
      <c r="C13" s="131" t="s">
        <v>231</v>
      </c>
      <c r="D13" s="131">
        <v>6</v>
      </c>
      <c r="E13" s="130">
        <v>100</v>
      </c>
      <c r="F13" s="131" t="s">
        <v>365</v>
      </c>
      <c r="G13" s="247">
        <v>6</v>
      </c>
      <c r="H13" s="247">
        <v>36</v>
      </c>
      <c r="I13" s="247">
        <v>0</v>
      </c>
      <c r="J13" s="247">
        <v>12</v>
      </c>
      <c r="K13" s="247">
        <v>0</v>
      </c>
      <c r="L13" s="247">
        <v>0</v>
      </c>
      <c r="M13" s="247">
        <v>0</v>
      </c>
      <c r="N13" s="249">
        <v>0</v>
      </c>
      <c r="O13" s="250">
        <v>0</v>
      </c>
      <c r="P13" s="249">
        <v>2</v>
      </c>
      <c r="Q13" s="249" t="s">
        <v>380</v>
      </c>
      <c r="R13" s="249" t="s">
        <v>380</v>
      </c>
      <c r="S13" s="250" t="s">
        <v>380</v>
      </c>
      <c r="T13" s="247" t="s">
        <v>380</v>
      </c>
      <c r="U13" s="247">
        <v>12</v>
      </c>
      <c r="V13" s="255">
        <v>24</v>
      </c>
      <c r="W13" s="247">
        <v>4</v>
      </c>
      <c r="X13" s="256">
        <v>0.66666666666666663</v>
      </c>
    </row>
    <row r="14" spans="1:24" x14ac:dyDescent="0.25">
      <c r="A14" s="254">
        <v>45810</v>
      </c>
      <c r="B14" s="131" t="s">
        <v>29</v>
      </c>
      <c r="C14" s="131" t="s">
        <v>206</v>
      </c>
      <c r="D14" s="131">
        <v>2</v>
      </c>
      <c r="E14" s="130">
        <v>100</v>
      </c>
      <c r="F14" s="131" t="s">
        <v>216</v>
      </c>
      <c r="G14" s="247">
        <v>9.9</v>
      </c>
      <c r="H14" s="247">
        <v>19.8</v>
      </c>
      <c r="I14" s="247">
        <v>2.5542000000000002</v>
      </c>
      <c r="J14" s="247">
        <v>4</v>
      </c>
      <c r="K14" s="247">
        <v>0</v>
      </c>
      <c r="L14" s="247">
        <v>0</v>
      </c>
      <c r="M14" s="247">
        <v>0</v>
      </c>
      <c r="N14" s="249">
        <v>0</v>
      </c>
      <c r="O14" s="250">
        <v>1.2771000000000001</v>
      </c>
      <c r="P14" s="249">
        <v>2</v>
      </c>
      <c r="Q14" s="249" t="s">
        <v>380</v>
      </c>
      <c r="R14" s="249" t="s">
        <v>380</v>
      </c>
      <c r="S14" s="250" t="s">
        <v>380</v>
      </c>
      <c r="T14" s="247" t="s">
        <v>380</v>
      </c>
      <c r="U14" s="247">
        <v>6.5541999999999998</v>
      </c>
      <c r="V14" s="255">
        <v>13.245800000000001</v>
      </c>
      <c r="W14" s="247">
        <v>6.6229000000000005</v>
      </c>
      <c r="X14" s="256">
        <v>0.66897979797979801</v>
      </c>
    </row>
    <row r="15" spans="1:24" x14ac:dyDescent="0.25">
      <c r="A15" s="254">
        <v>45810</v>
      </c>
      <c r="B15" s="131" t="s">
        <v>29</v>
      </c>
      <c r="C15" s="131" t="s">
        <v>231</v>
      </c>
      <c r="D15" s="131">
        <v>2</v>
      </c>
      <c r="E15" s="130">
        <v>100</v>
      </c>
      <c r="F15" s="131" t="s">
        <v>216</v>
      </c>
      <c r="G15" s="247">
        <v>9.9</v>
      </c>
      <c r="H15" s="247">
        <v>19.8</v>
      </c>
      <c r="I15" s="247">
        <v>2.5542000000000002</v>
      </c>
      <c r="J15" s="247">
        <v>4</v>
      </c>
      <c r="K15" s="247">
        <v>0</v>
      </c>
      <c r="L15" s="247">
        <v>0</v>
      </c>
      <c r="M15" s="247">
        <v>0</v>
      </c>
      <c r="N15" s="249">
        <v>0</v>
      </c>
      <c r="O15" s="250">
        <v>1.2771000000000001</v>
      </c>
      <c r="P15" s="249">
        <v>2</v>
      </c>
      <c r="Q15" s="249" t="s">
        <v>380</v>
      </c>
      <c r="R15" s="249" t="s">
        <v>380</v>
      </c>
      <c r="S15" s="250" t="s">
        <v>380</v>
      </c>
      <c r="T15" s="247" t="s">
        <v>380</v>
      </c>
      <c r="U15" s="247">
        <v>6.5541999999999998</v>
      </c>
      <c r="V15" s="255">
        <v>13.245800000000001</v>
      </c>
      <c r="W15" s="247">
        <v>6.6229000000000005</v>
      </c>
      <c r="X15" s="256">
        <v>0.66897979797979801</v>
      </c>
    </row>
    <row r="16" spans="1:24" x14ac:dyDescent="0.25">
      <c r="A16" s="254">
        <v>45810</v>
      </c>
      <c r="B16" s="131" t="s">
        <v>29</v>
      </c>
      <c r="C16" s="131" t="s">
        <v>202</v>
      </c>
      <c r="D16" s="131">
        <v>2</v>
      </c>
      <c r="E16" s="130">
        <v>100</v>
      </c>
      <c r="F16" s="131" t="s">
        <v>216</v>
      </c>
      <c r="G16" s="247">
        <v>9.9</v>
      </c>
      <c r="H16" s="247">
        <v>19.8</v>
      </c>
      <c r="I16" s="247">
        <v>2.5542000000000002</v>
      </c>
      <c r="J16" s="247">
        <v>4</v>
      </c>
      <c r="K16" s="247">
        <v>0</v>
      </c>
      <c r="L16" s="247">
        <v>0</v>
      </c>
      <c r="M16" s="247">
        <v>0</v>
      </c>
      <c r="N16" s="249">
        <v>0</v>
      </c>
      <c r="O16" s="250">
        <v>1.2771000000000001</v>
      </c>
      <c r="P16" s="249">
        <v>2</v>
      </c>
      <c r="Q16" s="249" t="s">
        <v>380</v>
      </c>
      <c r="R16" s="249" t="s">
        <v>380</v>
      </c>
      <c r="S16" s="250" t="s">
        <v>380</v>
      </c>
      <c r="T16" s="247" t="s">
        <v>380</v>
      </c>
      <c r="U16" s="247">
        <v>6.5541999999999998</v>
      </c>
      <c r="V16" s="255">
        <v>13.245800000000001</v>
      </c>
      <c r="W16" s="247">
        <v>6.6229000000000005</v>
      </c>
      <c r="X16" s="256">
        <v>0.66897979797979801</v>
      </c>
    </row>
    <row r="17" spans="1:24" x14ac:dyDescent="0.25">
      <c r="A17" s="254">
        <v>45810</v>
      </c>
      <c r="B17" s="131" t="s">
        <v>29</v>
      </c>
      <c r="C17" s="131" t="s">
        <v>207</v>
      </c>
      <c r="D17" s="131">
        <v>2</v>
      </c>
      <c r="E17" s="130">
        <v>100</v>
      </c>
      <c r="F17" s="131" t="s">
        <v>216</v>
      </c>
      <c r="G17" s="247">
        <v>9.9</v>
      </c>
      <c r="H17" s="247">
        <v>19.8</v>
      </c>
      <c r="I17" s="247">
        <v>2.5542000000000002</v>
      </c>
      <c r="J17" s="247">
        <v>4</v>
      </c>
      <c r="K17" s="247">
        <v>0</v>
      </c>
      <c r="L17" s="247">
        <v>0</v>
      </c>
      <c r="M17" s="247">
        <v>0</v>
      </c>
      <c r="N17" s="249">
        <v>0</v>
      </c>
      <c r="O17" s="250">
        <v>1.2771000000000001</v>
      </c>
      <c r="P17" s="249">
        <v>2</v>
      </c>
      <c r="Q17" s="249" t="s">
        <v>380</v>
      </c>
      <c r="R17" s="249" t="s">
        <v>380</v>
      </c>
      <c r="S17" s="250" t="s">
        <v>380</v>
      </c>
      <c r="T17" s="247" t="s">
        <v>380</v>
      </c>
      <c r="U17" s="247">
        <v>6.5541999999999998</v>
      </c>
      <c r="V17" s="255">
        <v>13.245800000000001</v>
      </c>
      <c r="W17" s="247">
        <v>6.6229000000000005</v>
      </c>
      <c r="X17" s="256">
        <v>0.66897979797979801</v>
      </c>
    </row>
    <row r="18" spans="1:24" x14ac:dyDescent="0.25">
      <c r="A18" s="254">
        <v>45810</v>
      </c>
      <c r="B18" s="131" t="s">
        <v>29</v>
      </c>
      <c r="C18" s="131" t="s">
        <v>231</v>
      </c>
      <c r="D18" s="131">
        <v>2</v>
      </c>
      <c r="E18" s="130">
        <v>100</v>
      </c>
      <c r="F18" s="131" t="s">
        <v>341</v>
      </c>
      <c r="G18" s="247">
        <v>10.96</v>
      </c>
      <c r="H18" s="247">
        <v>21.92</v>
      </c>
      <c r="I18" s="247">
        <v>2.8276800000000004</v>
      </c>
      <c r="J18" s="247">
        <v>4</v>
      </c>
      <c r="K18" s="247">
        <v>0</v>
      </c>
      <c r="L18" s="247">
        <v>0</v>
      </c>
      <c r="M18" s="247">
        <v>0</v>
      </c>
      <c r="N18" s="249">
        <v>0</v>
      </c>
      <c r="O18" s="250">
        <v>1.4138400000000002</v>
      </c>
      <c r="P18" s="249">
        <v>2</v>
      </c>
      <c r="Q18" s="249" t="s">
        <v>380</v>
      </c>
      <c r="R18" s="249" t="s">
        <v>380</v>
      </c>
      <c r="S18" s="250" t="s">
        <v>380</v>
      </c>
      <c r="T18" s="247" t="s">
        <v>380</v>
      </c>
      <c r="U18" s="247">
        <v>6.8276800000000009</v>
      </c>
      <c r="V18" s="255">
        <v>15.092320000000001</v>
      </c>
      <c r="W18" s="247">
        <v>7.5461600000000004</v>
      </c>
      <c r="X18" s="256">
        <v>0.68851824817518248</v>
      </c>
    </row>
    <row r="19" spans="1:24" x14ac:dyDescent="0.25">
      <c r="A19" s="254">
        <v>45810</v>
      </c>
      <c r="B19" s="131" t="s">
        <v>29</v>
      </c>
      <c r="C19" s="131" t="s">
        <v>366</v>
      </c>
      <c r="D19" s="131">
        <v>1</v>
      </c>
      <c r="E19" s="130">
        <v>100</v>
      </c>
      <c r="F19" s="131" t="s">
        <v>340</v>
      </c>
      <c r="G19" s="247">
        <v>12.9</v>
      </c>
      <c r="H19" s="247">
        <v>12.9</v>
      </c>
      <c r="I19" s="247">
        <v>1.8962999999999999</v>
      </c>
      <c r="J19" s="247">
        <v>2</v>
      </c>
      <c r="K19" s="247">
        <v>0</v>
      </c>
      <c r="L19" s="247">
        <v>0</v>
      </c>
      <c r="M19" s="247">
        <v>0</v>
      </c>
      <c r="N19" s="249">
        <v>0</v>
      </c>
      <c r="O19" s="250">
        <v>1.8962999999999999</v>
      </c>
      <c r="P19" s="249">
        <v>2</v>
      </c>
      <c r="Q19" s="249" t="s">
        <v>380</v>
      </c>
      <c r="R19" s="249" t="s">
        <v>380</v>
      </c>
      <c r="S19" s="250" t="s">
        <v>380</v>
      </c>
      <c r="T19" s="247" t="s">
        <v>380</v>
      </c>
      <c r="U19" s="247">
        <v>3.8963000000000001</v>
      </c>
      <c r="V19" s="255">
        <v>9.0037000000000003</v>
      </c>
      <c r="W19" s="247">
        <v>9.0037000000000003</v>
      </c>
      <c r="X19" s="256">
        <v>0.69796124031007756</v>
      </c>
    </row>
    <row r="20" spans="1:24" x14ac:dyDescent="0.25">
      <c r="A20" s="254">
        <v>45810</v>
      </c>
      <c r="B20" s="131" t="s">
        <v>29</v>
      </c>
      <c r="C20" s="131" t="s">
        <v>207</v>
      </c>
      <c r="D20" s="131">
        <v>5</v>
      </c>
      <c r="E20" s="130">
        <v>100</v>
      </c>
      <c r="F20" s="131" t="s">
        <v>340</v>
      </c>
      <c r="G20" s="247">
        <v>12.9</v>
      </c>
      <c r="H20" s="247">
        <v>64.5</v>
      </c>
      <c r="I20" s="247">
        <v>9.4814999999999987</v>
      </c>
      <c r="J20" s="247">
        <v>10</v>
      </c>
      <c r="K20" s="247">
        <v>0</v>
      </c>
      <c r="L20" s="247">
        <v>0</v>
      </c>
      <c r="M20" s="247">
        <v>0</v>
      </c>
      <c r="N20" s="249">
        <v>0</v>
      </c>
      <c r="O20" s="250">
        <v>1.8962999999999997</v>
      </c>
      <c r="P20" s="249">
        <v>2</v>
      </c>
      <c r="Q20" s="249" t="s">
        <v>380</v>
      </c>
      <c r="R20" s="249" t="s">
        <v>380</v>
      </c>
      <c r="S20" s="250" t="s">
        <v>380</v>
      </c>
      <c r="T20" s="247" t="s">
        <v>380</v>
      </c>
      <c r="U20" s="247">
        <v>19.481499999999997</v>
      </c>
      <c r="V20" s="255">
        <v>45.018500000000003</v>
      </c>
      <c r="W20" s="247">
        <v>9.0037000000000003</v>
      </c>
      <c r="X20" s="256">
        <v>0.69796124031007767</v>
      </c>
    </row>
    <row r="21" spans="1:24" x14ac:dyDescent="0.25">
      <c r="A21" s="254">
        <v>45810</v>
      </c>
      <c r="B21" s="131" t="s">
        <v>29</v>
      </c>
      <c r="C21" s="131" t="s">
        <v>202</v>
      </c>
      <c r="D21" s="131">
        <v>3</v>
      </c>
      <c r="E21" s="130">
        <v>100</v>
      </c>
      <c r="F21" s="131" t="s">
        <v>340</v>
      </c>
      <c r="G21" s="247">
        <v>12.9</v>
      </c>
      <c r="H21" s="247">
        <v>38.700000000000003</v>
      </c>
      <c r="I21" s="247">
        <v>5.6889000000000003</v>
      </c>
      <c r="J21" s="247">
        <v>6</v>
      </c>
      <c r="K21" s="247">
        <v>0</v>
      </c>
      <c r="L21" s="247">
        <v>0</v>
      </c>
      <c r="M21" s="247">
        <v>0</v>
      </c>
      <c r="N21" s="249">
        <v>0</v>
      </c>
      <c r="O21" s="250">
        <v>1.8963000000000001</v>
      </c>
      <c r="P21" s="249">
        <v>2</v>
      </c>
      <c r="Q21" s="249" t="s">
        <v>380</v>
      </c>
      <c r="R21" s="249" t="s">
        <v>380</v>
      </c>
      <c r="S21" s="250" t="s">
        <v>380</v>
      </c>
      <c r="T21" s="247" t="s">
        <v>380</v>
      </c>
      <c r="U21" s="247">
        <v>11.6889</v>
      </c>
      <c r="V21" s="255">
        <v>27.011100000000003</v>
      </c>
      <c r="W21" s="247">
        <v>9.0037000000000003</v>
      </c>
      <c r="X21" s="256">
        <v>0.69796124031007756</v>
      </c>
    </row>
    <row r="22" spans="1:24" x14ac:dyDescent="0.25">
      <c r="A22" s="254">
        <v>45810</v>
      </c>
      <c r="B22" s="131" t="s">
        <v>29</v>
      </c>
      <c r="C22" s="131" t="s">
        <v>231</v>
      </c>
      <c r="D22" s="131">
        <v>4</v>
      </c>
      <c r="E22" s="130">
        <v>100</v>
      </c>
      <c r="F22" s="131" t="s">
        <v>340</v>
      </c>
      <c r="G22" s="247">
        <v>12.9</v>
      </c>
      <c r="H22" s="247">
        <v>51.6</v>
      </c>
      <c r="I22" s="247">
        <v>7.5851999999999995</v>
      </c>
      <c r="J22" s="247">
        <v>8</v>
      </c>
      <c r="K22" s="247">
        <v>0</v>
      </c>
      <c r="L22" s="247">
        <v>0</v>
      </c>
      <c r="M22" s="247">
        <v>0</v>
      </c>
      <c r="N22" s="249">
        <v>0</v>
      </c>
      <c r="O22" s="250">
        <v>1.8962999999999999</v>
      </c>
      <c r="P22" s="249">
        <v>2</v>
      </c>
      <c r="Q22" s="249" t="s">
        <v>380</v>
      </c>
      <c r="R22" s="249" t="s">
        <v>380</v>
      </c>
      <c r="S22" s="250" t="s">
        <v>380</v>
      </c>
      <c r="T22" s="247" t="s">
        <v>380</v>
      </c>
      <c r="U22" s="247">
        <v>15.5852</v>
      </c>
      <c r="V22" s="255">
        <v>36.014800000000001</v>
      </c>
      <c r="W22" s="247">
        <v>9.0037000000000003</v>
      </c>
      <c r="X22" s="256">
        <v>0.69796124031007756</v>
      </c>
    </row>
    <row r="23" spans="1:24" x14ac:dyDescent="0.25">
      <c r="A23" s="254">
        <v>45810</v>
      </c>
      <c r="B23" s="131" t="s">
        <v>29</v>
      </c>
      <c r="C23" s="131" t="s">
        <v>206</v>
      </c>
      <c r="D23" s="131">
        <v>4</v>
      </c>
      <c r="E23" s="130">
        <v>100</v>
      </c>
      <c r="F23" s="131" t="s">
        <v>340</v>
      </c>
      <c r="G23" s="247">
        <v>12.9</v>
      </c>
      <c r="H23" s="247">
        <v>51.6</v>
      </c>
      <c r="I23" s="247">
        <v>7.5851999999999995</v>
      </c>
      <c r="J23" s="247">
        <v>8</v>
      </c>
      <c r="K23" s="247">
        <v>0</v>
      </c>
      <c r="L23" s="247">
        <v>0</v>
      </c>
      <c r="M23" s="247">
        <v>0</v>
      </c>
      <c r="N23" s="249">
        <v>0</v>
      </c>
      <c r="O23" s="250">
        <v>1.8962999999999999</v>
      </c>
      <c r="P23" s="249">
        <v>2</v>
      </c>
      <c r="Q23" s="249" t="s">
        <v>380</v>
      </c>
      <c r="R23" s="249" t="s">
        <v>380</v>
      </c>
      <c r="S23" s="250" t="s">
        <v>380</v>
      </c>
      <c r="T23" s="247" t="s">
        <v>380</v>
      </c>
      <c r="U23" s="247">
        <v>15.5852</v>
      </c>
      <c r="V23" s="255">
        <v>36.014800000000001</v>
      </c>
      <c r="W23" s="247">
        <v>9.0037000000000003</v>
      </c>
      <c r="X23" s="256">
        <v>0.69796124031007756</v>
      </c>
    </row>
    <row r="24" spans="1:24" x14ac:dyDescent="0.25">
      <c r="A24" s="254">
        <v>45810</v>
      </c>
      <c r="B24" s="131" t="s">
        <v>29</v>
      </c>
      <c r="C24" s="131" t="s">
        <v>287</v>
      </c>
      <c r="D24" s="131">
        <v>1</v>
      </c>
      <c r="E24" s="130">
        <v>100</v>
      </c>
      <c r="F24" s="131" t="s">
        <v>340</v>
      </c>
      <c r="G24" s="247">
        <v>19.899999999999999</v>
      </c>
      <c r="H24" s="247">
        <v>19.899999999999999</v>
      </c>
      <c r="I24" s="247">
        <v>2.9252999999999996</v>
      </c>
      <c r="J24" s="247">
        <v>5</v>
      </c>
      <c r="K24" s="247">
        <v>0</v>
      </c>
      <c r="L24" s="247">
        <v>0</v>
      </c>
      <c r="M24" s="247">
        <v>0</v>
      </c>
      <c r="N24" s="249">
        <v>0</v>
      </c>
      <c r="O24" s="250">
        <v>2.9252999999999996</v>
      </c>
      <c r="P24" s="249">
        <v>5</v>
      </c>
      <c r="Q24" s="249" t="s">
        <v>380</v>
      </c>
      <c r="R24" s="249" t="s">
        <v>380</v>
      </c>
      <c r="S24" s="250" t="s">
        <v>380</v>
      </c>
      <c r="T24" s="247" t="s">
        <v>380</v>
      </c>
      <c r="U24" s="247">
        <v>7.9253</v>
      </c>
      <c r="V24" s="255">
        <v>11.974699999999999</v>
      </c>
      <c r="W24" s="247">
        <v>11.974699999999999</v>
      </c>
      <c r="X24" s="256">
        <v>0.60174371859296483</v>
      </c>
    </row>
    <row r="25" spans="1:24" x14ac:dyDescent="0.25">
      <c r="A25" s="254">
        <v>45810</v>
      </c>
      <c r="B25" s="131" t="s">
        <v>29</v>
      </c>
      <c r="C25" s="131" t="s">
        <v>287</v>
      </c>
      <c r="D25" s="131">
        <v>5</v>
      </c>
      <c r="E25" s="130">
        <v>100</v>
      </c>
      <c r="F25" s="131" t="s">
        <v>216</v>
      </c>
      <c r="G25" s="247">
        <v>19.899999999999999</v>
      </c>
      <c r="H25" s="247">
        <v>99.5</v>
      </c>
      <c r="I25" s="247">
        <v>12.8355</v>
      </c>
      <c r="J25" s="247">
        <v>25</v>
      </c>
      <c r="K25" s="247">
        <v>0</v>
      </c>
      <c r="L25" s="247">
        <v>0</v>
      </c>
      <c r="M25" s="247">
        <v>0</v>
      </c>
      <c r="N25" s="249">
        <v>0</v>
      </c>
      <c r="O25" s="250">
        <v>2.5670999999999999</v>
      </c>
      <c r="P25" s="249">
        <v>5</v>
      </c>
      <c r="Q25" s="249" t="s">
        <v>380</v>
      </c>
      <c r="R25" s="249" t="s">
        <v>380</v>
      </c>
      <c r="S25" s="250" t="s">
        <v>380</v>
      </c>
      <c r="T25" s="247" t="s">
        <v>380</v>
      </c>
      <c r="U25" s="247">
        <v>37.835499999999996</v>
      </c>
      <c r="V25" s="255">
        <v>61.664500000000004</v>
      </c>
      <c r="W25" s="247">
        <v>12.3329</v>
      </c>
      <c r="X25" s="256">
        <v>0.61974371859296484</v>
      </c>
    </row>
    <row r="26" spans="1:24" x14ac:dyDescent="0.25">
      <c r="A26" s="254">
        <v>45810</v>
      </c>
      <c r="B26" s="131" t="s">
        <v>29</v>
      </c>
      <c r="C26" s="131" t="s">
        <v>287</v>
      </c>
      <c r="D26" s="131">
        <v>1</v>
      </c>
      <c r="E26" s="130">
        <v>100</v>
      </c>
      <c r="F26" s="131" t="s">
        <v>365</v>
      </c>
      <c r="G26" s="247">
        <v>22.9</v>
      </c>
      <c r="H26" s="247">
        <v>22.9</v>
      </c>
      <c r="I26" s="247">
        <v>0</v>
      </c>
      <c r="J26" s="247">
        <v>5</v>
      </c>
      <c r="K26" s="247">
        <v>0</v>
      </c>
      <c r="L26" s="247">
        <v>0</v>
      </c>
      <c r="M26" s="247">
        <v>0</v>
      </c>
      <c r="N26" s="249">
        <v>0</v>
      </c>
      <c r="O26" s="250">
        <v>0</v>
      </c>
      <c r="P26" s="249">
        <v>5</v>
      </c>
      <c r="Q26" s="249" t="s">
        <v>380</v>
      </c>
      <c r="R26" s="249" t="s">
        <v>380</v>
      </c>
      <c r="S26" s="250" t="s">
        <v>380</v>
      </c>
      <c r="T26" s="247" t="s">
        <v>380</v>
      </c>
      <c r="U26" s="247">
        <v>5</v>
      </c>
      <c r="V26" s="255">
        <v>17.899999999999999</v>
      </c>
      <c r="W26" s="247">
        <v>17.899999999999999</v>
      </c>
      <c r="X26" s="256">
        <v>0.78165938864628814</v>
      </c>
    </row>
    <row r="27" spans="1:24" x14ac:dyDescent="0.25">
      <c r="A27" s="254">
        <v>45810</v>
      </c>
      <c r="B27" s="131" t="s">
        <v>301</v>
      </c>
      <c r="C27" s="131" t="s">
        <v>8</v>
      </c>
      <c r="D27" s="131">
        <v>1</v>
      </c>
      <c r="E27" s="130">
        <v>100</v>
      </c>
      <c r="F27" s="131" t="s">
        <v>314</v>
      </c>
      <c r="G27" s="247">
        <v>79.900000000000006</v>
      </c>
      <c r="H27" s="247">
        <v>79.900000000000006</v>
      </c>
      <c r="I27" s="247">
        <v>0</v>
      </c>
      <c r="J27" s="247">
        <v>20</v>
      </c>
      <c r="K27" s="247">
        <v>0</v>
      </c>
      <c r="L27" s="247">
        <v>0</v>
      </c>
      <c r="M27" s="247">
        <v>0</v>
      </c>
      <c r="N27" s="249">
        <v>0</v>
      </c>
      <c r="O27" s="250">
        <v>0</v>
      </c>
      <c r="P27" s="249">
        <v>20</v>
      </c>
      <c r="Q27" s="249" t="s">
        <v>380</v>
      </c>
      <c r="R27" s="249" t="s">
        <v>380</v>
      </c>
      <c r="S27" s="250" t="s">
        <v>380</v>
      </c>
      <c r="T27" s="247" t="s">
        <v>380</v>
      </c>
      <c r="U27" s="247">
        <v>20</v>
      </c>
      <c r="V27" s="255">
        <v>59.900000000000006</v>
      </c>
      <c r="W27" s="247">
        <v>59.900000000000006</v>
      </c>
      <c r="X27" s="256">
        <v>0.74968710888610768</v>
      </c>
    </row>
    <row r="28" spans="1:24" x14ac:dyDescent="0.25">
      <c r="A28" s="254">
        <v>45810</v>
      </c>
      <c r="B28" s="131" t="s">
        <v>378</v>
      </c>
      <c r="C28" s="131" t="s">
        <v>233</v>
      </c>
      <c r="D28" s="131">
        <v>2</v>
      </c>
      <c r="E28" s="130">
        <v>100</v>
      </c>
      <c r="F28" s="131" t="s">
        <v>216</v>
      </c>
      <c r="G28" s="247">
        <v>79.900000000000006</v>
      </c>
      <c r="H28" s="247">
        <v>159.80000000000001</v>
      </c>
      <c r="I28" s="247">
        <v>20.6142</v>
      </c>
      <c r="J28" s="247">
        <v>42</v>
      </c>
      <c r="K28" s="247">
        <v>0</v>
      </c>
      <c r="L28" s="247">
        <v>0</v>
      </c>
      <c r="M28" s="247">
        <v>0</v>
      </c>
      <c r="N28" s="249">
        <v>0</v>
      </c>
      <c r="O28" s="250">
        <v>10.3071</v>
      </c>
      <c r="P28" s="249">
        <v>21</v>
      </c>
      <c r="Q28" s="249" t="s">
        <v>380</v>
      </c>
      <c r="R28" s="249" t="s">
        <v>380</v>
      </c>
      <c r="S28" s="250" t="s">
        <v>380</v>
      </c>
      <c r="T28" s="247" t="s">
        <v>380</v>
      </c>
      <c r="U28" s="247">
        <v>62.614199999999997</v>
      </c>
      <c r="V28" s="255">
        <v>97.185800000000015</v>
      </c>
      <c r="W28" s="247">
        <v>48.592900000000007</v>
      </c>
      <c r="X28" s="256">
        <v>0.60817146433041303</v>
      </c>
    </row>
    <row r="29" spans="1:24" x14ac:dyDescent="0.25">
      <c r="A29" s="254">
        <v>45810</v>
      </c>
      <c r="B29" s="131" t="s">
        <v>378</v>
      </c>
      <c r="C29" s="131" t="s">
        <v>233</v>
      </c>
      <c r="D29" s="131">
        <v>1</v>
      </c>
      <c r="E29" s="130">
        <v>100</v>
      </c>
      <c r="F29" s="131" t="s">
        <v>314</v>
      </c>
      <c r="G29" s="247">
        <v>79.900000000000006</v>
      </c>
      <c r="H29" s="247">
        <v>79.900000000000006</v>
      </c>
      <c r="I29" s="247">
        <v>0</v>
      </c>
      <c r="J29" s="247">
        <v>21</v>
      </c>
      <c r="K29" s="247">
        <v>0</v>
      </c>
      <c r="L29" s="247">
        <v>0</v>
      </c>
      <c r="M29" s="247">
        <v>0</v>
      </c>
      <c r="N29" s="249">
        <v>0</v>
      </c>
      <c r="O29" s="250">
        <v>0</v>
      </c>
      <c r="P29" s="249">
        <v>21</v>
      </c>
      <c r="Q29" s="249" t="s">
        <v>380</v>
      </c>
      <c r="R29" s="249" t="s">
        <v>380</v>
      </c>
      <c r="S29" s="250" t="s">
        <v>380</v>
      </c>
      <c r="T29" s="247" t="s">
        <v>380</v>
      </c>
      <c r="U29" s="247">
        <v>21</v>
      </c>
      <c r="V29" s="255">
        <v>58.900000000000006</v>
      </c>
      <c r="W29" s="247">
        <v>58.900000000000006</v>
      </c>
      <c r="X29" s="256">
        <v>0.73717146433041303</v>
      </c>
    </row>
    <row r="30" spans="1:24" x14ac:dyDescent="0.25">
      <c r="A30" s="254">
        <v>45810</v>
      </c>
      <c r="B30" s="131" t="s">
        <v>301</v>
      </c>
      <c r="C30" s="131" t="s">
        <v>8</v>
      </c>
      <c r="D30" s="131">
        <v>1</v>
      </c>
      <c r="E30" s="130">
        <v>100</v>
      </c>
      <c r="F30" s="131" t="s">
        <v>314</v>
      </c>
      <c r="G30" s="247">
        <v>89.9</v>
      </c>
      <c r="H30" s="247">
        <v>89.9</v>
      </c>
      <c r="I30" s="247">
        <v>0</v>
      </c>
      <c r="J30" s="247">
        <v>20</v>
      </c>
      <c r="K30" s="247">
        <v>0</v>
      </c>
      <c r="L30" s="247">
        <v>0</v>
      </c>
      <c r="M30" s="247">
        <v>0</v>
      </c>
      <c r="N30" s="249">
        <v>0</v>
      </c>
      <c r="O30" s="250">
        <v>0</v>
      </c>
      <c r="P30" s="249">
        <v>20</v>
      </c>
      <c r="Q30" s="249" t="s">
        <v>380</v>
      </c>
      <c r="R30" s="249" t="s">
        <v>380</v>
      </c>
      <c r="S30" s="250" t="s">
        <v>380</v>
      </c>
      <c r="T30" s="247" t="s">
        <v>380</v>
      </c>
      <c r="U30" s="247">
        <v>20</v>
      </c>
      <c r="V30" s="255">
        <v>69.900000000000006</v>
      </c>
      <c r="W30" s="247">
        <v>69.900000000000006</v>
      </c>
      <c r="X30" s="256">
        <v>0.77753058954393772</v>
      </c>
    </row>
    <row r="31" spans="1:24" x14ac:dyDescent="0.25">
      <c r="A31" s="254">
        <v>45810</v>
      </c>
      <c r="B31" s="131" t="s">
        <v>301</v>
      </c>
      <c r="C31" s="131" t="s">
        <v>12</v>
      </c>
      <c r="D31" s="131">
        <v>1</v>
      </c>
      <c r="E31" s="130">
        <v>100</v>
      </c>
      <c r="F31" s="131" t="s">
        <v>365</v>
      </c>
      <c r="G31" s="247">
        <v>89.9</v>
      </c>
      <c r="H31" s="247">
        <v>89.9</v>
      </c>
      <c r="I31" s="247">
        <v>0</v>
      </c>
      <c r="J31" s="247">
        <v>12</v>
      </c>
      <c r="K31" s="247">
        <v>0</v>
      </c>
      <c r="L31" s="247">
        <v>0</v>
      </c>
      <c r="M31" s="247">
        <v>0</v>
      </c>
      <c r="N31" s="249">
        <v>0</v>
      </c>
      <c r="O31" s="250">
        <v>0</v>
      </c>
      <c r="P31" s="249">
        <v>12</v>
      </c>
      <c r="Q31" s="249" t="s">
        <v>380</v>
      </c>
      <c r="R31" s="249" t="s">
        <v>380</v>
      </c>
      <c r="S31" s="250" t="s">
        <v>380</v>
      </c>
      <c r="T31" s="247" t="s">
        <v>380</v>
      </c>
      <c r="U31" s="247">
        <v>12</v>
      </c>
      <c r="V31" s="255">
        <v>77.900000000000006</v>
      </c>
      <c r="W31" s="247">
        <v>77.900000000000006</v>
      </c>
      <c r="X31" s="256">
        <v>0.86651835372636266</v>
      </c>
    </row>
    <row r="32" spans="1:24" x14ac:dyDescent="0.25">
      <c r="A32" s="254">
        <v>45810</v>
      </c>
      <c r="B32" s="131" t="s">
        <v>301</v>
      </c>
      <c r="C32" s="131" t="s">
        <v>12</v>
      </c>
      <c r="D32" s="131">
        <v>1</v>
      </c>
      <c r="E32" s="130">
        <v>100</v>
      </c>
      <c r="F32" s="131" t="s">
        <v>314</v>
      </c>
      <c r="G32" s="247">
        <v>89.9</v>
      </c>
      <c r="H32" s="247">
        <v>89.9</v>
      </c>
      <c r="I32" s="247">
        <v>0</v>
      </c>
      <c r="J32" s="247">
        <v>12</v>
      </c>
      <c r="K32" s="247">
        <v>0</v>
      </c>
      <c r="L32" s="247">
        <v>0</v>
      </c>
      <c r="M32" s="247">
        <v>0</v>
      </c>
      <c r="N32" s="249">
        <v>0</v>
      </c>
      <c r="O32" s="250">
        <v>0</v>
      </c>
      <c r="P32" s="249">
        <v>12</v>
      </c>
      <c r="Q32" s="249" t="s">
        <v>380</v>
      </c>
      <c r="R32" s="249" t="s">
        <v>380</v>
      </c>
      <c r="S32" s="250" t="s">
        <v>380</v>
      </c>
      <c r="T32" s="247" t="s">
        <v>380</v>
      </c>
      <c r="U32" s="247">
        <v>12</v>
      </c>
      <c r="V32" s="255">
        <v>77.900000000000006</v>
      </c>
      <c r="W32" s="247">
        <v>77.900000000000006</v>
      </c>
      <c r="X32" s="256">
        <v>0.86651835372636266</v>
      </c>
    </row>
    <row r="33" spans="1:24" x14ac:dyDescent="0.25">
      <c r="A33" s="254">
        <v>45810</v>
      </c>
      <c r="B33" s="131" t="s">
        <v>301</v>
      </c>
      <c r="C33" s="131" t="s">
        <v>12</v>
      </c>
      <c r="D33" s="131">
        <v>2</v>
      </c>
      <c r="E33" s="130">
        <v>100</v>
      </c>
      <c r="F33" s="131" t="s">
        <v>340</v>
      </c>
      <c r="G33" s="247">
        <v>99.9</v>
      </c>
      <c r="H33" s="247">
        <v>199.8</v>
      </c>
      <c r="I33" s="247">
        <v>29.3706</v>
      </c>
      <c r="J33" s="247">
        <v>24</v>
      </c>
      <c r="K33" s="247">
        <v>0</v>
      </c>
      <c r="L33" s="247">
        <v>0</v>
      </c>
      <c r="M33" s="247">
        <v>0</v>
      </c>
      <c r="N33" s="249">
        <v>0</v>
      </c>
      <c r="O33" s="250">
        <v>14.6853</v>
      </c>
      <c r="P33" s="249">
        <v>12</v>
      </c>
      <c r="Q33" s="249" t="s">
        <v>380</v>
      </c>
      <c r="R33" s="249" t="s">
        <v>380</v>
      </c>
      <c r="S33" s="250" t="s">
        <v>380</v>
      </c>
      <c r="T33" s="247" t="s">
        <v>380</v>
      </c>
      <c r="U33" s="247">
        <v>53.370599999999996</v>
      </c>
      <c r="V33" s="255">
        <v>146.42940000000002</v>
      </c>
      <c r="W33" s="247">
        <v>73.214700000000008</v>
      </c>
      <c r="X33" s="256">
        <v>0.7328798798798799</v>
      </c>
    </row>
    <row r="34" spans="1:24" x14ac:dyDescent="0.25">
      <c r="A34" s="254">
        <v>45810</v>
      </c>
      <c r="B34" s="131" t="s">
        <v>301</v>
      </c>
      <c r="C34" s="131" t="s">
        <v>230</v>
      </c>
      <c r="D34" s="131">
        <v>1</v>
      </c>
      <c r="E34" s="130">
        <v>100</v>
      </c>
      <c r="F34" s="131" t="s">
        <v>314</v>
      </c>
      <c r="G34" s="247">
        <v>99.9</v>
      </c>
      <c r="H34" s="247">
        <v>99.9</v>
      </c>
      <c r="I34" s="247">
        <v>0</v>
      </c>
      <c r="J34" s="247">
        <v>32</v>
      </c>
      <c r="K34" s="247">
        <v>0</v>
      </c>
      <c r="L34" s="247">
        <v>0</v>
      </c>
      <c r="M34" s="247">
        <v>0</v>
      </c>
      <c r="N34" s="249">
        <v>0</v>
      </c>
      <c r="O34" s="250">
        <v>0</v>
      </c>
      <c r="P34" s="249">
        <v>32</v>
      </c>
      <c r="Q34" s="249" t="s">
        <v>380</v>
      </c>
      <c r="R34" s="249" t="s">
        <v>380</v>
      </c>
      <c r="S34" s="250" t="s">
        <v>380</v>
      </c>
      <c r="T34" s="247" t="s">
        <v>380</v>
      </c>
      <c r="U34" s="247">
        <v>32</v>
      </c>
      <c r="V34" s="255">
        <v>67.900000000000006</v>
      </c>
      <c r="W34" s="247">
        <v>67.900000000000006</v>
      </c>
      <c r="X34" s="256">
        <v>0.67967967967967968</v>
      </c>
    </row>
    <row r="35" spans="1:24" x14ac:dyDescent="0.25">
      <c r="A35" s="254">
        <v>45810</v>
      </c>
      <c r="B35" s="131" t="s">
        <v>301</v>
      </c>
      <c r="C35" s="131" t="s">
        <v>8</v>
      </c>
      <c r="D35" s="131">
        <v>2</v>
      </c>
      <c r="E35" s="130">
        <v>100</v>
      </c>
      <c r="F35" s="131" t="s">
        <v>216</v>
      </c>
      <c r="G35" s="247">
        <v>99.9</v>
      </c>
      <c r="H35" s="247">
        <v>199.8</v>
      </c>
      <c r="I35" s="247">
        <v>25.7742</v>
      </c>
      <c r="J35" s="247">
        <v>40</v>
      </c>
      <c r="K35" s="247">
        <v>0</v>
      </c>
      <c r="L35" s="247">
        <v>0</v>
      </c>
      <c r="M35" s="247">
        <v>0</v>
      </c>
      <c r="N35" s="249">
        <v>0</v>
      </c>
      <c r="O35" s="250">
        <v>12.8871</v>
      </c>
      <c r="P35" s="249">
        <v>20</v>
      </c>
      <c r="Q35" s="249" t="s">
        <v>380</v>
      </c>
      <c r="R35" s="249" t="s">
        <v>380</v>
      </c>
      <c r="S35" s="250" t="s">
        <v>380</v>
      </c>
      <c r="T35" s="247" t="s">
        <v>380</v>
      </c>
      <c r="U35" s="247">
        <v>65.774200000000008</v>
      </c>
      <c r="V35" s="255">
        <v>134.0258</v>
      </c>
      <c r="W35" s="247">
        <v>67.012900000000002</v>
      </c>
      <c r="X35" s="256">
        <v>0.67079979979979976</v>
      </c>
    </row>
    <row r="36" spans="1:24" x14ac:dyDescent="0.25">
      <c r="A36" s="254">
        <v>45810</v>
      </c>
      <c r="B36" s="131" t="s">
        <v>301</v>
      </c>
      <c r="C36" s="131" t="s">
        <v>12</v>
      </c>
      <c r="D36" s="131">
        <v>1</v>
      </c>
      <c r="E36" s="130">
        <v>100</v>
      </c>
      <c r="F36" s="131" t="s">
        <v>216</v>
      </c>
      <c r="G36" s="247">
        <v>99.9</v>
      </c>
      <c r="H36" s="247">
        <v>99.9</v>
      </c>
      <c r="I36" s="247">
        <v>12.8871</v>
      </c>
      <c r="J36" s="247">
        <v>12</v>
      </c>
      <c r="K36" s="247">
        <v>0</v>
      </c>
      <c r="L36" s="247">
        <v>0</v>
      </c>
      <c r="M36" s="247">
        <v>0</v>
      </c>
      <c r="N36" s="249">
        <v>0</v>
      </c>
      <c r="O36" s="250">
        <v>12.8871</v>
      </c>
      <c r="P36" s="249">
        <v>12</v>
      </c>
      <c r="Q36" s="249" t="s">
        <v>380</v>
      </c>
      <c r="R36" s="249" t="s">
        <v>380</v>
      </c>
      <c r="S36" s="250" t="s">
        <v>380</v>
      </c>
      <c r="T36" s="247" t="s">
        <v>380</v>
      </c>
      <c r="U36" s="247">
        <v>24.8871</v>
      </c>
      <c r="V36" s="255">
        <v>75.012900000000002</v>
      </c>
      <c r="W36" s="247">
        <v>75.012900000000002</v>
      </c>
      <c r="X36" s="256">
        <v>0.75087987987987981</v>
      </c>
    </row>
    <row r="37" spans="1:24" x14ac:dyDescent="0.25">
      <c r="A37" s="254">
        <v>45810</v>
      </c>
      <c r="B37" s="131" t="s">
        <v>301</v>
      </c>
      <c r="C37" s="131" t="s">
        <v>12</v>
      </c>
      <c r="D37" s="131">
        <v>2</v>
      </c>
      <c r="E37" s="130">
        <v>100</v>
      </c>
      <c r="F37" s="131" t="s">
        <v>100</v>
      </c>
      <c r="G37" s="247">
        <v>99.91</v>
      </c>
      <c r="H37" s="247">
        <v>199.82</v>
      </c>
      <c r="I37" s="247">
        <v>17.983799999999999</v>
      </c>
      <c r="J37" s="247">
        <v>24</v>
      </c>
      <c r="K37" s="247">
        <v>0</v>
      </c>
      <c r="L37" s="247">
        <v>0</v>
      </c>
      <c r="M37" s="247">
        <v>0</v>
      </c>
      <c r="N37" s="249">
        <v>0</v>
      </c>
      <c r="O37" s="250">
        <v>8.9918999999999993</v>
      </c>
      <c r="P37" s="249">
        <v>12</v>
      </c>
      <c r="Q37" s="249" t="s">
        <v>380</v>
      </c>
      <c r="R37" s="249" t="s">
        <v>380</v>
      </c>
      <c r="S37" s="250" t="s">
        <v>380</v>
      </c>
      <c r="T37" s="247" t="s">
        <v>380</v>
      </c>
      <c r="U37" s="247">
        <v>41.983800000000002</v>
      </c>
      <c r="V37" s="255">
        <v>157.83619999999999</v>
      </c>
      <c r="W37" s="247">
        <v>78.918099999999995</v>
      </c>
      <c r="X37" s="256">
        <v>0.78989190271244114</v>
      </c>
    </row>
    <row r="38" spans="1:24" x14ac:dyDescent="0.25">
      <c r="A38" s="254">
        <v>45810</v>
      </c>
      <c r="B38" s="131" t="s">
        <v>301</v>
      </c>
      <c r="C38" s="131" t="s">
        <v>230</v>
      </c>
      <c r="D38" s="131">
        <v>2</v>
      </c>
      <c r="E38" s="130">
        <v>100</v>
      </c>
      <c r="F38" s="131" t="s">
        <v>100</v>
      </c>
      <c r="G38" s="247">
        <v>99.91</v>
      </c>
      <c r="H38" s="247">
        <v>199.82</v>
      </c>
      <c r="I38" s="247">
        <v>17.983799999999999</v>
      </c>
      <c r="J38" s="247">
        <v>64</v>
      </c>
      <c r="K38" s="247">
        <v>0</v>
      </c>
      <c r="L38" s="247">
        <v>0</v>
      </c>
      <c r="M38" s="247">
        <v>0</v>
      </c>
      <c r="N38" s="249">
        <v>0</v>
      </c>
      <c r="O38" s="250">
        <v>8.9918999999999993</v>
      </c>
      <c r="P38" s="249">
        <v>32</v>
      </c>
      <c r="Q38" s="249" t="s">
        <v>380</v>
      </c>
      <c r="R38" s="249" t="s">
        <v>380</v>
      </c>
      <c r="S38" s="250" t="s">
        <v>380</v>
      </c>
      <c r="T38" s="247" t="s">
        <v>380</v>
      </c>
      <c r="U38" s="247">
        <v>81.983800000000002</v>
      </c>
      <c r="V38" s="255">
        <v>117.83619999999999</v>
      </c>
      <c r="W38" s="247">
        <v>58.918099999999995</v>
      </c>
      <c r="X38" s="256">
        <v>0.58971174056650988</v>
      </c>
    </row>
    <row r="39" spans="1:24" x14ac:dyDescent="0.25">
      <c r="A39" s="254">
        <v>45810</v>
      </c>
      <c r="B39" s="131" t="s">
        <v>301</v>
      </c>
      <c r="C39" s="131" t="s">
        <v>8</v>
      </c>
      <c r="D39" s="131">
        <v>2</v>
      </c>
      <c r="E39" s="130">
        <v>100</v>
      </c>
      <c r="F39" s="131" t="s">
        <v>340</v>
      </c>
      <c r="G39" s="247">
        <v>109.9</v>
      </c>
      <c r="H39" s="247">
        <v>219.8</v>
      </c>
      <c r="I39" s="247">
        <v>32.310600000000001</v>
      </c>
      <c r="J39" s="247">
        <v>40</v>
      </c>
      <c r="K39" s="247">
        <v>0</v>
      </c>
      <c r="L39" s="247">
        <v>0</v>
      </c>
      <c r="M39" s="247">
        <v>0</v>
      </c>
      <c r="N39" s="249">
        <v>0</v>
      </c>
      <c r="O39" s="250">
        <v>16.1553</v>
      </c>
      <c r="P39" s="249">
        <v>20</v>
      </c>
      <c r="Q39" s="249" t="s">
        <v>380</v>
      </c>
      <c r="R39" s="249" t="s">
        <v>380</v>
      </c>
      <c r="S39" s="250" t="s">
        <v>380</v>
      </c>
      <c r="T39" s="247" t="s">
        <v>380</v>
      </c>
      <c r="U39" s="247">
        <v>72.310599999999994</v>
      </c>
      <c r="V39" s="255">
        <v>147.48940000000002</v>
      </c>
      <c r="W39" s="247">
        <v>73.744700000000009</v>
      </c>
      <c r="X39" s="256">
        <v>0.67101637852593277</v>
      </c>
    </row>
    <row r="40" spans="1:24" x14ac:dyDescent="0.25">
      <c r="A40" s="254">
        <v>45810</v>
      </c>
      <c r="B40" s="131" t="s">
        <v>301</v>
      </c>
      <c r="C40" s="131" t="s">
        <v>12</v>
      </c>
      <c r="D40" s="131">
        <v>4</v>
      </c>
      <c r="E40" s="130">
        <v>100</v>
      </c>
      <c r="F40" s="131" t="s">
        <v>340</v>
      </c>
      <c r="G40" s="247">
        <v>109.9</v>
      </c>
      <c r="H40" s="247">
        <v>439.6</v>
      </c>
      <c r="I40" s="247">
        <v>64.621200000000002</v>
      </c>
      <c r="J40" s="247">
        <v>48</v>
      </c>
      <c r="K40" s="247">
        <v>0</v>
      </c>
      <c r="L40" s="247">
        <v>0</v>
      </c>
      <c r="M40" s="247">
        <v>0</v>
      </c>
      <c r="N40" s="249">
        <v>0</v>
      </c>
      <c r="O40" s="250">
        <v>16.1553</v>
      </c>
      <c r="P40" s="249">
        <v>12</v>
      </c>
      <c r="Q40" s="249" t="s">
        <v>380</v>
      </c>
      <c r="R40" s="249" t="s">
        <v>380</v>
      </c>
      <c r="S40" s="250" t="s">
        <v>380</v>
      </c>
      <c r="T40" s="247" t="s">
        <v>380</v>
      </c>
      <c r="U40" s="247">
        <v>112.6212</v>
      </c>
      <c r="V40" s="255">
        <v>326.97880000000004</v>
      </c>
      <c r="W40" s="247">
        <v>81.744700000000009</v>
      </c>
      <c r="X40" s="256">
        <v>0.74380982711555965</v>
      </c>
    </row>
    <row r="41" spans="1:24" x14ac:dyDescent="0.25">
      <c r="A41" s="254">
        <v>45810</v>
      </c>
      <c r="B41" s="131" t="s">
        <v>301</v>
      </c>
      <c r="C41" s="131" t="s">
        <v>230</v>
      </c>
      <c r="D41" s="131">
        <v>3</v>
      </c>
      <c r="E41" s="130">
        <v>100</v>
      </c>
      <c r="F41" s="131" t="s">
        <v>216</v>
      </c>
      <c r="G41" s="247">
        <v>114.9</v>
      </c>
      <c r="H41" s="247">
        <v>344.7</v>
      </c>
      <c r="I41" s="247">
        <v>44.466299999999997</v>
      </c>
      <c r="J41" s="247">
        <v>96</v>
      </c>
      <c r="K41" s="247">
        <v>0</v>
      </c>
      <c r="L41" s="247">
        <v>0</v>
      </c>
      <c r="M41" s="247">
        <v>0</v>
      </c>
      <c r="N41" s="249">
        <v>0</v>
      </c>
      <c r="O41" s="250">
        <v>14.822099999999999</v>
      </c>
      <c r="P41" s="249">
        <v>32</v>
      </c>
      <c r="Q41" s="249" t="s">
        <v>380</v>
      </c>
      <c r="R41" s="249" t="s">
        <v>380</v>
      </c>
      <c r="S41" s="250" t="s">
        <v>380</v>
      </c>
      <c r="T41" s="247" t="s">
        <v>380</v>
      </c>
      <c r="U41" s="247">
        <v>140.46629999999999</v>
      </c>
      <c r="V41" s="255">
        <v>204.2337</v>
      </c>
      <c r="W41" s="247">
        <v>68.0779</v>
      </c>
      <c r="X41" s="256">
        <v>0.592496953872933</v>
      </c>
    </row>
    <row r="42" spans="1:24" x14ac:dyDescent="0.25">
      <c r="A42" s="254">
        <v>45810</v>
      </c>
      <c r="B42" s="131" t="s">
        <v>301</v>
      </c>
      <c r="C42" s="131" t="s">
        <v>230</v>
      </c>
      <c r="D42" s="131">
        <v>2</v>
      </c>
      <c r="E42" s="130">
        <v>100</v>
      </c>
      <c r="F42" s="131" t="s">
        <v>340</v>
      </c>
      <c r="G42" s="247">
        <v>119.9</v>
      </c>
      <c r="H42" s="247">
        <v>239.8</v>
      </c>
      <c r="I42" s="247">
        <v>35.250599999999999</v>
      </c>
      <c r="J42" s="247">
        <v>64</v>
      </c>
      <c r="K42" s="247">
        <v>0</v>
      </c>
      <c r="L42" s="247">
        <v>0</v>
      </c>
      <c r="M42" s="247">
        <v>0</v>
      </c>
      <c r="N42" s="249">
        <v>0</v>
      </c>
      <c r="O42" s="250">
        <v>17.625299999999999</v>
      </c>
      <c r="P42" s="249">
        <v>32</v>
      </c>
      <c r="Q42" s="249" t="s">
        <v>380</v>
      </c>
      <c r="R42" s="249" t="s">
        <v>380</v>
      </c>
      <c r="S42" s="250" t="s">
        <v>380</v>
      </c>
      <c r="T42" s="247" t="s">
        <v>380</v>
      </c>
      <c r="U42" s="247">
        <v>99.250599999999991</v>
      </c>
      <c r="V42" s="255">
        <v>140.54940000000002</v>
      </c>
      <c r="W42" s="247">
        <v>70.27470000000001</v>
      </c>
      <c r="X42" s="256">
        <v>0.58611092577147628</v>
      </c>
    </row>
    <row r="43" spans="1:24" x14ac:dyDescent="0.25">
      <c r="A43" s="254">
        <v>45810</v>
      </c>
      <c r="B43" s="131" t="s">
        <v>301</v>
      </c>
      <c r="C43" s="131" t="s">
        <v>230</v>
      </c>
      <c r="D43" s="131">
        <v>6</v>
      </c>
      <c r="E43" s="130">
        <v>100</v>
      </c>
      <c r="F43" s="131" t="s">
        <v>340</v>
      </c>
      <c r="G43" s="247">
        <v>149.9</v>
      </c>
      <c r="H43" s="247">
        <v>899.4</v>
      </c>
      <c r="I43" s="247">
        <v>132.21179999999998</v>
      </c>
      <c r="J43" s="247">
        <v>192</v>
      </c>
      <c r="K43" s="247">
        <v>0</v>
      </c>
      <c r="L43" s="247">
        <v>0</v>
      </c>
      <c r="M43" s="247">
        <v>0</v>
      </c>
      <c r="N43" s="249">
        <v>0</v>
      </c>
      <c r="O43" s="250">
        <v>22.035299999999996</v>
      </c>
      <c r="P43" s="249">
        <v>32</v>
      </c>
      <c r="Q43" s="249" t="s">
        <v>380</v>
      </c>
      <c r="R43" s="249" t="s">
        <v>380</v>
      </c>
      <c r="S43" s="250" t="s">
        <v>380</v>
      </c>
      <c r="T43" s="247" t="s">
        <v>380</v>
      </c>
      <c r="U43" s="247">
        <v>324.21179999999993</v>
      </c>
      <c r="V43" s="255">
        <v>575.18820000000005</v>
      </c>
      <c r="W43" s="247">
        <v>95.864700000000013</v>
      </c>
      <c r="X43" s="256">
        <v>0.63952434956637771</v>
      </c>
    </row>
    <row r="44" spans="1:24" x14ac:dyDescent="0.25">
      <c r="A44" s="254">
        <v>45810</v>
      </c>
      <c r="B44" s="131" t="s">
        <v>108</v>
      </c>
      <c r="C44" s="131" t="s">
        <v>359</v>
      </c>
      <c r="D44" s="131">
        <v>1</v>
      </c>
      <c r="E44" s="130">
        <v>100</v>
      </c>
      <c r="F44" s="131" t="s">
        <v>340</v>
      </c>
      <c r="G44" s="247">
        <v>349.9</v>
      </c>
      <c r="H44" s="247">
        <v>349.9</v>
      </c>
      <c r="I44" s="247">
        <v>51.435299999999991</v>
      </c>
      <c r="J44" s="247">
        <v>106.84444444444443</v>
      </c>
      <c r="K44" s="247">
        <v>101.19825708061003</v>
      </c>
      <c r="L44" s="247">
        <v>82.710727969348653</v>
      </c>
      <c r="M44" s="247">
        <v>15.5</v>
      </c>
      <c r="N44" s="249">
        <v>22.456862745098039</v>
      </c>
      <c r="O44" s="250">
        <v>51.435299999999991</v>
      </c>
      <c r="P44" s="249">
        <v>106.84444444444443</v>
      </c>
      <c r="Q44" s="249">
        <v>101.19825708061003</v>
      </c>
      <c r="R44" s="249">
        <v>82.710727969348653</v>
      </c>
      <c r="S44" s="250">
        <v>15.5</v>
      </c>
      <c r="T44" s="247">
        <v>22.456862745098039</v>
      </c>
      <c r="U44" s="247">
        <v>380.14559223950113</v>
      </c>
      <c r="V44" s="255">
        <v>-30.24559223950115</v>
      </c>
      <c r="W44" s="247">
        <v>-30.24559223950115</v>
      </c>
      <c r="X44" s="256">
        <v>-8.6440675162906974E-2</v>
      </c>
    </row>
    <row r="45" spans="1:24" x14ac:dyDescent="0.25">
      <c r="A45" s="254">
        <v>45810</v>
      </c>
      <c r="B45" s="131" t="s">
        <v>108</v>
      </c>
      <c r="C45" s="131" t="s">
        <v>355</v>
      </c>
      <c r="D45" s="131">
        <v>1</v>
      </c>
      <c r="E45" s="130">
        <v>100</v>
      </c>
      <c r="F45" s="131" t="s">
        <v>365</v>
      </c>
      <c r="G45" s="247">
        <v>349.9</v>
      </c>
      <c r="H45" s="247">
        <v>349.9</v>
      </c>
      <c r="I45" s="247">
        <v>0</v>
      </c>
      <c r="J45" s="247">
        <v>105.84444444444443</v>
      </c>
      <c r="K45" s="247">
        <v>101.19825708061003</v>
      </c>
      <c r="L45" s="247">
        <v>82.710727969348653</v>
      </c>
      <c r="M45" s="247">
        <v>15.5</v>
      </c>
      <c r="N45" s="249">
        <v>22.456862745098039</v>
      </c>
      <c r="O45" s="250">
        <v>0</v>
      </c>
      <c r="P45" s="249">
        <v>105.84444444444443</v>
      </c>
      <c r="Q45" s="249">
        <v>101.19825708061003</v>
      </c>
      <c r="R45" s="249">
        <v>82.710727969348653</v>
      </c>
      <c r="S45" s="250">
        <v>15.5</v>
      </c>
      <c r="T45" s="247">
        <v>22.456862745098039</v>
      </c>
      <c r="U45" s="247">
        <v>327.71029223950114</v>
      </c>
      <c r="V45" s="255">
        <v>22.189707760498834</v>
      </c>
      <c r="W45" s="247">
        <v>22.189707760498834</v>
      </c>
      <c r="X45" s="256">
        <v>6.341728425406927E-2</v>
      </c>
    </row>
    <row r="46" spans="1:24" x14ac:dyDescent="0.25">
      <c r="A46" s="254">
        <v>45810</v>
      </c>
      <c r="B46" s="131" t="s">
        <v>108</v>
      </c>
      <c r="C46" s="131" t="s">
        <v>357</v>
      </c>
      <c r="D46" s="131">
        <v>1</v>
      </c>
      <c r="E46" s="130">
        <v>100</v>
      </c>
      <c r="F46" s="131" t="s">
        <v>365</v>
      </c>
      <c r="G46" s="247">
        <v>349.9</v>
      </c>
      <c r="H46" s="247">
        <v>349.9</v>
      </c>
      <c r="I46" s="247">
        <v>0</v>
      </c>
      <c r="J46" s="247">
        <v>104.84444444444443</v>
      </c>
      <c r="K46" s="247">
        <v>101.19825708061003</v>
      </c>
      <c r="L46" s="247">
        <v>82.710727969348653</v>
      </c>
      <c r="M46" s="247">
        <v>15.5</v>
      </c>
      <c r="N46" s="249">
        <v>22.456862745098039</v>
      </c>
      <c r="O46" s="250">
        <v>0</v>
      </c>
      <c r="P46" s="249">
        <v>104.84444444444443</v>
      </c>
      <c r="Q46" s="249">
        <v>101.19825708061003</v>
      </c>
      <c r="R46" s="249">
        <v>82.710727969348653</v>
      </c>
      <c r="S46" s="250">
        <v>15.5</v>
      </c>
      <c r="T46" s="247">
        <v>22.456862745098039</v>
      </c>
      <c r="U46" s="247">
        <v>326.71029223950114</v>
      </c>
      <c r="V46" s="255">
        <v>23.189707760498834</v>
      </c>
      <c r="W46" s="247">
        <v>23.189707760498834</v>
      </c>
      <c r="X46" s="256">
        <v>6.6275243671045536E-2</v>
      </c>
    </row>
    <row r="47" spans="1:24" x14ac:dyDescent="0.25">
      <c r="A47" s="254">
        <v>45810</v>
      </c>
      <c r="B47" s="131" t="s">
        <v>108</v>
      </c>
      <c r="C47" s="131" t="s">
        <v>357</v>
      </c>
      <c r="D47" s="131">
        <v>1</v>
      </c>
      <c r="E47" s="130">
        <v>100</v>
      </c>
      <c r="F47" s="131" t="s">
        <v>314</v>
      </c>
      <c r="G47" s="247">
        <v>349.9</v>
      </c>
      <c r="H47" s="247">
        <v>349.9</v>
      </c>
      <c r="I47" s="247">
        <v>0</v>
      </c>
      <c r="J47" s="247">
        <v>104.84444444444443</v>
      </c>
      <c r="K47" s="247">
        <v>101.19825708061003</v>
      </c>
      <c r="L47" s="247">
        <v>0</v>
      </c>
      <c r="M47" s="247">
        <v>0</v>
      </c>
      <c r="N47" s="249">
        <v>22.456862745098039</v>
      </c>
      <c r="O47" s="250">
        <v>0</v>
      </c>
      <c r="P47" s="249">
        <v>104.84444444444443</v>
      </c>
      <c r="Q47" s="249">
        <v>101.19825708061003</v>
      </c>
      <c r="R47" s="249">
        <v>0</v>
      </c>
      <c r="S47" s="250">
        <v>0</v>
      </c>
      <c r="T47" s="247">
        <v>22.456862745098039</v>
      </c>
      <c r="U47" s="247">
        <v>228.49956427015252</v>
      </c>
      <c r="V47" s="255">
        <v>121.40043572984746</v>
      </c>
      <c r="W47" s="247">
        <v>121.40043572984746</v>
      </c>
      <c r="X47" s="256">
        <v>0.34695751851914108</v>
      </c>
    </row>
    <row r="48" spans="1:24" x14ac:dyDescent="0.25">
      <c r="A48" s="254">
        <v>45810</v>
      </c>
      <c r="B48" s="131" t="s">
        <v>108</v>
      </c>
      <c r="C48" s="131" t="s">
        <v>359</v>
      </c>
      <c r="D48" s="131">
        <v>1</v>
      </c>
      <c r="E48" s="130">
        <v>100</v>
      </c>
      <c r="F48" s="131" t="s">
        <v>314</v>
      </c>
      <c r="G48" s="247">
        <v>349.9</v>
      </c>
      <c r="H48" s="247">
        <v>349.9</v>
      </c>
      <c r="I48" s="247">
        <v>0</v>
      </c>
      <c r="J48" s="247">
        <v>106.84444444444443</v>
      </c>
      <c r="K48" s="247">
        <v>101.19825708061003</v>
      </c>
      <c r="L48" s="247">
        <v>0</v>
      </c>
      <c r="M48" s="247">
        <v>0</v>
      </c>
      <c r="N48" s="249">
        <v>22.456862745098039</v>
      </c>
      <c r="O48" s="250">
        <v>0</v>
      </c>
      <c r="P48" s="249">
        <v>106.84444444444443</v>
      </c>
      <c r="Q48" s="249">
        <v>101.19825708061003</v>
      </c>
      <c r="R48" s="249">
        <v>0</v>
      </c>
      <c r="S48" s="250">
        <v>0</v>
      </c>
      <c r="T48" s="247">
        <v>22.456862745098039</v>
      </c>
      <c r="U48" s="247">
        <v>230.49956427015252</v>
      </c>
      <c r="V48" s="255">
        <v>119.40043572984746</v>
      </c>
      <c r="W48" s="247">
        <v>119.40043572984746</v>
      </c>
      <c r="X48" s="256">
        <v>0.34124159968518852</v>
      </c>
    </row>
    <row r="49" spans="1:24" x14ac:dyDescent="0.25">
      <c r="A49" s="254">
        <v>45810</v>
      </c>
      <c r="B49" s="131" t="s">
        <v>108</v>
      </c>
      <c r="C49" s="131" t="s">
        <v>356</v>
      </c>
      <c r="D49" s="131">
        <v>1</v>
      </c>
      <c r="E49" s="130">
        <v>100</v>
      </c>
      <c r="F49" s="131" t="s">
        <v>314</v>
      </c>
      <c r="G49" s="247">
        <v>349.9</v>
      </c>
      <c r="H49" s="247">
        <v>349.9</v>
      </c>
      <c r="I49" s="247">
        <v>0</v>
      </c>
      <c r="J49" s="247">
        <v>104.84444444444443</v>
      </c>
      <c r="K49" s="247">
        <v>101.19825708061003</v>
      </c>
      <c r="L49" s="247">
        <v>0</v>
      </c>
      <c r="M49" s="247">
        <v>0</v>
      </c>
      <c r="N49" s="249">
        <v>22.456862745098039</v>
      </c>
      <c r="O49" s="250">
        <v>0</v>
      </c>
      <c r="P49" s="249">
        <v>104.84444444444443</v>
      </c>
      <c r="Q49" s="249">
        <v>101.19825708061003</v>
      </c>
      <c r="R49" s="249">
        <v>0</v>
      </c>
      <c r="S49" s="250">
        <v>0</v>
      </c>
      <c r="T49" s="247">
        <v>22.456862745098039</v>
      </c>
      <c r="U49" s="247">
        <v>228.49956427015252</v>
      </c>
      <c r="V49" s="255">
        <v>121.40043572984746</v>
      </c>
      <c r="W49" s="247">
        <v>121.40043572984746</v>
      </c>
      <c r="X49" s="256">
        <v>0.34695751851914108</v>
      </c>
    </row>
    <row r="50" spans="1:24" x14ac:dyDescent="0.25">
      <c r="A50" s="254">
        <v>45810</v>
      </c>
      <c r="B50" s="131" t="s">
        <v>108</v>
      </c>
      <c r="C50" s="131" t="s">
        <v>356</v>
      </c>
      <c r="D50" s="131">
        <v>2</v>
      </c>
      <c r="E50" s="130">
        <v>100</v>
      </c>
      <c r="F50" s="131" t="s">
        <v>365</v>
      </c>
      <c r="G50" s="247">
        <v>349.9</v>
      </c>
      <c r="H50" s="247">
        <v>699.8</v>
      </c>
      <c r="I50" s="247">
        <v>0</v>
      </c>
      <c r="J50" s="247">
        <v>209.68888888888887</v>
      </c>
      <c r="K50" s="247">
        <v>202.39651416122007</v>
      </c>
      <c r="L50" s="247">
        <v>165.42145593869731</v>
      </c>
      <c r="M50" s="247">
        <v>31</v>
      </c>
      <c r="N50" s="249">
        <v>44.913725490196079</v>
      </c>
      <c r="O50" s="250">
        <v>0</v>
      </c>
      <c r="P50" s="249">
        <v>104.84444444444443</v>
      </c>
      <c r="Q50" s="249">
        <v>101.19825708061003</v>
      </c>
      <c r="R50" s="249">
        <v>82.710727969348653</v>
      </c>
      <c r="S50" s="250">
        <v>15.5</v>
      </c>
      <c r="T50" s="247">
        <v>22.456862745098039</v>
      </c>
      <c r="U50" s="247">
        <v>653.42058447900229</v>
      </c>
      <c r="V50" s="255">
        <v>46.379415520997668</v>
      </c>
      <c r="W50" s="247">
        <v>23.189707760498834</v>
      </c>
      <c r="X50" s="256">
        <v>6.6275243671045536E-2</v>
      </c>
    </row>
    <row r="51" spans="1:24" x14ac:dyDescent="0.25">
      <c r="A51" s="254">
        <v>45810</v>
      </c>
      <c r="B51" s="131" t="s">
        <v>108</v>
      </c>
      <c r="C51" s="131" t="s">
        <v>356</v>
      </c>
      <c r="D51" s="131">
        <v>1</v>
      </c>
      <c r="E51" s="130">
        <v>100</v>
      </c>
      <c r="F51" s="131" t="s">
        <v>314</v>
      </c>
      <c r="G51" s="247">
        <v>349.9</v>
      </c>
      <c r="H51" s="247">
        <v>349.9</v>
      </c>
      <c r="I51" s="247">
        <v>0</v>
      </c>
      <c r="J51" s="247">
        <v>104.84444444444443</v>
      </c>
      <c r="K51" s="247">
        <v>101.19825708061003</v>
      </c>
      <c r="L51" s="247">
        <v>0</v>
      </c>
      <c r="M51" s="247">
        <v>0</v>
      </c>
      <c r="N51" s="249">
        <v>22.456862745098039</v>
      </c>
      <c r="O51" s="250">
        <v>0</v>
      </c>
      <c r="P51" s="249">
        <v>104.84444444444443</v>
      </c>
      <c r="Q51" s="249">
        <v>101.19825708061003</v>
      </c>
      <c r="R51" s="249">
        <v>0</v>
      </c>
      <c r="S51" s="250">
        <v>0</v>
      </c>
      <c r="T51" s="247">
        <v>22.456862745098039</v>
      </c>
      <c r="U51" s="247">
        <v>228.49956427015252</v>
      </c>
      <c r="V51" s="255">
        <v>121.40043572984746</v>
      </c>
      <c r="W51" s="247">
        <v>121.40043572984746</v>
      </c>
      <c r="X51" s="256">
        <v>0.34695751851914108</v>
      </c>
    </row>
    <row r="52" spans="1:24" x14ac:dyDescent="0.25">
      <c r="A52" s="254">
        <v>45810</v>
      </c>
      <c r="B52" s="131" t="s">
        <v>108</v>
      </c>
      <c r="C52" s="131" t="s">
        <v>355</v>
      </c>
      <c r="D52" s="131">
        <v>4</v>
      </c>
      <c r="E52" s="130">
        <v>100</v>
      </c>
      <c r="F52" s="131" t="s">
        <v>100</v>
      </c>
      <c r="G52" s="247">
        <v>377.91</v>
      </c>
      <c r="H52" s="247">
        <v>1511.64</v>
      </c>
      <c r="I52" s="247">
        <v>136.04760000000002</v>
      </c>
      <c r="J52" s="247">
        <v>423.37777777777774</v>
      </c>
      <c r="K52" s="247">
        <v>404.79302832244014</v>
      </c>
      <c r="L52" s="247">
        <v>330.84291187739461</v>
      </c>
      <c r="M52" s="247">
        <v>62</v>
      </c>
      <c r="N52" s="249">
        <v>89.827450980392157</v>
      </c>
      <c r="O52" s="250">
        <v>34.011900000000004</v>
      </c>
      <c r="P52" s="249">
        <v>105.84444444444443</v>
      </c>
      <c r="Q52" s="249">
        <v>101.19825708061003</v>
      </c>
      <c r="R52" s="249">
        <v>82.710727969348653</v>
      </c>
      <c r="S52" s="250">
        <v>15.5</v>
      </c>
      <c r="T52" s="247">
        <v>22.456862745098039</v>
      </c>
      <c r="U52" s="247">
        <v>1446.8887689580044</v>
      </c>
      <c r="V52" s="255">
        <v>64.751231041995652</v>
      </c>
      <c r="W52" s="247">
        <v>16.187807760498913</v>
      </c>
      <c r="X52" s="256">
        <v>4.2835087085546592E-2</v>
      </c>
    </row>
    <row r="53" spans="1:24" x14ac:dyDescent="0.25">
      <c r="A53" s="254">
        <v>45810</v>
      </c>
      <c r="B53" s="131" t="s">
        <v>108</v>
      </c>
      <c r="C53" s="131" t="s">
        <v>356</v>
      </c>
      <c r="D53" s="131">
        <v>1</v>
      </c>
      <c r="E53" s="130">
        <v>100</v>
      </c>
      <c r="F53" s="131" t="s">
        <v>100</v>
      </c>
      <c r="G53" s="247">
        <v>377.91</v>
      </c>
      <c r="H53" s="247">
        <v>377.91</v>
      </c>
      <c r="I53" s="247">
        <v>34.011900000000004</v>
      </c>
      <c r="J53" s="247">
        <v>104.84444444444443</v>
      </c>
      <c r="K53" s="247">
        <v>101.19825708061003</v>
      </c>
      <c r="L53" s="247">
        <v>82.710727969348653</v>
      </c>
      <c r="M53" s="247">
        <v>15.5</v>
      </c>
      <c r="N53" s="249">
        <v>22.456862745098039</v>
      </c>
      <c r="O53" s="250">
        <v>34.011900000000004</v>
      </c>
      <c r="P53" s="249">
        <v>104.84444444444443</v>
      </c>
      <c r="Q53" s="249">
        <v>101.19825708061003</v>
      </c>
      <c r="R53" s="249">
        <v>82.710727969348653</v>
      </c>
      <c r="S53" s="250">
        <v>15.5</v>
      </c>
      <c r="T53" s="247">
        <v>22.456862745098039</v>
      </c>
      <c r="U53" s="247">
        <v>360.72219223950111</v>
      </c>
      <c r="V53" s="255">
        <v>17.187807760498913</v>
      </c>
      <c r="W53" s="247">
        <v>17.187807760498913</v>
      </c>
      <c r="X53" s="256">
        <v>4.5481219762639018E-2</v>
      </c>
    </row>
    <row r="54" spans="1:24" x14ac:dyDescent="0.25">
      <c r="A54" s="254">
        <v>45810</v>
      </c>
      <c r="B54" s="131" t="s">
        <v>108</v>
      </c>
      <c r="C54" s="131" t="s">
        <v>359</v>
      </c>
      <c r="D54" s="131">
        <v>1</v>
      </c>
      <c r="E54" s="130">
        <v>100</v>
      </c>
      <c r="F54" s="131" t="s">
        <v>100</v>
      </c>
      <c r="G54" s="247">
        <v>377.91</v>
      </c>
      <c r="H54" s="247">
        <v>377.91</v>
      </c>
      <c r="I54" s="247">
        <v>34.011900000000004</v>
      </c>
      <c r="J54" s="247">
        <v>106.84444444444443</v>
      </c>
      <c r="K54" s="247">
        <v>101.19825708061003</v>
      </c>
      <c r="L54" s="247">
        <v>82.710727969348653</v>
      </c>
      <c r="M54" s="247">
        <v>15.5</v>
      </c>
      <c r="N54" s="249">
        <v>22.456862745098039</v>
      </c>
      <c r="O54" s="250">
        <v>34.011900000000004</v>
      </c>
      <c r="P54" s="249">
        <v>106.84444444444443</v>
      </c>
      <c r="Q54" s="249">
        <v>101.19825708061003</v>
      </c>
      <c r="R54" s="249">
        <v>82.710727969348653</v>
      </c>
      <c r="S54" s="250">
        <v>15.5</v>
      </c>
      <c r="T54" s="247">
        <v>22.456862745098039</v>
      </c>
      <c r="U54" s="247">
        <v>362.72219223950111</v>
      </c>
      <c r="V54" s="255">
        <v>15.187807760498913</v>
      </c>
      <c r="W54" s="247">
        <v>15.187807760498913</v>
      </c>
      <c r="X54" s="256">
        <v>4.0188954408454158E-2</v>
      </c>
    </row>
    <row r="55" spans="1:24" x14ac:dyDescent="0.25">
      <c r="A55" s="254">
        <v>45810</v>
      </c>
      <c r="B55" s="131" t="s">
        <v>108</v>
      </c>
      <c r="C55" s="131" t="s">
        <v>7</v>
      </c>
      <c r="D55" s="131">
        <v>1</v>
      </c>
      <c r="E55" s="130">
        <v>100</v>
      </c>
      <c r="F55" s="131" t="s">
        <v>314</v>
      </c>
      <c r="G55" s="247">
        <v>399</v>
      </c>
      <c r="H55" s="247">
        <v>399</v>
      </c>
      <c r="I55" s="247">
        <v>0</v>
      </c>
      <c r="J55" s="247">
        <v>123.24444444444444</v>
      </c>
      <c r="K55" s="247">
        <v>101.19825708061003</v>
      </c>
      <c r="L55" s="247">
        <v>0</v>
      </c>
      <c r="M55" s="247">
        <v>0</v>
      </c>
      <c r="N55" s="249">
        <v>22.456862745098039</v>
      </c>
      <c r="O55" s="250">
        <v>0</v>
      </c>
      <c r="P55" s="249">
        <v>123.24444444444444</v>
      </c>
      <c r="Q55" s="249">
        <v>101.19825708061003</v>
      </c>
      <c r="R55" s="249">
        <v>0</v>
      </c>
      <c r="S55" s="250">
        <v>0</v>
      </c>
      <c r="T55" s="247">
        <v>22.456862745098039</v>
      </c>
      <c r="U55" s="247">
        <v>246.89956427015252</v>
      </c>
      <c r="V55" s="255">
        <v>152.10043572984748</v>
      </c>
      <c r="W55" s="247">
        <v>152.10043572984748</v>
      </c>
      <c r="X55" s="256">
        <v>0.38120409957355256</v>
      </c>
    </row>
    <row r="56" spans="1:24" x14ac:dyDescent="0.25">
      <c r="A56" s="254">
        <v>45810</v>
      </c>
      <c r="B56" s="131" t="s">
        <v>108</v>
      </c>
      <c r="C56" s="131" t="s">
        <v>6</v>
      </c>
      <c r="D56" s="131">
        <v>1</v>
      </c>
      <c r="E56" s="130">
        <v>100</v>
      </c>
      <c r="F56" s="131" t="s">
        <v>314</v>
      </c>
      <c r="G56" s="247">
        <v>399</v>
      </c>
      <c r="H56" s="247">
        <v>399</v>
      </c>
      <c r="I56" s="247">
        <v>0</v>
      </c>
      <c r="J56" s="247">
        <v>124.74444444444444</v>
      </c>
      <c r="K56" s="247">
        <v>101.19825708061003</v>
      </c>
      <c r="L56" s="247">
        <v>0</v>
      </c>
      <c r="M56" s="247">
        <v>0</v>
      </c>
      <c r="N56" s="249">
        <v>22.456862745098039</v>
      </c>
      <c r="O56" s="250">
        <v>0</v>
      </c>
      <c r="P56" s="249">
        <v>124.74444444444444</v>
      </c>
      <c r="Q56" s="249">
        <v>101.19825708061003</v>
      </c>
      <c r="R56" s="249">
        <v>0</v>
      </c>
      <c r="S56" s="250">
        <v>0</v>
      </c>
      <c r="T56" s="247">
        <v>22.456862745098039</v>
      </c>
      <c r="U56" s="247">
        <v>248.39956427015252</v>
      </c>
      <c r="V56" s="255">
        <v>150.60043572984748</v>
      </c>
      <c r="W56" s="247">
        <v>150.60043572984748</v>
      </c>
      <c r="X56" s="256">
        <v>0.37744470107731198</v>
      </c>
    </row>
    <row r="57" spans="1:24" x14ac:dyDescent="0.25">
      <c r="A57" s="254">
        <v>45810</v>
      </c>
      <c r="B57" s="131" t="s">
        <v>108</v>
      </c>
      <c r="C57" s="131" t="s">
        <v>7</v>
      </c>
      <c r="D57" s="131">
        <v>2</v>
      </c>
      <c r="E57" s="130">
        <v>100</v>
      </c>
      <c r="F57" s="131" t="s">
        <v>314</v>
      </c>
      <c r="G57" s="247">
        <v>399.6</v>
      </c>
      <c r="H57" s="247">
        <v>799.2</v>
      </c>
      <c r="I57" s="247">
        <v>0</v>
      </c>
      <c r="J57" s="247">
        <v>246.48888888888888</v>
      </c>
      <c r="K57" s="247">
        <v>202.39651416122007</v>
      </c>
      <c r="L57" s="247">
        <v>0</v>
      </c>
      <c r="M57" s="247">
        <v>0</v>
      </c>
      <c r="N57" s="249">
        <v>44.913725490196079</v>
      </c>
      <c r="O57" s="250">
        <v>0</v>
      </c>
      <c r="P57" s="249">
        <v>123.24444444444444</v>
      </c>
      <c r="Q57" s="249">
        <v>101.19825708061003</v>
      </c>
      <c r="R57" s="249">
        <v>0</v>
      </c>
      <c r="S57" s="250">
        <v>0</v>
      </c>
      <c r="T57" s="247">
        <v>22.456862745098039</v>
      </c>
      <c r="U57" s="247">
        <v>493.79912854030505</v>
      </c>
      <c r="V57" s="255">
        <v>305.400871459695</v>
      </c>
      <c r="W57" s="247">
        <v>152.7004357298475</v>
      </c>
      <c r="X57" s="256">
        <v>0.38213322254716592</v>
      </c>
    </row>
    <row r="58" spans="1:24" x14ac:dyDescent="0.25">
      <c r="A58" s="254">
        <v>45810</v>
      </c>
      <c r="B58" s="131" t="s">
        <v>108</v>
      </c>
      <c r="C58" s="131" t="s">
        <v>7</v>
      </c>
      <c r="D58" s="131">
        <v>21</v>
      </c>
      <c r="E58" s="130">
        <v>100</v>
      </c>
      <c r="F58" s="131" t="s">
        <v>365</v>
      </c>
      <c r="G58" s="247">
        <v>399.6</v>
      </c>
      <c r="H58" s="247">
        <v>8345.6</v>
      </c>
      <c r="I58" s="247">
        <v>0</v>
      </c>
      <c r="J58" s="247">
        <v>2588.1333333333332</v>
      </c>
      <c r="K58" s="247">
        <v>2125.1633986928109</v>
      </c>
      <c r="L58" s="247">
        <v>1736.9252873563216</v>
      </c>
      <c r="M58" s="247">
        <v>325.5</v>
      </c>
      <c r="N58" s="249">
        <v>471.59411764705885</v>
      </c>
      <c r="O58" s="250">
        <v>0</v>
      </c>
      <c r="P58" s="249">
        <v>123.24444444444444</v>
      </c>
      <c r="Q58" s="249">
        <v>101.19825708061003</v>
      </c>
      <c r="R58" s="249">
        <v>82.710727969348653</v>
      </c>
      <c r="S58" s="250">
        <v>15.5</v>
      </c>
      <c r="T58" s="247">
        <v>22.456862745098039</v>
      </c>
      <c r="U58" s="247">
        <v>7247.3161370295238</v>
      </c>
      <c r="V58" s="255">
        <v>1098.2838629704765</v>
      </c>
      <c r="W58" s="247">
        <v>52.299231570022691</v>
      </c>
      <c r="X58" s="256">
        <v>0.13636063003127852</v>
      </c>
    </row>
    <row r="59" spans="1:24" x14ac:dyDescent="0.25">
      <c r="A59" s="254">
        <v>45810</v>
      </c>
      <c r="B59" s="131" t="s">
        <v>108</v>
      </c>
      <c r="C59" s="131" t="s">
        <v>7</v>
      </c>
      <c r="D59" s="131">
        <v>23</v>
      </c>
      <c r="E59" s="130">
        <v>100</v>
      </c>
      <c r="F59" s="131" t="s">
        <v>314</v>
      </c>
      <c r="G59" s="247">
        <v>399.6</v>
      </c>
      <c r="H59" s="247">
        <v>8361.6</v>
      </c>
      <c r="I59" s="247">
        <v>0</v>
      </c>
      <c r="J59" s="247">
        <v>2834.6222222222223</v>
      </c>
      <c r="K59" s="247">
        <v>2327.5599128540307</v>
      </c>
      <c r="L59" s="247">
        <v>0</v>
      </c>
      <c r="M59" s="247">
        <v>0</v>
      </c>
      <c r="N59" s="249">
        <v>516.50784313725489</v>
      </c>
      <c r="O59" s="250">
        <v>0</v>
      </c>
      <c r="P59" s="249">
        <v>123.24444444444444</v>
      </c>
      <c r="Q59" s="249">
        <v>101.19825708061003</v>
      </c>
      <c r="R59" s="249">
        <v>0</v>
      </c>
      <c r="S59" s="250">
        <v>0</v>
      </c>
      <c r="T59" s="247">
        <v>22.456862745098039</v>
      </c>
      <c r="U59" s="247">
        <v>5678.6899782135079</v>
      </c>
      <c r="V59" s="255">
        <v>2682.9100217864925</v>
      </c>
      <c r="W59" s="247">
        <v>116.64826181680402</v>
      </c>
      <c r="X59" s="256">
        <v>0.38213322254716592</v>
      </c>
    </row>
    <row r="60" spans="1:24" x14ac:dyDescent="0.25">
      <c r="A60" s="254">
        <v>45810</v>
      </c>
      <c r="B60" s="131" t="s">
        <v>108</v>
      </c>
      <c r="C60" s="131" t="s">
        <v>358</v>
      </c>
      <c r="D60" s="131">
        <v>1</v>
      </c>
      <c r="E60" s="130">
        <v>100</v>
      </c>
      <c r="F60" s="131" t="s">
        <v>340</v>
      </c>
      <c r="G60" s="247">
        <v>399.9</v>
      </c>
      <c r="H60" s="247">
        <v>399.9</v>
      </c>
      <c r="I60" s="247">
        <v>58.785299999999992</v>
      </c>
      <c r="J60" s="247">
        <v>98.844444444444434</v>
      </c>
      <c r="K60" s="247">
        <v>101.19825708061003</v>
      </c>
      <c r="L60" s="247">
        <v>82.710727969348653</v>
      </c>
      <c r="M60" s="247">
        <v>15.5</v>
      </c>
      <c r="N60" s="249">
        <v>22.456862745098039</v>
      </c>
      <c r="O60" s="250">
        <v>58.785299999999992</v>
      </c>
      <c r="P60" s="249">
        <v>98.844444444444434</v>
      </c>
      <c r="Q60" s="249">
        <v>101.19825708061003</v>
      </c>
      <c r="R60" s="249">
        <v>82.710727969348653</v>
      </c>
      <c r="S60" s="250">
        <v>15.5</v>
      </c>
      <c r="T60" s="247">
        <v>22.456862745098039</v>
      </c>
      <c r="U60" s="247">
        <v>379.49559223950115</v>
      </c>
      <c r="V60" s="255">
        <v>20.404407760498827</v>
      </c>
      <c r="W60" s="247">
        <v>20.404407760498827</v>
      </c>
      <c r="X60" s="256">
        <v>5.1023775345083344E-2</v>
      </c>
    </row>
    <row r="61" spans="1:24" x14ac:dyDescent="0.25">
      <c r="A61" s="254">
        <v>45810</v>
      </c>
      <c r="B61" s="131" t="s">
        <v>108</v>
      </c>
      <c r="C61" s="131" t="s">
        <v>6</v>
      </c>
      <c r="D61" s="131">
        <v>1</v>
      </c>
      <c r="E61" s="130">
        <v>100</v>
      </c>
      <c r="F61" s="131" t="s">
        <v>365</v>
      </c>
      <c r="G61" s="247">
        <v>399.9</v>
      </c>
      <c r="H61" s="247">
        <v>399.9</v>
      </c>
      <c r="I61" s="247">
        <v>0</v>
      </c>
      <c r="J61" s="247">
        <v>124.74444444444444</v>
      </c>
      <c r="K61" s="247">
        <v>101.19825708061003</v>
      </c>
      <c r="L61" s="247">
        <v>82.710727969348653</v>
      </c>
      <c r="M61" s="247">
        <v>15.5</v>
      </c>
      <c r="N61" s="249">
        <v>22.456862745098039</v>
      </c>
      <c r="O61" s="250">
        <v>0</v>
      </c>
      <c r="P61" s="249">
        <v>124.74444444444444</v>
      </c>
      <c r="Q61" s="249">
        <v>101.19825708061003</v>
      </c>
      <c r="R61" s="249">
        <v>82.710727969348653</v>
      </c>
      <c r="S61" s="250">
        <v>15.5</v>
      </c>
      <c r="T61" s="247">
        <v>22.456862745098039</v>
      </c>
      <c r="U61" s="247">
        <v>346.61029223950112</v>
      </c>
      <c r="V61" s="255">
        <v>53.289707760498857</v>
      </c>
      <c r="W61" s="247">
        <v>53.289707760498857</v>
      </c>
      <c r="X61" s="256">
        <v>0.13325758379719646</v>
      </c>
    </row>
    <row r="62" spans="1:24" x14ac:dyDescent="0.25">
      <c r="A62" s="254">
        <v>45810</v>
      </c>
      <c r="B62" s="131" t="s">
        <v>108</v>
      </c>
      <c r="C62" s="131" t="s">
        <v>355</v>
      </c>
      <c r="D62" s="131">
        <v>1</v>
      </c>
      <c r="E62" s="130">
        <v>100</v>
      </c>
      <c r="F62" s="131" t="s">
        <v>340</v>
      </c>
      <c r="G62" s="247">
        <v>419.9</v>
      </c>
      <c r="H62" s="247">
        <v>419.9</v>
      </c>
      <c r="I62" s="247">
        <v>61.72529999999999</v>
      </c>
      <c r="J62" s="247">
        <v>105.84444444444443</v>
      </c>
      <c r="K62" s="247">
        <v>101.19825708061003</v>
      </c>
      <c r="L62" s="247">
        <v>82.710727969348653</v>
      </c>
      <c r="M62" s="247">
        <v>15.5</v>
      </c>
      <c r="N62" s="249">
        <v>22.456862745098039</v>
      </c>
      <c r="O62" s="250">
        <v>61.72529999999999</v>
      </c>
      <c r="P62" s="249">
        <v>105.84444444444443</v>
      </c>
      <c r="Q62" s="249">
        <v>101.19825708061003</v>
      </c>
      <c r="R62" s="249">
        <v>82.710727969348653</v>
      </c>
      <c r="S62" s="250">
        <v>15.5</v>
      </c>
      <c r="T62" s="247">
        <v>22.456862745098039</v>
      </c>
      <c r="U62" s="247">
        <v>389.4355922395012</v>
      </c>
      <c r="V62" s="255">
        <v>30.464407760498773</v>
      </c>
      <c r="W62" s="247">
        <v>30.464407760498773</v>
      </c>
      <c r="X62" s="256">
        <v>7.255157837699161E-2</v>
      </c>
    </row>
    <row r="63" spans="1:24" x14ac:dyDescent="0.25">
      <c r="A63" s="254">
        <v>45810</v>
      </c>
      <c r="B63" s="131" t="s">
        <v>108</v>
      </c>
      <c r="C63" s="131" t="s">
        <v>356</v>
      </c>
      <c r="D63" s="131">
        <v>2</v>
      </c>
      <c r="E63" s="130">
        <v>100</v>
      </c>
      <c r="F63" s="131" t="s">
        <v>340</v>
      </c>
      <c r="G63" s="247">
        <v>419.9</v>
      </c>
      <c r="H63" s="247">
        <v>839.8</v>
      </c>
      <c r="I63" s="247">
        <v>123.45059999999998</v>
      </c>
      <c r="J63" s="247">
        <v>209.68888888888887</v>
      </c>
      <c r="K63" s="247">
        <v>202.39651416122007</v>
      </c>
      <c r="L63" s="247">
        <v>165.42145593869731</v>
      </c>
      <c r="M63" s="247">
        <v>31</v>
      </c>
      <c r="N63" s="249">
        <v>44.913725490196079</v>
      </c>
      <c r="O63" s="250">
        <v>61.72529999999999</v>
      </c>
      <c r="P63" s="249">
        <v>104.84444444444443</v>
      </c>
      <c r="Q63" s="249">
        <v>101.19825708061003</v>
      </c>
      <c r="R63" s="249">
        <v>82.710727969348653</v>
      </c>
      <c r="S63" s="250">
        <v>15.5</v>
      </c>
      <c r="T63" s="247">
        <v>22.456862745098039</v>
      </c>
      <c r="U63" s="247">
        <v>776.87118447900241</v>
      </c>
      <c r="V63" s="255">
        <v>62.928815520997546</v>
      </c>
      <c r="W63" s="247">
        <v>31.464407760498773</v>
      </c>
      <c r="X63" s="256">
        <v>7.4933097786374789E-2</v>
      </c>
    </row>
    <row r="64" spans="1:24" x14ac:dyDescent="0.25">
      <c r="A64" s="254">
        <v>45810</v>
      </c>
      <c r="B64" s="131" t="s">
        <v>108</v>
      </c>
      <c r="C64" s="131" t="s">
        <v>357</v>
      </c>
      <c r="D64" s="131">
        <v>1</v>
      </c>
      <c r="E64" s="130">
        <v>100</v>
      </c>
      <c r="F64" s="131" t="s">
        <v>340</v>
      </c>
      <c r="G64" s="247">
        <v>419.9</v>
      </c>
      <c r="H64" s="247">
        <v>419.9</v>
      </c>
      <c r="I64" s="247">
        <v>61.72529999999999</v>
      </c>
      <c r="J64" s="247">
        <v>104.84444444444443</v>
      </c>
      <c r="K64" s="247">
        <v>101.19825708061003</v>
      </c>
      <c r="L64" s="247">
        <v>82.710727969348653</v>
      </c>
      <c r="M64" s="247">
        <v>15.5</v>
      </c>
      <c r="N64" s="249">
        <v>22.456862745098039</v>
      </c>
      <c r="O64" s="250">
        <v>61.72529999999999</v>
      </c>
      <c r="P64" s="249">
        <v>104.84444444444443</v>
      </c>
      <c r="Q64" s="249">
        <v>101.19825708061003</v>
      </c>
      <c r="R64" s="249">
        <v>82.710727969348653</v>
      </c>
      <c r="S64" s="250">
        <v>15.5</v>
      </c>
      <c r="T64" s="247">
        <v>22.456862745098039</v>
      </c>
      <c r="U64" s="247">
        <v>388.4355922395012</v>
      </c>
      <c r="V64" s="255">
        <v>31.464407760498773</v>
      </c>
      <c r="W64" s="247">
        <v>31.464407760498773</v>
      </c>
      <c r="X64" s="256">
        <v>7.4933097786374789E-2</v>
      </c>
    </row>
    <row r="65" spans="1:24" x14ac:dyDescent="0.25">
      <c r="A65" s="254">
        <v>45810</v>
      </c>
      <c r="B65" s="131" t="s">
        <v>108</v>
      </c>
      <c r="C65" s="131" t="s">
        <v>357</v>
      </c>
      <c r="D65" s="131">
        <v>1</v>
      </c>
      <c r="E65" s="130">
        <v>100</v>
      </c>
      <c r="F65" s="131" t="s">
        <v>340</v>
      </c>
      <c r="G65" s="247">
        <v>419.9</v>
      </c>
      <c r="H65" s="247">
        <v>419.9</v>
      </c>
      <c r="I65" s="247">
        <v>61.72529999999999</v>
      </c>
      <c r="J65" s="247">
        <v>104.84444444444443</v>
      </c>
      <c r="K65" s="247">
        <v>101.19825708061003</v>
      </c>
      <c r="L65" s="247">
        <v>82.710727969348653</v>
      </c>
      <c r="M65" s="247">
        <v>15.5</v>
      </c>
      <c r="N65" s="249">
        <v>22.456862745098039</v>
      </c>
      <c r="O65" s="250">
        <v>61.72529999999999</v>
      </c>
      <c r="P65" s="249">
        <v>104.84444444444443</v>
      </c>
      <c r="Q65" s="249">
        <v>101.19825708061003</v>
      </c>
      <c r="R65" s="249">
        <v>82.710727969348653</v>
      </c>
      <c r="S65" s="250">
        <v>15.5</v>
      </c>
      <c r="T65" s="247">
        <v>22.456862745098039</v>
      </c>
      <c r="U65" s="247">
        <v>388.4355922395012</v>
      </c>
      <c r="V65" s="255">
        <v>31.464407760498773</v>
      </c>
      <c r="W65" s="247">
        <v>31.464407760498773</v>
      </c>
      <c r="X65" s="256">
        <v>7.4933097786374789E-2</v>
      </c>
    </row>
    <row r="66" spans="1:24" x14ac:dyDescent="0.25">
      <c r="A66" s="254">
        <v>45810</v>
      </c>
      <c r="B66" s="131" t="s">
        <v>108</v>
      </c>
      <c r="C66" s="131" t="s">
        <v>358</v>
      </c>
      <c r="D66" s="131">
        <v>2</v>
      </c>
      <c r="E66" s="130">
        <v>100</v>
      </c>
      <c r="F66" s="131" t="s">
        <v>340</v>
      </c>
      <c r="G66" s="247">
        <v>419.9</v>
      </c>
      <c r="H66" s="247">
        <v>839.8</v>
      </c>
      <c r="I66" s="247">
        <v>123.45059999999998</v>
      </c>
      <c r="J66" s="247">
        <v>197.68888888888887</v>
      </c>
      <c r="K66" s="247">
        <v>202.39651416122007</v>
      </c>
      <c r="L66" s="247">
        <v>165.42145593869731</v>
      </c>
      <c r="M66" s="247">
        <v>31</v>
      </c>
      <c r="N66" s="249">
        <v>44.913725490196079</v>
      </c>
      <c r="O66" s="250">
        <v>61.72529999999999</v>
      </c>
      <c r="P66" s="249">
        <v>98.844444444444434</v>
      </c>
      <c r="Q66" s="249">
        <v>101.19825708061003</v>
      </c>
      <c r="R66" s="249">
        <v>82.710727969348653</v>
      </c>
      <c r="S66" s="250">
        <v>15.5</v>
      </c>
      <c r="T66" s="247">
        <v>22.456862745098039</v>
      </c>
      <c r="U66" s="247">
        <v>764.87118447900241</v>
      </c>
      <c r="V66" s="255">
        <v>74.928815520997546</v>
      </c>
      <c r="W66" s="247">
        <v>37.464407760498773</v>
      </c>
      <c r="X66" s="256">
        <v>8.9222214242673917E-2</v>
      </c>
    </row>
    <row r="67" spans="1:24" x14ac:dyDescent="0.25">
      <c r="A67" s="254">
        <v>45810</v>
      </c>
      <c r="B67" s="131" t="s">
        <v>108</v>
      </c>
      <c r="C67" s="131" t="s">
        <v>11</v>
      </c>
      <c r="D67" s="131">
        <v>1</v>
      </c>
      <c r="E67" s="130">
        <v>100</v>
      </c>
      <c r="F67" s="131" t="s">
        <v>365</v>
      </c>
      <c r="G67" s="247">
        <v>419.9</v>
      </c>
      <c r="H67" s="247">
        <v>419.9</v>
      </c>
      <c r="I67" s="247">
        <v>0</v>
      </c>
      <c r="J67" s="247">
        <v>126.24444444444444</v>
      </c>
      <c r="K67" s="247">
        <v>101.19825708061003</v>
      </c>
      <c r="L67" s="247">
        <v>82.710727969348653</v>
      </c>
      <c r="M67" s="247">
        <v>15.5</v>
      </c>
      <c r="N67" s="249">
        <v>22.456862745098039</v>
      </c>
      <c r="O67" s="250">
        <v>0</v>
      </c>
      <c r="P67" s="249">
        <v>126.24444444444444</v>
      </c>
      <c r="Q67" s="249">
        <v>101.19825708061003</v>
      </c>
      <c r="R67" s="249">
        <v>82.710727969348653</v>
      </c>
      <c r="S67" s="250">
        <v>15.5</v>
      </c>
      <c r="T67" s="247">
        <v>22.456862745098039</v>
      </c>
      <c r="U67" s="247">
        <v>348.11029223950112</v>
      </c>
      <c r="V67" s="255">
        <v>71.789707760498857</v>
      </c>
      <c r="W67" s="247">
        <v>71.789707760498857</v>
      </c>
      <c r="X67" s="256">
        <v>0.17096858242557481</v>
      </c>
    </row>
    <row r="68" spans="1:24" x14ac:dyDescent="0.25">
      <c r="A68" s="254">
        <v>45810</v>
      </c>
      <c r="B68" s="131" t="s">
        <v>108</v>
      </c>
      <c r="C68" s="131" t="s">
        <v>11</v>
      </c>
      <c r="D68" s="131">
        <v>1</v>
      </c>
      <c r="E68" s="130">
        <v>100</v>
      </c>
      <c r="F68" s="131" t="s">
        <v>314</v>
      </c>
      <c r="G68" s="247">
        <v>419.9</v>
      </c>
      <c r="H68" s="247">
        <v>419.9</v>
      </c>
      <c r="I68" s="247">
        <v>0</v>
      </c>
      <c r="J68" s="247">
        <v>126.24444444444444</v>
      </c>
      <c r="K68" s="247">
        <v>101.19825708061003</v>
      </c>
      <c r="L68" s="247">
        <v>0</v>
      </c>
      <c r="M68" s="247">
        <v>0</v>
      </c>
      <c r="N68" s="249">
        <v>22.456862745098039</v>
      </c>
      <c r="O68" s="250">
        <v>0</v>
      </c>
      <c r="P68" s="249">
        <v>126.24444444444444</v>
      </c>
      <c r="Q68" s="249">
        <v>101.19825708061003</v>
      </c>
      <c r="R68" s="249">
        <v>0</v>
      </c>
      <c r="S68" s="250">
        <v>0</v>
      </c>
      <c r="T68" s="247">
        <v>22.456862745098039</v>
      </c>
      <c r="U68" s="247">
        <v>249.89956427015252</v>
      </c>
      <c r="V68" s="255">
        <v>170.00043572984745</v>
      </c>
      <c r="W68" s="247">
        <v>170.00043572984745</v>
      </c>
      <c r="X68" s="256">
        <v>0.40485933729423068</v>
      </c>
    </row>
    <row r="69" spans="1:24" x14ac:dyDescent="0.25">
      <c r="A69" s="254">
        <v>45810</v>
      </c>
      <c r="B69" s="131" t="s">
        <v>108</v>
      </c>
      <c r="C69" s="131" t="s">
        <v>135</v>
      </c>
      <c r="D69" s="131">
        <v>3</v>
      </c>
      <c r="E69" s="130">
        <v>100</v>
      </c>
      <c r="F69" s="131" t="s">
        <v>365</v>
      </c>
      <c r="G69" s="247">
        <v>419.9</v>
      </c>
      <c r="H69" s="247">
        <v>1259.7</v>
      </c>
      <c r="I69" s="247">
        <v>0</v>
      </c>
      <c r="J69" s="247">
        <v>395.23333333333335</v>
      </c>
      <c r="K69" s="247">
        <v>303.59477124183013</v>
      </c>
      <c r="L69" s="247">
        <v>248.13218390804596</v>
      </c>
      <c r="M69" s="247">
        <v>46.5</v>
      </c>
      <c r="N69" s="249">
        <v>67.370588235294122</v>
      </c>
      <c r="O69" s="250">
        <v>0</v>
      </c>
      <c r="P69" s="249">
        <v>131.74444444444444</v>
      </c>
      <c r="Q69" s="249">
        <v>101.19825708061003</v>
      </c>
      <c r="R69" s="249">
        <v>82.710727969348653</v>
      </c>
      <c r="S69" s="250">
        <v>15.5</v>
      </c>
      <c r="T69" s="247">
        <v>22.456862745098039</v>
      </c>
      <c r="U69" s="247">
        <v>1060.8308767185033</v>
      </c>
      <c r="V69" s="255">
        <v>198.86912328149674</v>
      </c>
      <c r="W69" s="247">
        <v>66.289707760498914</v>
      </c>
      <c r="X69" s="256">
        <v>0.15787022567396727</v>
      </c>
    </row>
    <row r="70" spans="1:24" x14ac:dyDescent="0.25">
      <c r="A70" s="254">
        <v>45810</v>
      </c>
      <c r="B70" s="131" t="s">
        <v>108</v>
      </c>
      <c r="C70" s="131" t="s">
        <v>355</v>
      </c>
      <c r="D70" s="131">
        <v>1</v>
      </c>
      <c r="E70" s="130">
        <v>100</v>
      </c>
      <c r="F70" s="131" t="s">
        <v>340</v>
      </c>
      <c r="G70" s="247">
        <v>429.9</v>
      </c>
      <c r="H70" s="247">
        <v>429.9</v>
      </c>
      <c r="I70" s="247">
        <v>63.195299999999996</v>
      </c>
      <c r="J70" s="247">
        <v>105.84444444444443</v>
      </c>
      <c r="K70" s="247">
        <v>101.19825708061003</v>
      </c>
      <c r="L70" s="247">
        <v>82.710727969348653</v>
      </c>
      <c r="M70" s="247">
        <v>15.5</v>
      </c>
      <c r="N70" s="249">
        <v>22.456862745098039</v>
      </c>
      <c r="O70" s="250">
        <v>63.195299999999996</v>
      </c>
      <c r="P70" s="249">
        <v>105.84444444444443</v>
      </c>
      <c r="Q70" s="249">
        <v>101.19825708061003</v>
      </c>
      <c r="R70" s="249">
        <v>82.710727969348653</v>
      </c>
      <c r="S70" s="250">
        <v>15.5</v>
      </c>
      <c r="T70" s="247">
        <v>22.456862745098039</v>
      </c>
      <c r="U70" s="247">
        <v>390.90559223950112</v>
      </c>
      <c r="V70" s="255">
        <v>38.994407760498859</v>
      </c>
      <c r="W70" s="247">
        <v>38.994407760498859</v>
      </c>
      <c r="X70" s="256">
        <v>9.0705763574084344E-2</v>
      </c>
    </row>
    <row r="71" spans="1:24" x14ac:dyDescent="0.25">
      <c r="A71" s="254">
        <v>45810</v>
      </c>
      <c r="B71" s="131" t="s">
        <v>108</v>
      </c>
      <c r="C71" s="131" t="s">
        <v>356</v>
      </c>
      <c r="D71" s="131">
        <v>1</v>
      </c>
      <c r="E71" s="130">
        <v>100</v>
      </c>
      <c r="F71" s="131" t="s">
        <v>100</v>
      </c>
      <c r="G71" s="247">
        <v>431.9</v>
      </c>
      <c r="H71" s="247">
        <v>431.9</v>
      </c>
      <c r="I71" s="247">
        <v>38.870999999999995</v>
      </c>
      <c r="J71" s="247">
        <v>104.84444444444443</v>
      </c>
      <c r="K71" s="247">
        <v>101.19825708061003</v>
      </c>
      <c r="L71" s="247">
        <v>82.710727969348653</v>
      </c>
      <c r="M71" s="247">
        <v>15.5</v>
      </c>
      <c r="N71" s="249">
        <v>22.456862745098039</v>
      </c>
      <c r="O71" s="250">
        <v>38.870999999999995</v>
      </c>
      <c r="P71" s="249">
        <v>104.84444444444443</v>
      </c>
      <c r="Q71" s="249">
        <v>101.19825708061003</v>
      </c>
      <c r="R71" s="249">
        <v>82.710727969348653</v>
      </c>
      <c r="S71" s="250">
        <v>15.5</v>
      </c>
      <c r="T71" s="247">
        <v>22.456862745098039</v>
      </c>
      <c r="U71" s="247">
        <v>365.58129223950112</v>
      </c>
      <c r="V71" s="255">
        <v>66.318707760498853</v>
      </c>
      <c r="W71" s="247">
        <v>66.318707760498853</v>
      </c>
      <c r="X71" s="256">
        <v>0.15355107145287997</v>
      </c>
    </row>
    <row r="72" spans="1:24" x14ac:dyDescent="0.25">
      <c r="A72" s="254">
        <v>45810</v>
      </c>
      <c r="B72" s="131" t="s">
        <v>108</v>
      </c>
      <c r="C72" s="131" t="s">
        <v>355</v>
      </c>
      <c r="D72" s="131">
        <v>1</v>
      </c>
      <c r="E72" s="130">
        <v>100</v>
      </c>
      <c r="F72" s="131" t="s">
        <v>340</v>
      </c>
      <c r="G72" s="247">
        <v>431.9</v>
      </c>
      <c r="H72" s="247">
        <v>431.9</v>
      </c>
      <c r="I72" s="247">
        <v>63.489299999999993</v>
      </c>
      <c r="J72" s="247">
        <v>105.84444444444443</v>
      </c>
      <c r="K72" s="247">
        <v>101.19825708061003</v>
      </c>
      <c r="L72" s="247">
        <v>82.710727969348653</v>
      </c>
      <c r="M72" s="247">
        <v>15.5</v>
      </c>
      <c r="N72" s="249">
        <v>22.456862745098039</v>
      </c>
      <c r="O72" s="250">
        <v>63.489299999999993</v>
      </c>
      <c r="P72" s="249">
        <v>105.84444444444443</v>
      </c>
      <c r="Q72" s="249">
        <v>101.19825708061003</v>
      </c>
      <c r="R72" s="249">
        <v>82.710727969348653</v>
      </c>
      <c r="S72" s="250">
        <v>15.5</v>
      </c>
      <c r="T72" s="247">
        <v>22.456862745098039</v>
      </c>
      <c r="U72" s="247">
        <v>391.1995922395011</v>
      </c>
      <c r="V72" s="255">
        <v>40.700407760498877</v>
      </c>
      <c r="W72" s="247">
        <v>40.700407760498877</v>
      </c>
      <c r="X72" s="256">
        <v>9.4235720677237511E-2</v>
      </c>
    </row>
    <row r="73" spans="1:24" x14ac:dyDescent="0.25">
      <c r="A73" s="254">
        <v>45810</v>
      </c>
      <c r="B73" s="131" t="s">
        <v>108</v>
      </c>
      <c r="C73" s="131" t="s">
        <v>358</v>
      </c>
      <c r="D73" s="131">
        <v>1</v>
      </c>
      <c r="E73" s="130">
        <v>100</v>
      </c>
      <c r="F73" s="131" t="s">
        <v>100</v>
      </c>
      <c r="G73" s="247">
        <v>443.9</v>
      </c>
      <c r="H73" s="247">
        <v>443.9</v>
      </c>
      <c r="I73" s="247">
        <v>39.950999999999993</v>
      </c>
      <c r="J73" s="247">
        <v>98.844444444444434</v>
      </c>
      <c r="K73" s="247">
        <v>101.19825708061003</v>
      </c>
      <c r="L73" s="247">
        <v>82.710727969348653</v>
      </c>
      <c r="M73" s="247">
        <v>15.5</v>
      </c>
      <c r="N73" s="249">
        <v>22.456862745098039</v>
      </c>
      <c r="O73" s="250">
        <v>39.950999999999993</v>
      </c>
      <c r="P73" s="249">
        <v>98.844444444444434</v>
      </c>
      <c r="Q73" s="249">
        <v>101.19825708061003</v>
      </c>
      <c r="R73" s="249">
        <v>82.710727969348653</v>
      </c>
      <c r="S73" s="250">
        <v>15.5</v>
      </c>
      <c r="T73" s="247">
        <v>22.456862745098039</v>
      </c>
      <c r="U73" s="247">
        <v>360.66129223950117</v>
      </c>
      <c r="V73" s="255">
        <v>83.238707760498812</v>
      </c>
      <c r="W73" s="247">
        <v>83.238707760498812</v>
      </c>
      <c r="X73" s="256">
        <v>0.18751680054178602</v>
      </c>
    </row>
    <row r="74" spans="1:24" x14ac:dyDescent="0.25">
      <c r="A74" s="254">
        <v>45810</v>
      </c>
      <c r="B74" s="131" t="s">
        <v>108</v>
      </c>
      <c r="C74" s="131" t="s">
        <v>355</v>
      </c>
      <c r="D74" s="131">
        <v>4</v>
      </c>
      <c r="E74" s="130">
        <v>100</v>
      </c>
      <c r="F74" s="131" t="s">
        <v>340</v>
      </c>
      <c r="G74" s="247">
        <v>449.9</v>
      </c>
      <c r="H74" s="247">
        <v>1799.6</v>
      </c>
      <c r="I74" s="247">
        <v>264.54119999999995</v>
      </c>
      <c r="J74" s="247">
        <v>423.37777777777774</v>
      </c>
      <c r="K74" s="247">
        <v>404.79302832244014</v>
      </c>
      <c r="L74" s="247">
        <v>330.84291187739461</v>
      </c>
      <c r="M74" s="247">
        <v>62</v>
      </c>
      <c r="N74" s="249">
        <v>89.827450980392157</v>
      </c>
      <c r="O74" s="250">
        <v>66.135299999999987</v>
      </c>
      <c r="P74" s="249">
        <v>105.84444444444443</v>
      </c>
      <c r="Q74" s="249">
        <v>101.19825708061003</v>
      </c>
      <c r="R74" s="249">
        <v>82.710727969348653</v>
      </c>
      <c r="S74" s="250">
        <v>15.5</v>
      </c>
      <c r="T74" s="247">
        <v>22.456862745098039</v>
      </c>
      <c r="U74" s="247">
        <v>1575.3823689580047</v>
      </c>
      <c r="V74" s="255">
        <v>224.21763104199522</v>
      </c>
      <c r="W74" s="247">
        <v>56.054407760498805</v>
      </c>
      <c r="X74" s="256">
        <v>0.12459303792064638</v>
      </c>
    </row>
    <row r="75" spans="1:24" x14ac:dyDescent="0.25">
      <c r="A75" s="254">
        <v>45810</v>
      </c>
      <c r="B75" s="131" t="s">
        <v>108</v>
      </c>
      <c r="C75" s="131" t="s">
        <v>356</v>
      </c>
      <c r="D75" s="131">
        <v>3</v>
      </c>
      <c r="E75" s="130">
        <v>100</v>
      </c>
      <c r="F75" s="131" t="s">
        <v>340</v>
      </c>
      <c r="G75" s="247">
        <v>449.9</v>
      </c>
      <c r="H75" s="247">
        <v>1349.7</v>
      </c>
      <c r="I75" s="247">
        <v>198.4059</v>
      </c>
      <c r="J75" s="247">
        <v>314.5333333333333</v>
      </c>
      <c r="K75" s="247">
        <v>303.59477124183013</v>
      </c>
      <c r="L75" s="247">
        <v>248.13218390804596</v>
      </c>
      <c r="M75" s="247">
        <v>46.5</v>
      </c>
      <c r="N75" s="249">
        <v>67.370588235294122</v>
      </c>
      <c r="O75" s="250">
        <v>66.135300000000001</v>
      </c>
      <c r="P75" s="249">
        <v>104.84444444444443</v>
      </c>
      <c r="Q75" s="249">
        <v>101.19825708061003</v>
      </c>
      <c r="R75" s="249">
        <v>82.710727969348653</v>
      </c>
      <c r="S75" s="250">
        <v>15.5</v>
      </c>
      <c r="T75" s="247">
        <v>22.456862745098039</v>
      </c>
      <c r="U75" s="247">
        <v>1178.5367767185035</v>
      </c>
      <c r="V75" s="255">
        <v>171.16322328149658</v>
      </c>
      <c r="W75" s="247">
        <v>57.054407760498862</v>
      </c>
      <c r="X75" s="256">
        <v>0.12681575407979287</v>
      </c>
    </row>
    <row r="76" spans="1:24" x14ac:dyDescent="0.25">
      <c r="A76" s="254">
        <v>45810</v>
      </c>
      <c r="B76" s="131" t="s">
        <v>108</v>
      </c>
      <c r="C76" s="131" t="s">
        <v>357</v>
      </c>
      <c r="D76" s="131">
        <v>3</v>
      </c>
      <c r="E76" s="130">
        <v>100</v>
      </c>
      <c r="F76" s="131" t="s">
        <v>340</v>
      </c>
      <c r="G76" s="247">
        <v>449.9</v>
      </c>
      <c r="H76" s="247">
        <v>1349.7</v>
      </c>
      <c r="I76" s="247">
        <v>198.4059</v>
      </c>
      <c r="J76" s="247">
        <v>314.5333333333333</v>
      </c>
      <c r="K76" s="247">
        <v>303.59477124183013</v>
      </c>
      <c r="L76" s="247">
        <v>248.13218390804596</v>
      </c>
      <c r="M76" s="247">
        <v>46.5</v>
      </c>
      <c r="N76" s="249">
        <v>67.370588235294122</v>
      </c>
      <c r="O76" s="250">
        <v>66.135300000000001</v>
      </c>
      <c r="P76" s="249">
        <v>104.84444444444443</v>
      </c>
      <c r="Q76" s="249">
        <v>101.19825708061003</v>
      </c>
      <c r="R76" s="249">
        <v>82.710727969348653</v>
      </c>
      <c r="S76" s="250">
        <v>15.5</v>
      </c>
      <c r="T76" s="247">
        <v>22.456862745098039</v>
      </c>
      <c r="U76" s="247">
        <v>1178.5367767185035</v>
      </c>
      <c r="V76" s="255">
        <v>171.16322328149658</v>
      </c>
      <c r="W76" s="247">
        <v>57.054407760498862</v>
      </c>
      <c r="X76" s="256">
        <v>0.12681575407979287</v>
      </c>
    </row>
    <row r="77" spans="1:24" x14ac:dyDescent="0.25">
      <c r="A77" s="254">
        <v>45810</v>
      </c>
      <c r="B77" s="131" t="s">
        <v>108</v>
      </c>
      <c r="C77" s="131" t="s">
        <v>359</v>
      </c>
      <c r="D77" s="131">
        <v>4</v>
      </c>
      <c r="E77" s="130">
        <v>100</v>
      </c>
      <c r="F77" s="131" t="s">
        <v>340</v>
      </c>
      <c r="G77" s="247">
        <v>449.9</v>
      </c>
      <c r="H77" s="247">
        <v>1799.6</v>
      </c>
      <c r="I77" s="247">
        <v>264.54119999999995</v>
      </c>
      <c r="J77" s="247">
        <v>427.37777777777774</v>
      </c>
      <c r="K77" s="247">
        <v>404.79302832244014</v>
      </c>
      <c r="L77" s="247">
        <v>330.84291187739461</v>
      </c>
      <c r="M77" s="247">
        <v>62</v>
      </c>
      <c r="N77" s="249">
        <v>89.827450980392157</v>
      </c>
      <c r="O77" s="250">
        <v>66.135299999999987</v>
      </c>
      <c r="P77" s="249">
        <v>106.84444444444443</v>
      </c>
      <c r="Q77" s="249">
        <v>101.19825708061003</v>
      </c>
      <c r="R77" s="249">
        <v>82.710727969348653</v>
      </c>
      <c r="S77" s="250">
        <v>15.5</v>
      </c>
      <c r="T77" s="247">
        <v>22.456862745098039</v>
      </c>
      <c r="U77" s="247">
        <v>1579.3823689580047</v>
      </c>
      <c r="V77" s="255">
        <v>220.21763104199522</v>
      </c>
      <c r="W77" s="247">
        <v>55.054407760498805</v>
      </c>
      <c r="X77" s="256">
        <v>0.12237032176149991</v>
      </c>
    </row>
    <row r="78" spans="1:24" x14ac:dyDescent="0.25">
      <c r="A78" s="254">
        <v>45810</v>
      </c>
      <c r="B78" s="131" t="s">
        <v>108</v>
      </c>
      <c r="C78" s="131" t="s">
        <v>7</v>
      </c>
      <c r="D78" s="131">
        <v>1</v>
      </c>
      <c r="E78" s="130">
        <v>140</v>
      </c>
      <c r="F78" s="131" t="s">
        <v>314</v>
      </c>
      <c r="G78" s="247">
        <v>449.9</v>
      </c>
      <c r="H78" s="247">
        <v>449.9</v>
      </c>
      <c r="I78" s="247">
        <v>0</v>
      </c>
      <c r="J78" s="247">
        <v>142.44444444444443</v>
      </c>
      <c r="K78" s="247">
        <v>101.19825708061003</v>
      </c>
      <c r="L78" s="247">
        <v>0</v>
      </c>
      <c r="M78" s="247">
        <v>0</v>
      </c>
      <c r="N78" s="249">
        <v>22.456862745098039</v>
      </c>
      <c r="O78" s="250">
        <v>0</v>
      </c>
      <c r="P78" s="249">
        <v>142.44444444444443</v>
      </c>
      <c r="Q78" s="249">
        <v>101.19825708061003</v>
      </c>
      <c r="R78" s="249">
        <v>0</v>
      </c>
      <c r="S78" s="250">
        <v>0</v>
      </c>
      <c r="T78" s="247">
        <v>22.456862745098039</v>
      </c>
      <c r="U78" s="247">
        <v>266.09956427015248</v>
      </c>
      <c r="V78" s="255">
        <v>183.80043572984749</v>
      </c>
      <c r="W78" s="247">
        <v>183.80043572984749</v>
      </c>
      <c r="X78" s="256">
        <v>0.40853619855489554</v>
      </c>
    </row>
    <row r="79" spans="1:24" x14ac:dyDescent="0.25">
      <c r="A79" s="254">
        <v>45810</v>
      </c>
      <c r="B79" s="131" t="s">
        <v>108</v>
      </c>
      <c r="C79" s="131" t="s">
        <v>7</v>
      </c>
      <c r="D79" s="131">
        <v>9</v>
      </c>
      <c r="E79" s="130">
        <v>140</v>
      </c>
      <c r="F79" s="131" t="s">
        <v>365</v>
      </c>
      <c r="G79" s="247">
        <v>449.9</v>
      </c>
      <c r="H79" s="247">
        <v>4048.1</v>
      </c>
      <c r="I79" s="247">
        <v>0</v>
      </c>
      <c r="J79" s="247">
        <v>1281.9999999999998</v>
      </c>
      <c r="K79" s="247">
        <v>910.78431372549028</v>
      </c>
      <c r="L79" s="247">
        <v>744.39655172413791</v>
      </c>
      <c r="M79" s="247">
        <v>139.5</v>
      </c>
      <c r="N79" s="249">
        <v>202.11176470588236</v>
      </c>
      <c r="O79" s="250">
        <v>0</v>
      </c>
      <c r="P79" s="249">
        <v>142.44444444444443</v>
      </c>
      <c r="Q79" s="249">
        <v>101.19825708061003</v>
      </c>
      <c r="R79" s="249">
        <v>82.710727969348653</v>
      </c>
      <c r="S79" s="250">
        <v>15.5</v>
      </c>
      <c r="T79" s="247">
        <v>22.456862745098039</v>
      </c>
      <c r="U79" s="247">
        <v>3278.7926301555103</v>
      </c>
      <c r="V79" s="255">
        <v>769.30736984448959</v>
      </c>
      <c r="W79" s="247" t="s">
        <v>374</v>
      </c>
      <c r="X79" s="256">
        <v>0.19024162649588533</v>
      </c>
    </row>
    <row r="80" spans="1:24" x14ac:dyDescent="0.25">
      <c r="A80" s="254">
        <v>45810</v>
      </c>
      <c r="B80" s="131" t="s">
        <v>108</v>
      </c>
      <c r="C80" s="131" t="s">
        <v>7</v>
      </c>
      <c r="D80" s="131">
        <v>3</v>
      </c>
      <c r="E80" s="130">
        <v>140</v>
      </c>
      <c r="F80" s="131" t="s">
        <v>314</v>
      </c>
      <c r="G80" s="247">
        <v>449.9</v>
      </c>
      <c r="H80" s="247">
        <v>1349.7</v>
      </c>
      <c r="I80" s="247">
        <v>0</v>
      </c>
      <c r="J80" s="247">
        <v>427.33333333333326</v>
      </c>
      <c r="K80" s="247">
        <v>303.59477124183013</v>
      </c>
      <c r="L80" s="247">
        <v>0</v>
      </c>
      <c r="M80" s="247">
        <v>0</v>
      </c>
      <c r="N80" s="249">
        <v>67.370588235294122</v>
      </c>
      <c r="O80" s="250">
        <v>0</v>
      </c>
      <c r="P80" s="249">
        <v>142.44444444444443</v>
      </c>
      <c r="Q80" s="249">
        <v>101.19825708061003</v>
      </c>
      <c r="R80" s="249">
        <v>0</v>
      </c>
      <c r="S80" s="250">
        <v>0</v>
      </c>
      <c r="T80" s="247">
        <v>22.456862745098039</v>
      </c>
      <c r="U80" s="247">
        <v>798.2986928104574</v>
      </c>
      <c r="V80" s="255">
        <v>551.40130718954265</v>
      </c>
      <c r="W80" s="247">
        <v>183.80043572984755</v>
      </c>
      <c r="X80" s="256">
        <v>0.40853619855489554</v>
      </c>
    </row>
    <row r="81" spans="1:24" x14ac:dyDescent="0.25">
      <c r="A81" s="254">
        <v>45810</v>
      </c>
      <c r="B81" s="131" t="s">
        <v>108</v>
      </c>
      <c r="C81" s="131" t="s">
        <v>377</v>
      </c>
      <c r="D81" s="131">
        <v>1</v>
      </c>
      <c r="E81" s="130">
        <v>100</v>
      </c>
      <c r="F81" s="131" t="s">
        <v>341</v>
      </c>
      <c r="G81" s="247">
        <v>455.16</v>
      </c>
      <c r="H81" s="247">
        <v>455.16</v>
      </c>
      <c r="I81" s="247">
        <v>58.715640000000008</v>
      </c>
      <c r="J81" s="247">
        <v>124.74444444444444</v>
      </c>
      <c r="K81" s="247">
        <v>101.19825708061003</v>
      </c>
      <c r="L81" s="247">
        <v>82.710727969348653</v>
      </c>
      <c r="M81" s="247">
        <v>15.5</v>
      </c>
      <c r="N81" s="249">
        <v>22.456862745098039</v>
      </c>
      <c r="O81" s="250">
        <v>58.715640000000008</v>
      </c>
      <c r="P81" s="249">
        <v>124.74444444444444</v>
      </c>
      <c r="Q81" s="249">
        <v>101.19825708061003</v>
      </c>
      <c r="R81" s="249">
        <v>82.710727969348653</v>
      </c>
      <c r="S81" s="250">
        <v>15.5</v>
      </c>
      <c r="T81" s="247">
        <v>22.456862745098039</v>
      </c>
      <c r="U81" s="247">
        <v>405.32593223950113</v>
      </c>
      <c r="V81" s="255">
        <v>49.834067760498897</v>
      </c>
      <c r="W81" s="247">
        <v>49.834067760498897</v>
      </c>
      <c r="X81" s="256">
        <v>0.10948692275353479</v>
      </c>
    </row>
    <row r="82" spans="1:24" x14ac:dyDescent="0.25">
      <c r="A82" s="254">
        <v>45810</v>
      </c>
      <c r="B82" s="131" t="s">
        <v>108</v>
      </c>
      <c r="C82" s="131" t="s">
        <v>7</v>
      </c>
      <c r="D82" s="131">
        <v>3</v>
      </c>
      <c r="E82" s="130">
        <v>100</v>
      </c>
      <c r="F82" s="131" t="s">
        <v>341</v>
      </c>
      <c r="G82" s="247">
        <v>455.16</v>
      </c>
      <c r="H82" s="247">
        <v>1365.48</v>
      </c>
      <c r="I82" s="247">
        <v>176.14691999999999</v>
      </c>
      <c r="J82" s="247">
        <v>369.73333333333335</v>
      </c>
      <c r="K82" s="247">
        <v>303.59477124183013</v>
      </c>
      <c r="L82" s="247">
        <v>248.13218390804596</v>
      </c>
      <c r="M82" s="247">
        <v>46.5</v>
      </c>
      <c r="N82" s="249">
        <v>67.370588235294122</v>
      </c>
      <c r="O82" s="250">
        <v>58.71564</v>
      </c>
      <c r="P82" s="249">
        <v>123.24444444444444</v>
      </c>
      <c r="Q82" s="249">
        <v>101.19825708061003</v>
      </c>
      <c r="R82" s="249">
        <v>82.710727969348653</v>
      </c>
      <c r="S82" s="250">
        <v>15.5</v>
      </c>
      <c r="T82" s="247">
        <v>22.456862745098039</v>
      </c>
      <c r="U82" s="247">
        <v>1211.4777967185034</v>
      </c>
      <c r="V82" s="255">
        <v>154.00220328149658</v>
      </c>
      <c r="W82" s="247">
        <v>51.334067760498861</v>
      </c>
      <c r="X82" s="256">
        <v>0.11278246717747362</v>
      </c>
    </row>
    <row r="83" spans="1:24" x14ac:dyDescent="0.25">
      <c r="A83" s="254">
        <v>45810</v>
      </c>
      <c r="B83" s="131" t="s">
        <v>108</v>
      </c>
      <c r="C83" s="131" t="s">
        <v>5</v>
      </c>
      <c r="D83" s="131">
        <v>1</v>
      </c>
      <c r="E83" s="130">
        <v>100</v>
      </c>
      <c r="F83" s="131" t="s">
        <v>314</v>
      </c>
      <c r="G83" s="247">
        <v>459.9</v>
      </c>
      <c r="H83" s="247">
        <v>459.9</v>
      </c>
      <c r="I83" s="247">
        <v>0</v>
      </c>
      <c r="J83" s="247">
        <v>163.57222222222222</v>
      </c>
      <c r="K83" s="247">
        <v>101.19825708061003</v>
      </c>
      <c r="L83" s="247">
        <v>0</v>
      </c>
      <c r="M83" s="247">
        <v>0</v>
      </c>
      <c r="N83" s="249">
        <v>22.456862745098039</v>
      </c>
      <c r="O83" s="250">
        <v>0</v>
      </c>
      <c r="P83" s="249">
        <v>163.57222222222222</v>
      </c>
      <c r="Q83" s="249">
        <v>101.19825708061003</v>
      </c>
      <c r="R83" s="249">
        <v>0</v>
      </c>
      <c r="S83" s="250">
        <v>0</v>
      </c>
      <c r="T83" s="247">
        <v>22.456862745098039</v>
      </c>
      <c r="U83" s="247">
        <v>287.22734204793028</v>
      </c>
      <c r="V83" s="255">
        <v>172.6726579520697</v>
      </c>
      <c r="W83" s="247">
        <v>172.6726579520697</v>
      </c>
      <c r="X83" s="256">
        <v>0.37545696445329357</v>
      </c>
    </row>
    <row r="84" spans="1:24" x14ac:dyDescent="0.25">
      <c r="A84" s="254">
        <v>45810</v>
      </c>
      <c r="B84" s="131" t="s">
        <v>108</v>
      </c>
      <c r="C84" s="131" t="s">
        <v>13</v>
      </c>
      <c r="D84" s="131">
        <v>1</v>
      </c>
      <c r="E84" s="130">
        <v>100</v>
      </c>
      <c r="F84" s="131" t="s">
        <v>341</v>
      </c>
      <c r="G84" s="247">
        <v>476.41</v>
      </c>
      <c r="H84" s="247">
        <v>476.41</v>
      </c>
      <c r="I84" s="247">
        <v>61.456890000000008</v>
      </c>
      <c r="J84" s="247">
        <v>129.64444444444445</v>
      </c>
      <c r="K84" s="247">
        <v>101.19825708061003</v>
      </c>
      <c r="L84" s="247">
        <v>82.710727969348653</v>
      </c>
      <c r="M84" s="247">
        <v>15.5</v>
      </c>
      <c r="N84" s="249">
        <v>22.456862745098039</v>
      </c>
      <c r="O84" s="250">
        <v>61.456890000000008</v>
      </c>
      <c r="P84" s="249">
        <v>129.64444444444445</v>
      </c>
      <c r="Q84" s="249">
        <v>101.19825708061003</v>
      </c>
      <c r="R84" s="249">
        <v>82.710727969348653</v>
      </c>
      <c r="S84" s="250">
        <v>15.5</v>
      </c>
      <c r="T84" s="247">
        <v>22.456862745098039</v>
      </c>
      <c r="U84" s="247">
        <v>412.96718223950114</v>
      </c>
      <c r="V84" s="255">
        <v>63.442817760498883</v>
      </c>
      <c r="W84" s="247">
        <v>63.442817760498883</v>
      </c>
      <c r="X84" s="256">
        <v>0.13316852660628214</v>
      </c>
    </row>
    <row r="85" spans="1:24" x14ac:dyDescent="0.25">
      <c r="A85" s="254">
        <v>45810</v>
      </c>
      <c r="B85" s="131" t="s">
        <v>108</v>
      </c>
      <c r="C85" s="131" t="s">
        <v>6</v>
      </c>
      <c r="D85" s="131">
        <v>1</v>
      </c>
      <c r="E85" s="130">
        <v>100</v>
      </c>
      <c r="F85" s="131" t="s">
        <v>216</v>
      </c>
      <c r="G85" s="247">
        <v>494.9</v>
      </c>
      <c r="H85" s="247">
        <v>494.9</v>
      </c>
      <c r="I85" s="247">
        <v>63.842100000000002</v>
      </c>
      <c r="J85" s="247">
        <v>124.74444444444444</v>
      </c>
      <c r="K85" s="247">
        <v>101.19825708061003</v>
      </c>
      <c r="L85" s="247">
        <v>82.710727969348653</v>
      </c>
      <c r="M85" s="247">
        <v>15.5</v>
      </c>
      <c r="N85" s="249">
        <v>22.456862745098039</v>
      </c>
      <c r="O85" s="250">
        <v>63.842100000000002</v>
      </c>
      <c r="P85" s="249">
        <v>124.74444444444444</v>
      </c>
      <c r="Q85" s="249">
        <v>101.19825708061003</v>
      </c>
      <c r="R85" s="249">
        <v>82.710727969348653</v>
      </c>
      <c r="S85" s="250">
        <v>15.5</v>
      </c>
      <c r="T85" s="247">
        <v>22.456862745098039</v>
      </c>
      <c r="U85" s="247">
        <v>410.45239223950119</v>
      </c>
      <c r="V85" s="255">
        <v>84.447607760498784</v>
      </c>
      <c r="W85" s="247">
        <v>84.447607760498784</v>
      </c>
      <c r="X85" s="256">
        <v>0.17063569965750411</v>
      </c>
    </row>
    <row r="86" spans="1:24" x14ac:dyDescent="0.25">
      <c r="A86" s="254">
        <v>45810</v>
      </c>
      <c r="B86" s="131" t="s">
        <v>108</v>
      </c>
      <c r="C86" s="131" t="s">
        <v>7</v>
      </c>
      <c r="D86" s="131">
        <v>20</v>
      </c>
      <c r="E86" s="130">
        <v>100</v>
      </c>
      <c r="F86" s="131" t="s">
        <v>216</v>
      </c>
      <c r="G86" s="247">
        <v>494.9</v>
      </c>
      <c r="H86" s="247">
        <v>9898</v>
      </c>
      <c r="I86" s="247">
        <v>1276.8420000000001</v>
      </c>
      <c r="J86" s="247">
        <v>2464.8888888888887</v>
      </c>
      <c r="K86" s="247">
        <v>2023.9651416122006</v>
      </c>
      <c r="L86" s="247">
        <v>1654.2145593869732</v>
      </c>
      <c r="M86" s="247">
        <v>310</v>
      </c>
      <c r="N86" s="249">
        <v>449.13725490196077</v>
      </c>
      <c r="O86" s="250">
        <v>63.842100000000002</v>
      </c>
      <c r="P86" s="249">
        <v>123.24444444444444</v>
      </c>
      <c r="Q86" s="249">
        <v>101.19825708061003</v>
      </c>
      <c r="R86" s="249">
        <v>82.710727969348653</v>
      </c>
      <c r="S86" s="250">
        <v>15.5</v>
      </c>
      <c r="T86" s="247">
        <v>22.456862745098039</v>
      </c>
      <c r="U86" s="247">
        <v>8179.0478447900241</v>
      </c>
      <c r="V86" s="255">
        <v>1718.9521552099759</v>
      </c>
      <c r="W86" s="247">
        <v>85.947607760498798</v>
      </c>
      <c r="X86" s="256">
        <v>0.17366661499393571</v>
      </c>
    </row>
    <row r="87" spans="1:24" x14ac:dyDescent="0.25">
      <c r="A87" s="254">
        <v>45810</v>
      </c>
      <c r="B87" s="131" t="s">
        <v>108</v>
      </c>
      <c r="C87" s="131" t="s">
        <v>10</v>
      </c>
      <c r="D87" s="131">
        <v>1</v>
      </c>
      <c r="E87" s="130">
        <v>100</v>
      </c>
      <c r="F87" s="131" t="s">
        <v>216</v>
      </c>
      <c r="G87" s="247">
        <v>494.9</v>
      </c>
      <c r="H87" s="247">
        <v>494.9</v>
      </c>
      <c r="I87" s="247">
        <v>63.842100000000002</v>
      </c>
      <c r="J87" s="247">
        <v>123.24444444444444</v>
      </c>
      <c r="K87" s="247">
        <v>101.19825708061003</v>
      </c>
      <c r="L87" s="247">
        <v>82.710727969348653</v>
      </c>
      <c r="M87" s="247">
        <v>15.5</v>
      </c>
      <c r="N87" s="249">
        <v>22.456862745098039</v>
      </c>
      <c r="O87" s="250">
        <v>63.842100000000002</v>
      </c>
      <c r="P87" s="249">
        <v>123.24444444444444</v>
      </c>
      <c r="Q87" s="249">
        <v>101.19825708061003</v>
      </c>
      <c r="R87" s="249">
        <v>82.710727969348653</v>
      </c>
      <c r="S87" s="250">
        <v>15.5</v>
      </c>
      <c r="T87" s="247">
        <v>22.456862745098039</v>
      </c>
      <c r="U87" s="247">
        <v>408.95239223950119</v>
      </c>
      <c r="V87" s="255">
        <v>85.947607760498784</v>
      </c>
      <c r="W87" s="247">
        <v>85.947607760498784</v>
      </c>
      <c r="X87" s="256">
        <v>0.17366661499393571</v>
      </c>
    </row>
    <row r="88" spans="1:24" x14ac:dyDescent="0.25">
      <c r="A88" s="254">
        <v>45810</v>
      </c>
      <c r="B88" s="131" t="s">
        <v>108</v>
      </c>
      <c r="C88" s="131" t="s">
        <v>9</v>
      </c>
      <c r="D88" s="131">
        <v>1</v>
      </c>
      <c r="E88" s="130">
        <v>100</v>
      </c>
      <c r="F88" s="131" t="s">
        <v>216</v>
      </c>
      <c r="G88" s="247">
        <v>494.9</v>
      </c>
      <c r="H88" s="247">
        <v>494.9</v>
      </c>
      <c r="I88" s="247">
        <v>63.842100000000002</v>
      </c>
      <c r="J88" s="247">
        <v>124.74444444444444</v>
      </c>
      <c r="K88" s="247">
        <v>101.19825708061003</v>
      </c>
      <c r="L88" s="247">
        <v>82.710727969348653</v>
      </c>
      <c r="M88" s="247">
        <v>15.5</v>
      </c>
      <c r="N88" s="249">
        <v>22.456862745098039</v>
      </c>
      <c r="O88" s="250">
        <v>63.842100000000002</v>
      </c>
      <c r="P88" s="249">
        <v>124.74444444444444</v>
      </c>
      <c r="Q88" s="249">
        <v>101.19825708061003</v>
      </c>
      <c r="R88" s="249">
        <v>82.710727969348653</v>
      </c>
      <c r="S88" s="250">
        <v>15.5</v>
      </c>
      <c r="T88" s="247">
        <v>22.456862745098039</v>
      </c>
      <c r="U88" s="247">
        <v>410.45239223950119</v>
      </c>
      <c r="V88" s="255">
        <v>84.447607760498784</v>
      </c>
      <c r="W88" s="247">
        <v>84.447607760498784</v>
      </c>
      <c r="X88" s="256">
        <v>0.17063569965750411</v>
      </c>
    </row>
    <row r="89" spans="1:24" x14ac:dyDescent="0.25">
      <c r="A89" s="254">
        <v>45810</v>
      </c>
      <c r="B89" s="131" t="s">
        <v>108</v>
      </c>
      <c r="C89" s="131" t="s">
        <v>18</v>
      </c>
      <c r="D89" s="131">
        <v>1</v>
      </c>
      <c r="E89" s="130">
        <v>140</v>
      </c>
      <c r="F89" s="131" t="s">
        <v>365</v>
      </c>
      <c r="G89" s="247">
        <v>499.9</v>
      </c>
      <c r="H89" s="247">
        <v>499.9</v>
      </c>
      <c r="I89" s="247">
        <v>0</v>
      </c>
      <c r="J89" s="247">
        <v>167.17777777777775</v>
      </c>
      <c r="K89" s="247">
        <v>101.19825708061003</v>
      </c>
      <c r="L89" s="247">
        <v>82.710727969348653</v>
      </c>
      <c r="M89" s="247">
        <v>15.5</v>
      </c>
      <c r="N89" s="249">
        <v>22.456862745098039</v>
      </c>
      <c r="O89" s="250">
        <v>0</v>
      </c>
      <c r="P89" s="249">
        <v>167.17777777777775</v>
      </c>
      <c r="Q89" s="249">
        <v>101.19825708061003</v>
      </c>
      <c r="R89" s="249">
        <v>82.710727969348653</v>
      </c>
      <c r="S89" s="250">
        <v>15.5</v>
      </c>
      <c r="T89" s="247">
        <v>22.456862745098039</v>
      </c>
      <c r="U89" s="247">
        <v>389.04362557283451</v>
      </c>
      <c r="V89" s="255">
        <v>110.85637442716546</v>
      </c>
      <c r="W89" s="247">
        <v>110.85637442716546</v>
      </c>
      <c r="X89" s="256">
        <v>0.2217571002743858</v>
      </c>
    </row>
    <row r="90" spans="1:24" x14ac:dyDescent="0.25">
      <c r="A90" s="254">
        <v>45810</v>
      </c>
      <c r="B90" s="131" t="s">
        <v>108</v>
      </c>
      <c r="C90" s="131" t="s">
        <v>7</v>
      </c>
      <c r="D90" s="131">
        <v>3</v>
      </c>
      <c r="E90" s="130">
        <v>200</v>
      </c>
      <c r="F90" s="131" t="s">
        <v>314</v>
      </c>
      <c r="G90" s="247">
        <v>499.9</v>
      </c>
      <c r="H90" s="247">
        <v>1499.7</v>
      </c>
      <c r="I90" s="247">
        <v>0</v>
      </c>
      <c r="J90" s="247">
        <v>554.36666666666656</v>
      </c>
      <c r="K90" s="247">
        <v>303.59477124183013</v>
      </c>
      <c r="L90" s="247">
        <v>0</v>
      </c>
      <c r="M90" s="247">
        <v>0</v>
      </c>
      <c r="N90" s="249">
        <v>67.370588235294122</v>
      </c>
      <c r="O90" s="250">
        <v>0</v>
      </c>
      <c r="P90" s="249">
        <v>184.78888888888886</v>
      </c>
      <c r="Q90" s="249">
        <v>101.19825708061003</v>
      </c>
      <c r="R90" s="249">
        <v>0</v>
      </c>
      <c r="S90" s="250">
        <v>0</v>
      </c>
      <c r="T90" s="247">
        <v>22.456862745098039</v>
      </c>
      <c r="U90" s="247">
        <v>925.3320261437907</v>
      </c>
      <c r="V90" s="255">
        <v>574.36797385620935</v>
      </c>
      <c r="W90" s="247">
        <v>191.45599128540312</v>
      </c>
      <c r="X90" s="256">
        <v>0.3829885802868635</v>
      </c>
    </row>
    <row r="91" spans="1:24" x14ac:dyDescent="0.25">
      <c r="A91" s="254">
        <v>45810</v>
      </c>
      <c r="B91" s="131" t="s">
        <v>108</v>
      </c>
      <c r="C91" s="131" t="s">
        <v>135</v>
      </c>
      <c r="D91" s="131">
        <v>4</v>
      </c>
      <c r="E91" s="130">
        <v>100</v>
      </c>
      <c r="F91" s="131" t="s">
        <v>216</v>
      </c>
      <c r="G91" s="247">
        <v>506.9</v>
      </c>
      <c r="H91" s="247">
        <v>2027.6</v>
      </c>
      <c r="I91" s="247">
        <v>261.56040000000002</v>
      </c>
      <c r="J91" s="247">
        <v>526.97777777777776</v>
      </c>
      <c r="K91" s="247">
        <v>404.79302832244014</v>
      </c>
      <c r="L91" s="247">
        <v>330.84291187739461</v>
      </c>
      <c r="M91" s="247">
        <v>62</v>
      </c>
      <c r="N91" s="249">
        <v>89.827450980392157</v>
      </c>
      <c r="O91" s="250">
        <v>65.390100000000004</v>
      </c>
      <c r="P91" s="249">
        <v>131.74444444444444</v>
      </c>
      <c r="Q91" s="249">
        <v>101.19825708061003</v>
      </c>
      <c r="R91" s="249">
        <v>82.710727969348653</v>
      </c>
      <c r="S91" s="250">
        <v>15.5</v>
      </c>
      <c r="T91" s="247">
        <v>22.456862745098039</v>
      </c>
      <c r="U91" s="247">
        <v>1676.0015689580048</v>
      </c>
      <c r="V91" s="255">
        <v>351.59843104199513</v>
      </c>
      <c r="W91" s="247">
        <v>87.899607760498782</v>
      </c>
      <c r="X91" s="256">
        <v>0.17340620982540694</v>
      </c>
    </row>
    <row r="92" spans="1:24" x14ac:dyDescent="0.25">
      <c r="A92" s="254">
        <v>45810</v>
      </c>
      <c r="B92" s="131" t="s">
        <v>108</v>
      </c>
      <c r="C92" s="131" t="s">
        <v>11</v>
      </c>
      <c r="D92" s="131">
        <v>1</v>
      </c>
      <c r="E92" s="130">
        <v>100</v>
      </c>
      <c r="F92" s="131" t="s">
        <v>216</v>
      </c>
      <c r="G92" s="247">
        <v>506.9</v>
      </c>
      <c r="H92" s="247">
        <v>506.9</v>
      </c>
      <c r="I92" s="247">
        <v>65.390100000000004</v>
      </c>
      <c r="J92" s="247">
        <v>126.24444444444444</v>
      </c>
      <c r="K92" s="247">
        <v>101.19825708061003</v>
      </c>
      <c r="L92" s="247">
        <v>82.710727969348653</v>
      </c>
      <c r="M92" s="247">
        <v>15.5</v>
      </c>
      <c r="N92" s="249">
        <v>22.456862745098039</v>
      </c>
      <c r="O92" s="250">
        <v>65.390100000000004</v>
      </c>
      <c r="P92" s="249">
        <v>126.24444444444444</v>
      </c>
      <c r="Q92" s="249">
        <v>101.19825708061003</v>
      </c>
      <c r="R92" s="249">
        <v>82.710727969348653</v>
      </c>
      <c r="S92" s="250">
        <v>15.5</v>
      </c>
      <c r="T92" s="247">
        <v>22.456862745098039</v>
      </c>
      <c r="U92" s="247">
        <v>413.5003922395012</v>
      </c>
      <c r="V92" s="255">
        <v>93.399607760498782</v>
      </c>
      <c r="W92" s="247">
        <v>93.399607760498782</v>
      </c>
      <c r="X92" s="256">
        <v>0.18425647615012583</v>
      </c>
    </row>
    <row r="93" spans="1:24" x14ac:dyDescent="0.25">
      <c r="A93" s="254">
        <v>45810</v>
      </c>
      <c r="B93" s="131" t="s">
        <v>108</v>
      </c>
      <c r="C93" s="131" t="s">
        <v>7</v>
      </c>
      <c r="D93" s="131">
        <v>12</v>
      </c>
      <c r="E93" s="130">
        <v>100</v>
      </c>
      <c r="F93" s="131" t="s">
        <v>340</v>
      </c>
      <c r="G93" s="247">
        <v>524.9</v>
      </c>
      <c r="H93" s="247">
        <v>6298.8</v>
      </c>
      <c r="I93" s="247">
        <v>925.92359999999985</v>
      </c>
      <c r="J93" s="247">
        <v>1478.9333333333334</v>
      </c>
      <c r="K93" s="247">
        <v>1214.3790849673205</v>
      </c>
      <c r="L93" s="247">
        <v>992.52873563218384</v>
      </c>
      <c r="M93" s="247">
        <v>186</v>
      </c>
      <c r="N93" s="249">
        <v>269.48235294117649</v>
      </c>
      <c r="O93" s="250">
        <v>77.160299999999992</v>
      </c>
      <c r="P93" s="249">
        <v>123.24444444444444</v>
      </c>
      <c r="Q93" s="249">
        <v>101.19825708061003</v>
      </c>
      <c r="R93" s="249">
        <v>82.710727969348653</v>
      </c>
      <c r="S93" s="250">
        <v>15.5</v>
      </c>
      <c r="T93" s="247">
        <v>22.456862745098039</v>
      </c>
      <c r="U93" s="247">
        <v>5067.2471068740133</v>
      </c>
      <c r="V93" s="255">
        <v>1231.5528931259869</v>
      </c>
      <c r="W93" s="247">
        <v>102.62940776049891</v>
      </c>
      <c r="X93" s="256">
        <v>0.19552182846351468</v>
      </c>
    </row>
    <row r="94" spans="1:24" x14ac:dyDescent="0.25">
      <c r="A94" s="254">
        <v>45810</v>
      </c>
      <c r="B94" s="131" t="s">
        <v>108</v>
      </c>
      <c r="C94" s="131" t="s">
        <v>6</v>
      </c>
      <c r="D94" s="131">
        <v>1</v>
      </c>
      <c r="E94" s="130">
        <v>100</v>
      </c>
      <c r="F94" s="131" t="s">
        <v>340</v>
      </c>
      <c r="G94" s="247">
        <v>524.9</v>
      </c>
      <c r="H94" s="247">
        <v>524.9</v>
      </c>
      <c r="I94" s="247">
        <v>77.160299999999992</v>
      </c>
      <c r="J94" s="247">
        <v>124.74444444444444</v>
      </c>
      <c r="K94" s="247">
        <v>101.19825708061003</v>
      </c>
      <c r="L94" s="247">
        <v>82.710727969348653</v>
      </c>
      <c r="M94" s="247">
        <v>15.5</v>
      </c>
      <c r="N94" s="249">
        <v>22.456862745098039</v>
      </c>
      <c r="O94" s="250">
        <v>77.160299999999992</v>
      </c>
      <c r="P94" s="249">
        <v>124.74444444444444</v>
      </c>
      <c r="Q94" s="249">
        <v>101.19825708061003</v>
      </c>
      <c r="R94" s="249">
        <v>82.710727969348653</v>
      </c>
      <c r="S94" s="250">
        <v>15.5</v>
      </c>
      <c r="T94" s="247">
        <v>22.456862745098039</v>
      </c>
      <c r="U94" s="247">
        <v>423.77059223950113</v>
      </c>
      <c r="V94" s="255">
        <v>101.12940776049885</v>
      </c>
      <c r="W94" s="247">
        <v>101.12940776049885</v>
      </c>
      <c r="X94" s="256">
        <v>0.19266414128500448</v>
      </c>
    </row>
    <row r="95" spans="1:24" x14ac:dyDescent="0.25">
      <c r="A95" s="254">
        <v>45810</v>
      </c>
      <c r="B95" s="131" t="s">
        <v>108</v>
      </c>
      <c r="C95" s="131" t="s">
        <v>6</v>
      </c>
      <c r="D95" s="131">
        <v>1</v>
      </c>
      <c r="E95" s="130">
        <v>100</v>
      </c>
      <c r="F95" s="131" t="s">
        <v>340</v>
      </c>
      <c r="G95" s="247">
        <v>524.9</v>
      </c>
      <c r="H95" s="247">
        <v>524.9</v>
      </c>
      <c r="I95" s="247">
        <v>77.160299999999992</v>
      </c>
      <c r="J95" s="247">
        <v>124.74444444444444</v>
      </c>
      <c r="K95" s="247">
        <v>101.19825708061003</v>
      </c>
      <c r="L95" s="247">
        <v>82.710727969348653</v>
      </c>
      <c r="M95" s="247">
        <v>15.5</v>
      </c>
      <c r="N95" s="249">
        <v>22.456862745098039</v>
      </c>
      <c r="O95" s="250">
        <v>77.160299999999992</v>
      </c>
      <c r="P95" s="249">
        <v>124.74444444444444</v>
      </c>
      <c r="Q95" s="249">
        <v>101.19825708061003</v>
      </c>
      <c r="R95" s="249">
        <v>82.710727969348653</v>
      </c>
      <c r="S95" s="250">
        <v>15.5</v>
      </c>
      <c r="T95" s="247">
        <v>22.456862745098039</v>
      </c>
      <c r="U95" s="247">
        <v>423.77059223950113</v>
      </c>
      <c r="V95" s="255">
        <v>101.12940776049885</v>
      </c>
      <c r="W95" s="247">
        <v>101.12940776049885</v>
      </c>
      <c r="X95" s="256">
        <v>0.19266414128500448</v>
      </c>
    </row>
    <row r="96" spans="1:24" x14ac:dyDescent="0.25">
      <c r="A96" s="254">
        <v>45810</v>
      </c>
      <c r="B96" s="131" t="s">
        <v>108</v>
      </c>
      <c r="C96" s="131" t="s">
        <v>7</v>
      </c>
      <c r="D96" s="131">
        <v>13</v>
      </c>
      <c r="E96" s="130">
        <v>100</v>
      </c>
      <c r="F96" s="131" t="s">
        <v>340</v>
      </c>
      <c r="G96" s="247">
        <v>524.9</v>
      </c>
      <c r="H96" s="247">
        <v>6823.7</v>
      </c>
      <c r="I96" s="247">
        <v>1003.0838999999999</v>
      </c>
      <c r="J96" s="247">
        <v>1602.1777777777777</v>
      </c>
      <c r="K96" s="247">
        <v>1315.5773420479304</v>
      </c>
      <c r="L96" s="247">
        <v>1075.2394636015324</v>
      </c>
      <c r="M96" s="247">
        <v>201.5</v>
      </c>
      <c r="N96" s="249">
        <v>291.93921568627451</v>
      </c>
      <c r="O96" s="250">
        <v>77.160299999999992</v>
      </c>
      <c r="P96" s="249">
        <v>123.24444444444444</v>
      </c>
      <c r="Q96" s="249">
        <v>101.19825708061003</v>
      </c>
      <c r="R96" s="249">
        <v>82.710727969348653</v>
      </c>
      <c r="S96" s="250">
        <v>15.5</v>
      </c>
      <c r="T96" s="247">
        <v>22.456862745098039</v>
      </c>
      <c r="U96" s="247">
        <v>5489.5176991135149</v>
      </c>
      <c r="V96" s="255">
        <v>1334.1823008864849</v>
      </c>
      <c r="W96" s="247">
        <v>102.62940776049884</v>
      </c>
      <c r="X96" s="256">
        <v>0.19552182846351468</v>
      </c>
    </row>
    <row r="97" spans="1:24" x14ac:dyDescent="0.25">
      <c r="A97" s="254">
        <v>45810</v>
      </c>
      <c r="B97" s="131" t="s">
        <v>108</v>
      </c>
      <c r="C97" s="131" t="s">
        <v>6</v>
      </c>
      <c r="D97" s="131">
        <v>1</v>
      </c>
      <c r="E97" s="130">
        <v>100</v>
      </c>
      <c r="F97" s="131" t="s">
        <v>100</v>
      </c>
      <c r="G97" s="247">
        <v>529.9</v>
      </c>
      <c r="H97" s="247">
        <v>529.9</v>
      </c>
      <c r="I97" s="247">
        <v>47.690999999999995</v>
      </c>
      <c r="J97" s="247">
        <v>124.74444444444444</v>
      </c>
      <c r="K97" s="247">
        <v>101.19825708061003</v>
      </c>
      <c r="L97" s="247">
        <v>82.710727969348653</v>
      </c>
      <c r="M97" s="247">
        <v>15.5</v>
      </c>
      <c r="N97" s="249">
        <v>22.456862745098039</v>
      </c>
      <c r="O97" s="250">
        <v>47.690999999999995</v>
      </c>
      <c r="P97" s="249">
        <v>124.74444444444444</v>
      </c>
      <c r="Q97" s="249">
        <v>101.19825708061003</v>
      </c>
      <c r="R97" s="249">
        <v>82.710727969348653</v>
      </c>
      <c r="S97" s="250">
        <v>15.5</v>
      </c>
      <c r="T97" s="247">
        <v>22.456862745098039</v>
      </c>
      <c r="U97" s="247">
        <v>394.30129223950115</v>
      </c>
      <c r="V97" s="255">
        <v>135.59870776049883</v>
      </c>
      <c r="W97" s="247">
        <v>135.59870776049883</v>
      </c>
      <c r="X97" s="256">
        <v>0.2558949004727285</v>
      </c>
    </row>
    <row r="98" spans="1:24" x14ac:dyDescent="0.25">
      <c r="A98" s="254">
        <v>45810</v>
      </c>
      <c r="B98" s="131" t="s">
        <v>108</v>
      </c>
      <c r="C98" s="131" t="s">
        <v>7</v>
      </c>
      <c r="D98" s="131">
        <v>21</v>
      </c>
      <c r="E98" s="130">
        <v>100</v>
      </c>
      <c r="F98" s="131" t="s">
        <v>100</v>
      </c>
      <c r="G98" s="247">
        <v>529.9</v>
      </c>
      <c r="H98" s="247">
        <v>11127.9</v>
      </c>
      <c r="I98" s="247">
        <v>1001.5109999999999</v>
      </c>
      <c r="J98" s="247">
        <v>2588.1333333333332</v>
      </c>
      <c r="K98" s="247">
        <v>2125.1633986928109</v>
      </c>
      <c r="L98" s="247">
        <v>1736.9252873563216</v>
      </c>
      <c r="M98" s="247">
        <v>325.5</v>
      </c>
      <c r="N98" s="249">
        <v>471.59411764705885</v>
      </c>
      <c r="O98" s="250">
        <v>47.690999999999995</v>
      </c>
      <c r="P98" s="249">
        <v>123.24444444444444</v>
      </c>
      <c r="Q98" s="249">
        <v>101.19825708061003</v>
      </c>
      <c r="R98" s="249">
        <v>82.710727969348653</v>
      </c>
      <c r="S98" s="250">
        <v>15.5</v>
      </c>
      <c r="T98" s="247">
        <v>22.456862745098039</v>
      </c>
      <c r="U98" s="247">
        <v>8248.8271370295242</v>
      </c>
      <c r="V98" s="255">
        <v>2879.0728629704754</v>
      </c>
      <c r="W98" s="247">
        <v>137.09870776049883</v>
      </c>
      <c r="X98" s="256">
        <v>0.2587256232506111</v>
      </c>
    </row>
    <row r="99" spans="1:24" x14ac:dyDescent="0.25">
      <c r="A99" s="254">
        <v>45810</v>
      </c>
      <c r="B99" s="131" t="s">
        <v>108</v>
      </c>
      <c r="C99" s="131" t="s">
        <v>10</v>
      </c>
      <c r="D99" s="131">
        <v>1</v>
      </c>
      <c r="E99" s="130">
        <v>100</v>
      </c>
      <c r="F99" s="131" t="s">
        <v>100</v>
      </c>
      <c r="G99" s="247">
        <v>529.9</v>
      </c>
      <c r="H99" s="247">
        <v>529.9</v>
      </c>
      <c r="I99" s="247">
        <v>47.690999999999995</v>
      </c>
      <c r="J99" s="247">
        <v>123.24444444444444</v>
      </c>
      <c r="K99" s="247">
        <v>101.19825708061003</v>
      </c>
      <c r="L99" s="247">
        <v>82.710727969348653</v>
      </c>
      <c r="M99" s="247">
        <v>15.5</v>
      </c>
      <c r="N99" s="249">
        <v>22.456862745098039</v>
      </c>
      <c r="O99" s="250">
        <v>47.690999999999995</v>
      </c>
      <c r="P99" s="249">
        <v>123.24444444444444</v>
      </c>
      <c r="Q99" s="249">
        <v>101.19825708061003</v>
      </c>
      <c r="R99" s="249">
        <v>82.710727969348653</v>
      </c>
      <c r="S99" s="250">
        <v>15.5</v>
      </c>
      <c r="T99" s="247">
        <v>22.456862745098039</v>
      </c>
      <c r="U99" s="247">
        <v>392.80129223950115</v>
      </c>
      <c r="V99" s="255">
        <v>137.09870776049883</v>
      </c>
      <c r="W99" s="247">
        <v>137.09870776049883</v>
      </c>
      <c r="X99" s="256">
        <v>0.2587256232506111</v>
      </c>
    </row>
    <row r="100" spans="1:24" x14ac:dyDescent="0.25">
      <c r="A100" s="254">
        <v>45810</v>
      </c>
      <c r="B100" s="131" t="s">
        <v>108</v>
      </c>
      <c r="C100" s="131" t="s">
        <v>7</v>
      </c>
      <c r="D100" s="131">
        <v>4</v>
      </c>
      <c r="E100" s="130">
        <v>100</v>
      </c>
      <c r="F100" s="131" t="s">
        <v>340</v>
      </c>
      <c r="G100" s="247">
        <v>531.9</v>
      </c>
      <c r="H100" s="247">
        <v>2127.6</v>
      </c>
      <c r="I100" s="247">
        <v>312.75719999999995</v>
      </c>
      <c r="J100" s="247">
        <v>492.97777777777776</v>
      </c>
      <c r="K100" s="247">
        <v>404.79302832244014</v>
      </c>
      <c r="L100" s="247">
        <v>330.84291187739461</v>
      </c>
      <c r="M100" s="247">
        <v>62</v>
      </c>
      <c r="N100" s="249">
        <v>89.827450980392157</v>
      </c>
      <c r="O100" s="250">
        <v>78.189299999999989</v>
      </c>
      <c r="P100" s="249">
        <v>123.24444444444444</v>
      </c>
      <c r="Q100" s="249">
        <v>101.19825708061003</v>
      </c>
      <c r="R100" s="249">
        <v>82.710727969348653</v>
      </c>
      <c r="S100" s="250">
        <v>15.5</v>
      </c>
      <c r="T100" s="247">
        <v>22.456862745098039</v>
      </c>
      <c r="U100" s="247">
        <v>1693.1983689580045</v>
      </c>
      <c r="V100" s="255">
        <v>434.40163104199542</v>
      </c>
      <c r="W100" s="247">
        <v>108.60040776049885</v>
      </c>
      <c r="X100" s="256">
        <v>0.20417448347527517</v>
      </c>
    </row>
    <row r="101" spans="1:24" x14ac:dyDescent="0.25">
      <c r="A101" s="254">
        <v>45810</v>
      </c>
      <c r="B101" s="131" t="s">
        <v>108</v>
      </c>
      <c r="C101" s="131" t="s">
        <v>7</v>
      </c>
      <c r="D101" s="131">
        <v>1</v>
      </c>
      <c r="E101" s="130">
        <v>100</v>
      </c>
      <c r="F101" s="131" t="s">
        <v>340</v>
      </c>
      <c r="G101" s="247">
        <v>534.4</v>
      </c>
      <c r="H101" s="247">
        <v>534.4</v>
      </c>
      <c r="I101" s="247">
        <v>78.556799999999996</v>
      </c>
      <c r="J101" s="247">
        <v>123.24444444444444</v>
      </c>
      <c r="K101" s="247">
        <v>101.19825708061003</v>
      </c>
      <c r="L101" s="247">
        <v>82.710727969348653</v>
      </c>
      <c r="M101" s="247">
        <v>15.5</v>
      </c>
      <c r="N101" s="249">
        <v>22.456862745098039</v>
      </c>
      <c r="O101" s="250">
        <v>78.556799999999996</v>
      </c>
      <c r="P101" s="249">
        <v>123.24444444444444</v>
      </c>
      <c r="Q101" s="249">
        <v>101.19825708061003</v>
      </c>
      <c r="R101" s="249">
        <v>82.710727969348653</v>
      </c>
      <c r="S101" s="250">
        <v>15.5</v>
      </c>
      <c r="T101" s="247">
        <v>22.456862745098039</v>
      </c>
      <c r="U101" s="247">
        <v>423.66709223950119</v>
      </c>
      <c r="V101" s="255">
        <v>110.73290776049879</v>
      </c>
      <c r="W101" s="247">
        <v>110.73290776049879</v>
      </c>
      <c r="X101" s="256">
        <v>0.20720978248596331</v>
      </c>
    </row>
    <row r="102" spans="1:24" x14ac:dyDescent="0.25">
      <c r="A102" s="254">
        <v>45810</v>
      </c>
      <c r="B102" s="131" t="s">
        <v>108</v>
      </c>
      <c r="C102" s="131" t="s">
        <v>7</v>
      </c>
      <c r="D102" s="131">
        <v>1</v>
      </c>
      <c r="E102" s="130">
        <v>100</v>
      </c>
      <c r="F102" s="131" t="s">
        <v>340</v>
      </c>
      <c r="G102" s="247">
        <v>534.9</v>
      </c>
      <c r="H102" s="247">
        <v>534.9</v>
      </c>
      <c r="I102" s="247">
        <v>78.630299999999991</v>
      </c>
      <c r="J102" s="247">
        <v>123.24444444444444</v>
      </c>
      <c r="K102" s="247">
        <v>101.19825708061003</v>
      </c>
      <c r="L102" s="247">
        <v>82.710727969348653</v>
      </c>
      <c r="M102" s="247">
        <v>15.5</v>
      </c>
      <c r="N102" s="249">
        <v>22.456862745098039</v>
      </c>
      <c r="O102" s="250">
        <v>78.630299999999991</v>
      </c>
      <c r="P102" s="249">
        <v>123.24444444444444</v>
      </c>
      <c r="Q102" s="249">
        <v>101.19825708061003</v>
      </c>
      <c r="R102" s="249">
        <v>82.710727969348653</v>
      </c>
      <c r="S102" s="250">
        <v>15.5</v>
      </c>
      <c r="T102" s="247">
        <v>22.456862745098039</v>
      </c>
      <c r="U102" s="247">
        <v>423.74059223950115</v>
      </c>
      <c r="V102" s="255">
        <v>111.15940776049882</v>
      </c>
      <c r="W102" s="247">
        <v>111.15940776049882</v>
      </c>
      <c r="X102" s="256">
        <v>0.20781343757804979</v>
      </c>
    </row>
    <row r="103" spans="1:24" x14ac:dyDescent="0.25">
      <c r="A103" s="254">
        <v>45810</v>
      </c>
      <c r="B103" s="131" t="s">
        <v>108</v>
      </c>
      <c r="C103" s="131" t="s">
        <v>135</v>
      </c>
      <c r="D103" s="131">
        <v>6</v>
      </c>
      <c r="E103" s="130">
        <v>100</v>
      </c>
      <c r="F103" s="131" t="s">
        <v>340</v>
      </c>
      <c r="G103" s="247">
        <v>534.9</v>
      </c>
      <c r="H103" s="247">
        <v>3209.4</v>
      </c>
      <c r="I103" s="247">
        <v>471.78179999999998</v>
      </c>
      <c r="J103" s="247">
        <v>790.4666666666667</v>
      </c>
      <c r="K103" s="247">
        <v>607.18954248366026</v>
      </c>
      <c r="L103" s="247">
        <v>496.26436781609192</v>
      </c>
      <c r="M103" s="247">
        <v>93</v>
      </c>
      <c r="N103" s="249">
        <v>134.74117647058824</v>
      </c>
      <c r="O103" s="250">
        <v>78.630299999999991</v>
      </c>
      <c r="P103" s="249">
        <v>131.74444444444444</v>
      </c>
      <c r="Q103" s="249">
        <v>101.19825708061003</v>
      </c>
      <c r="R103" s="249">
        <v>82.710727969348653</v>
      </c>
      <c r="S103" s="250">
        <v>15.5</v>
      </c>
      <c r="T103" s="247">
        <v>22.456862745098039</v>
      </c>
      <c r="U103" s="247">
        <v>2593.4435534370068</v>
      </c>
      <c r="V103" s="255">
        <v>615.95644656299328</v>
      </c>
      <c r="W103" s="247">
        <v>102.65940776049888</v>
      </c>
      <c r="X103" s="256">
        <v>0.19192261686389761</v>
      </c>
    </row>
    <row r="104" spans="1:24" x14ac:dyDescent="0.25">
      <c r="A104" s="254">
        <v>45810</v>
      </c>
      <c r="B104" s="131" t="s">
        <v>108</v>
      </c>
      <c r="C104" s="131" t="s">
        <v>9</v>
      </c>
      <c r="D104" s="131">
        <v>3</v>
      </c>
      <c r="E104" s="130">
        <v>100</v>
      </c>
      <c r="F104" s="131" t="s">
        <v>340</v>
      </c>
      <c r="G104" s="247">
        <v>534.9</v>
      </c>
      <c r="H104" s="247">
        <v>1604.7</v>
      </c>
      <c r="I104" s="247">
        <v>235.89089999999999</v>
      </c>
      <c r="J104" s="247">
        <v>374.23333333333335</v>
      </c>
      <c r="K104" s="247">
        <v>303.59477124183013</v>
      </c>
      <c r="L104" s="247">
        <v>248.13218390804596</v>
      </c>
      <c r="M104" s="247">
        <v>46.5</v>
      </c>
      <c r="N104" s="249">
        <v>67.370588235294122</v>
      </c>
      <c r="O104" s="250">
        <v>78.630299999999991</v>
      </c>
      <c r="P104" s="249">
        <v>124.74444444444444</v>
      </c>
      <c r="Q104" s="249">
        <v>101.19825708061003</v>
      </c>
      <c r="R104" s="249">
        <v>82.710727969348653</v>
      </c>
      <c r="S104" s="250">
        <v>15.5</v>
      </c>
      <c r="T104" s="247">
        <v>22.456862745098039</v>
      </c>
      <c r="U104" s="247">
        <v>1275.7217767185034</v>
      </c>
      <c r="V104" s="255">
        <v>328.97822328149664</v>
      </c>
      <c r="W104" s="247">
        <v>109.65940776049888</v>
      </c>
      <c r="X104" s="256">
        <v>0.20500917509908176</v>
      </c>
    </row>
    <row r="105" spans="1:24" x14ac:dyDescent="0.25">
      <c r="A105" s="254">
        <v>45810</v>
      </c>
      <c r="B105" s="131" t="s">
        <v>108</v>
      </c>
      <c r="C105" s="131" t="s">
        <v>10</v>
      </c>
      <c r="D105" s="131">
        <v>1</v>
      </c>
      <c r="E105" s="130">
        <v>100</v>
      </c>
      <c r="F105" s="131" t="s">
        <v>340</v>
      </c>
      <c r="G105" s="247">
        <v>534.9</v>
      </c>
      <c r="H105" s="247">
        <v>534.9</v>
      </c>
      <c r="I105" s="247">
        <v>78.630299999999991</v>
      </c>
      <c r="J105" s="247">
        <v>123.24444444444444</v>
      </c>
      <c r="K105" s="247">
        <v>101.19825708061003</v>
      </c>
      <c r="L105" s="247">
        <v>82.710727969348653</v>
      </c>
      <c r="M105" s="247">
        <v>15.5</v>
      </c>
      <c r="N105" s="249">
        <v>22.456862745098039</v>
      </c>
      <c r="O105" s="250">
        <v>78.630299999999991</v>
      </c>
      <c r="P105" s="249">
        <v>123.24444444444444</v>
      </c>
      <c r="Q105" s="249">
        <v>101.19825708061003</v>
      </c>
      <c r="R105" s="249">
        <v>82.710727969348653</v>
      </c>
      <c r="S105" s="250">
        <v>15.5</v>
      </c>
      <c r="T105" s="247">
        <v>22.456862745098039</v>
      </c>
      <c r="U105" s="247">
        <v>423.74059223950115</v>
      </c>
      <c r="V105" s="255">
        <v>111.15940776049882</v>
      </c>
      <c r="W105" s="247">
        <v>111.15940776049882</v>
      </c>
      <c r="X105" s="256">
        <v>0.20781343757804979</v>
      </c>
    </row>
    <row r="106" spans="1:24" x14ac:dyDescent="0.25">
      <c r="A106" s="254">
        <v>45810</v>
      </c>
      <c r="B106" s="131" t="s">
        <v>108</v>
      </c>
      <c r="C106" s="131" t="s">
        <v>9</v>
      </c>
      <c r="D106" s="131">
        <v>2</v>
      </c>
      <c r="E106" s="130">
        <v>100</v>
      </c>
      <c r="F106" s="131" t="s">
        <v>340</v>
      </c>
      <c r="G106" s="247">
        <v>534.9</v>
      </c>
      <c r="H106" s="247">
        <v>1069.8</v>
      </c>
      <c r="I106" s="247">
        <v>157.26059999999998</v>
      </c>
      <c r="J106" s="247">
        <v>249.48888888888888</v>
      </c>
      <c r="K106" s="247">
        <v>202.39651416122007</v>
      </c>
      <c r="L106" s="247">
        <v>165.42145593869731</v>
      </c>
      <c r="M106" s="247">
        <v>31</v>
      </c>
      <c r="N106" s="249">
        <v>44.913725490196079</v>
      </c>
      <c r="O106" s="250">
        <v>78.630299999999991</v>
      </c>
      <c r="P106" s="249">
        <v>124.74444444444444</v>
      </c>
      <c r="Q106" s="249">
        <v>101.19825708061003</v>
      </c>
      <c r="R106" s="249">
        <v>82.710727969348653</v>
      </c>
      <c r="S106" s="250">
        <v>15.5</v>
      </c>
      <c r="T106" s="247">
        <v>22.456862745098039</v>
      </c>
      <c r="U106" s="247">
        <v>850.48118447900231</v>
      </c>
      <c r="V106" s="255">
        <v>219.31881552099765</v>
      </c>
      <c r="W106" s="247">
        <v>109.65940776049882</v>
      </c>
      <c r="X106" s="256">
        <v>0.20500917509908176</v>
      </c>
    </row>
    <row r="107" spans="1:24" x14ac:dyDescent="0.25">
      <c r="A107" s="254">
        <v>45810</v>
      </c>
      <c r="B107" s="131" t="s">
        <v>108</v>
      </c>
      <c r="C107" s="131" t="s">
        <v>11</v>
      </c>
      <c r="D107" s="131">
        <v>1</v>
      </c>
      <c r="E107" s="130">
        <v>100</v>
      </c>
      <c r="F107" s="131" t="s">
        <v>340</v>
      </c>
      <c r="G107" s="247">
        <v>534.9</v>
      </c>
      <c r="H107" s="247">
        <v>534.9</v>
      </c>
      <c r="I107" s="247">
        <v>78.630299999999991</v>
      </c>
      <c r="J107" s="247">
        <v>126.24444444444444</v>
      </c>
      <c r="K107" s="247">
        <v>101.19825708061003</v>
      </c>
      <c r="L107" s="247">
        <v>82.710727969348653</v>
      </c>
      <c r="M107" s="247">
        <v>15.5</v>
      </c>
      <c r="N107" s="249">
        <v>22.456862745098039</v>
      </c>
      <c r="O107" s="250">
        <v>78.630299999999991</v>
      </c>
      <c r="P107" s="249">
        <v>126.24444444444444</v>
      </c>
      <c r="Q107" s="249">
        <v>101.19825708061003</v>
      </c>
      <c r="R107" s="249">
        <v>82.710727969348653</v>
      </c>
      <c r="S107" s="250">
        <v>15.5</v>
      </c>
      <c r="T107" s="247">
        <v>22.456862745098039</v>
      </c>
      <c r="U107" s="247">
        <v>426.74059223950115</v>
      </c>
      <c r="V107" s="255">
        <v>108.15940776049882</v>
      </c>
      <c r="W107" s="247">
        <v>108.15940776049882</v>
      </c>
      <c r="X107" s="256">
        <v>0.20220491262011372</v>
      </c>
    </row>
    <row r="108" spans="1:24" x14ac:dyDescent="0.25">
      <c r="A108" s="254">
        <v>45810</v>
      </c>
      <c r="B108" s="131" t="s">
        <v>108</v>
      </c>
      <c r="C108" s="131" t="s">
        <v>10</v>
      </c>
      <c r="D108" s="131">
        <v>3</v>
      </c>
      <c r="E108" s="130">
        <v>100</v>
      </c>
      <c r="F108" s="131" t="s">
        <v>340</v>
      </c>
      <c r="G108" s="247">
        <v>534.9</v>
      </c>
      <c r="H108" s="247">
        <v>1604.7</v>
      </c>
      <c r="I108" s="247">
        <v>235.89089999999999</v>
      </c>
      <c r="J108" s="247">
        <v>369.73333333333335</v>
      </c>
      <c r="K108" s="247">
        <v>303.59477124183013</v>
      </c>
      <c r="L108" s="247">
        <v>248.13218390804596</v>
      </c>
      <c r="M108" s="247">
        <v>46.5</v>
      </c>
      <c r="N108" s="249">
        <v>67.370588235294122</v>
      </c>
      <c r="O108" s="250">
        <v>78.630299999999991</v>
      </c>
      <c r="P108" s="249">
        <v>123.24444444444444</v>
      </c>
      <c r="Q108" s="249">
        <v>101.19825708061003</v>
      </c>
      <c r="R108" s="249">
        <v>82.710727969348653</v>
      </c>
      <c r="S108" s="250">
        <v>15.5</v>
      </c>
      <c r="T108" s="247">
        <v>22.456862745098039</v>
      </c>
      <c r="U108" s="247">
        <v>1271.2217767185034</v>
      </c>
      <c r="V108" s="255">
        <v>333.47822328149664</v>
      </c>
      <c r="W108" s="247">
        <v>111.15940776049888</v>
      </c>
      <c r="X108" s="256">
        <v>0.20781343757804979</v>
      </c>
    </row>
    <row r="109" spans="1:24" x14ac:dyDescent="0.25">
      <c r="A109" s="254">
        <v>45810</v>
      </c>
      <c r="B109" s="131" t="s">
        <v>108</v>
      </c>
      <c r="C109" s="131" t="s">
        <v>7</v>
      </c>
      <c r="D109" s="131">
        <v>1</v>
      </c>
      <c r="E109" s="130">
        <v>100</v>
      </c>
      <c r="F109" s="131" t="s">
        <v>340</v>
      </c>
      <c r="G109" s="247">
        <v>534.9</v>
      </c>
      <c r="H109" s="247">
        <v>534.9</v>
      </c>
      <c r="I109" s="247">
        <v>78.630299999999991</v>
      </c>
      <c r="J109" s="247">
        <v>123.24444444444444</v>
      </c>
      <c r="K109" s="247">
        <v>101.19825708061003</v>
      </c>
      <c r="L109" s="247">
        <v>82.710727969348653</v>
      </c>
      <c r="M109" s="247">
        <v>15.5</v>
      </c>
      <c r="N109" s="249">
        <v>22.456862745098039</v>
      </c>
      <c r="O109" s="250">
        <v>78.630299999999991</v>
      </c>
      <c r="P109" s="249">
        <v>123.24444444444444</v>
      </c>
      <c r="Q109" s="249">
        <v>101.19825708061003</v>
      </c>
      <c r="R109" s="249">
        <v>82.710727969348653</v>
      </c>
      <c r="S109" s="250">
        <v>15.5</v>
      </c>
      <c r="T109" s="247">
        <v>22.456862745098039</v>
      </c>
      <c r="U109" s="247">
        <v>423.74059223950115</v>
      </c>
      <c r="V109" s="255">
        <v>111.15940776049882</v>
      </c>
      <c r="W109" s="247">
        <v>111.15940776049882</v>
      </c>
      <c r="X109" s="256">
        <v>0.20781343757804979</v>
      </c>
    </row>
    <row r="110" spans="1:24" x14ac:dyDescent="0.25">
      <c r="A110" s="254">
        <v>45810</v>
      </c>
      <c r="B110" s="131" t="s">
        <v>108</v>
      </c>
      <c r="C110" s="131" t="s">
        <v>135</v>
      </c>
      <c r="D110" s="131">
        <v>4</v>
      </c>
      <c r="E110" s="130">
        <v>100</v>
      </c>
      <c r="F110" s="131" t="s">
        <v>340</v>
      </c>
      <c r="G110" s="247">
        <v>534.9</v>
      </c>
      <c r="H110" s="247">
        <v>2139.6</v>
      </c>
      <c r="I110" s="247">
        <v>314.52119999999996</v>
      </c>
      <c r="J110" s="247">
        <v>526.97777777777776</v>
      </c>
      <c r="K110" s="247">
        <v>404.79302832244014</v>
      </c>
      <c r="L110" s="247">
        <v>330.84291187739461</v>
      </c>
      <c r="M110" s="247">
        <v>62</v>
      </c>
      <c r="N110" s="249">
        <v>89.827450980392157</v>
      </c>
      <c r="O110" s="250">
        <v>78.630299999999991</v>
      </c>
      <c r="P110" s="249">
        <v>131.74444444444444</v>
      </c>
      <c r="Q110" s="249">
        <v>101.19825708061003</v>
      </c>
      <c r="R110" s="249">
        <v>82.710727969348653</v>
      </c>
      <c r="S110" s="250">
        <v>15.5</v>
      </c>
      <c r="T110" s="247">
        <v>22.456862745098039</v>
      </c>
      <c r="U110" s="247">
        <v>1728.9623689580046</v>
      </c>
      <c r="V110" s="255">
        <v>410.63763104199529</v>
      </c>
      <c r="W110" s="247">
        <v>102.65940776049882</v>
      </c>
      <c r="X110" s="256">
        <v>0.19192261686389761</v>
      </c>
    </row>
    <row r="111" spans="1:24" x14ac:dyDescent="0.25">
      <c r="A111" s="254">
        <v>45810</v>
      </c>
      <c r="B111" s="131" t="s">
        <v>108</v>
      </c>
      <c r="C111" s="131" t="s">
        <v>135</v>
      </c>
      <c r="D111" s="131">
        <v>6</v>
      </c>
      <c r="E111" s="130">
        <v>100</v>
      </c>
      <c r="F111" s="131" t="s">
        <v>100</v>
      </c>
      <c r="G111" s="247">
        <v>539.9</v>
      </c>
      <c r="H111" s="247">
        <v>3239.4</v>
      </c>
      <c r="I111" s="247">
        <v>291.54599999999999</v>
      </c>
      <c r="J111" s="247">
        <v>790.4666666666667</v>
      </c>
      <c r="K111" s="247">
        <v>607.18954248366026</v>
      </c>
      <c r="L111" s="247">
        <v>496.26436781609192</v>
      </c>
      <c r="M111" s="247">
        <v>93</v>
      </c>
      <c r="N111" s="249">
        <v>134.74117647058824</v>
      </c>
      <c r="O111" s="250">
        <v>48.591000000000001</v>
      </c>
      <c r="P111" s="249">
        <v>131.74444444444444</v>
      </c>
      <c r="Q111" s="249">
        <v>101.19825708061003</v>
      </c>
      <c r="R111" s="249">
        <v>82.710727969348653</v>
      </c>
      <c r="S111" s="250">
        <v>15.5</v>
      </c>
      <c r="T111" s="247">
        <v>22.456862745098039</v>
      </c>
      <c r="U111" s="247">
        <v>2413.2077534370069</v>
      </c>
      <c r="V111" s="255">
        <v>826.1922465629932</v>
      </c>
      <c r="W111" s="247">
        <v>137.69870776049888</v>
      </c>
      <c r="X111" s="256">
        <v>0.25504483748934775</v>
      </c>
    </row>
    <row r="112" spans="1:24" x14ac:dyDescent="0.25">
      <c r="A112" s="254">
        <v>45810</v>
      </c>
      <c r="B112" s="131" t="s">
        <v>108</v>
      </c>
      <c r="C112" s="131" t="s">
        <v>11</v>
      </c>
      <c r="D112" s="131">
        <v>1</v>
      </c>
      <c r="E112" s="130">
        <v>100</v>
      </c>
      <c r="F112" s="131" t="s">
        <v>100</v>
      </c>
      <c r="G112" s="247">
        <v>539.9</v>
      </c>
      <c r="H112" s="247">
        <v>539.9</v>
      </c>
      <c r="I112" s="247">
        <v>48.590999999999994</v>
      </c>
      <c r="J112" s="247">
        <v>126.24444444444444</v>
      </c>
      <c r="K112" s="247">
        <v>101.19825708061003</v>
      </c>
      <c r="L112" s="247">
        <v>82.710727969348653</v>
      </c>
      <c r="M112" s="247">
        <v>15.5</v>
      </c>
      <c r="N112" s="249">
        <v>22.456862745098039</v>
      </c>
      <c r="O112" s="250">
        <v>48.590999999999994</v>
      </c>
      <c r="P112" s="249">
        <v>126.24444444444444</v>
      </c>
      <c r="Q112" s="249">
        <v>101.19825708061003</v>
      </c>
      <c r="R112" s="249">
        <v>82.710727969348653</v>
      </c>
      <c r="S112" s="250">
        <v>15.5</v>
      </c>
      <c r="T112" s="247">
        <v>22.456862745098039</v>
      </c>
      <c r="U112" s="247">
        <v>396.70129223950113</v>
      </c>
      <c r="V112" s="255">
        <v>143.19870776049885</v>
      </c>
      <c r="W112" s="247">
        <v>143.19870776049885</v>
      </c>
      <c r="X112" s="256">
        <v>0.26523190916928846</v>
      </c>
    </row>
    <row r="113" spans="1:24" x14ac:dyDescent="0.25">
      <c r="A113" s="254">
        <v>45810</v>
      </c>
      <c r="B113" s="131" t="s">
        <v>108</v>
      </c>
      <c r="C113" s="131" t="s">
        <v>7</v>
      </c>
      <c r="D113" s="131">
        <v>1</v>
      </c>
      <c r="E113" s="130">
        <v>100</v>
      </c>
      <c r="F113" s="131" t="s">
        <v>340</v>
      </c>
      <c r="G113" s="247">
        <v>541.9</v>
      </c>
      <c r="H113" s="247">
        <v>541.9</v>
      </c>
      <c r="I113" s="247">
        <v>79.659299999999988</v>
      </c>
      <c r="J113" s="247">
        <v>123.24444444444444</v>
      </c>
      <c r="K113" s="247">
        <v>101.19825708061003</v>
      </c>
      <c r="L113" s="247">
        <v>82.710727969348653</v>
      </c>
      <c r="M113" s="247">
        <v>15.5</v>
      </c>
      <c r="N113" s="249">
        <v>22.456862745098039</v>
      </c>
      <c r="O113" s="250">
        <v>79.659299999999988</v>
      </c>
      <c r="P113" s="249">
        <v>123.24444444444444</v>
      </c>
      <c r="Q113" s="249">
        <v>101.19825708061003</v>
      </c>
      <c r="R113" s="249">
        <v>82.710727969348653</v>
      </c>
      <c r="S113" s="250">
        <v>15.5</v>
      </c>
      <c r="T113" s="247">
        <v>22.456862745098039</v>
      </c>
      <c r="U113" s="247">
        <v>424.76959223950115</v>
      </c>
      <c r="V113" s="255">
        <v>117.13040776049883</v>
      </c>
      <c r="W113" s="247">
        <v>117.13040776049883</v>
      </c>
      <c r="X113" s="256">
        <v>0.21614764303469058</v>
      </c>
    </row>
    <row r="114" spans="1:24" x14ac:dyDescent="0.25">
      <c r="A114" s="254">
        <v>45810</v>
      </c>
      <c r="B114" s="131" t="s">
        <v>108</v>
      </c>
      <c r="C114" s="131" t="s">
        <v>11</v>
      </c>
      <c r="D114" s="131">
        <v>1</v>
      </c>
      <c r="E114" s="130">
        <v>100</v>
      </c>
      <c r="F114" s="131" t="s">
        <v>340</v>
      </c>
      <c r="G114" s="247">
        <v>546.9</v>
      </c>
      <c r="H114" s="247">
        <v>546.9</v>
      </c>
      <c r="I114" s="247">
        <v>80.394299999999987</v>
      </c>
      <c r="J114" s="247">
        <v>126.24444444444444</v>
      </c>
      <c r="K114" s="247">
        <v>101.19825708061003</v>
      </c>
      <c r="L114" s="247">
        <v>82.710727969348653</v>
      </c>
      <c r="M114" s="247">
        <v>15.5</v>
      </c>
      <c r="N114" s="249">
        <v>22.456862745098039</v>
      </c>
      <c r="O114" s="250">
        <v>80.394299999999987</v>
      </c>
      <c r="P114" s="249">
        <v>126.24444444444444</v>
      </c>
      <c r="Q114" s="249">
        <v>101.19825708061003</v>
      </c>
      <c r="R114" s="249">
        <v>82.710727969348653</v>
      </c>
      <c r="S114" s="250">
        <v>15.5</v>
      </c>
      <c r="T114" s="247">
        <v>22.456862745098039</v>
      </c>
      <c r="U114" s="247">
        <v>428.50459223950116</v>
      </c>
      <c r="V114" s="255">
        <v>118.39540776049881</v>
      </c>
      <c r="W114" s="247">
        <v>118.39540776049881</v>
      </c>
      <c r="X114" s="256">
        <v>0.21648456346772502</v>
      </c>
    </row>
    <row r="115" spans="1:24" x14ac:dyDescent="0.25">
      <c r="A115" s="254">
        <v>45810</v>
      </c>
      <c r="B115" s="131" t="s">
        <v>108</v>
      </c>
      <c r="C115" s="131" t="s">
        <v>10</v>
      </c>
      <c r="D115" s="131">
        <v>1</v>
      </c>
      <c r="E115" s="130">
        <v>100</v>
      </c>
      <c r="F115" s="131" t="s">
        <v>340</v>
      </c>
      <c r="G115" s="247">
        <v>548.9</v>
      </c>
      <c r="H115" s="247">
        <v>548.9</v>
      </c>
      <c r="I115" s="247">
        <v>80.688299999999998</v>
      </c>
      <c r="J115" s="247">
        <v>123.24444444444444</v>
      </c>
      <c r="K115" s="247">
        <v>101.19825708061003</v>
      </c>
      <c r="L115" s="247">
        <v>82.710727969348653</v>
      </c>
      <c r="M115" s="247">
        <v>15.5</v>
      </c>
      <c r="N115" s="249">
        <v>22.456862745098039</v>
      </c>
      <c r="O115" s="250">
        <v>80.688299999999998</v>
      </c>
      <c r="P115" s="249">
        <v>123.24444444444444</v>
      </c>
      <c r="Q115" s="249">
        <v>101.19825708061003</v>
      </c>
      <c r="R115" s="249">
        <v>82.710727969348653</v>
      </c>
      <c r="S115" s="250">
        <v>15.5</v>
      </c>
      <c r="T115" s="247">
        <v>22.456862745098039</v>
      </c>
      <c r="U115" s="247">
        <v>425.79859223950115</v>
      </c>
      <c r="V115" s="255">
        <v>123.10140776049883</v>
      </c>
      <c r="W115" s="247">
        <v>123.10140776049883</v>
      </c>
      <c r="X115" s="256">
        <v>0.22426927994261037</v>
      </c>
    </row>
    <row r="116" spans="1:24" x14ac:dyDescent="0.25">
      <c r="A116" s="254">
        <v>45810</v>
      </c>
      <c r="B116" s="131" t="s">
        <v>108</v>
      </c>
      <c r="C116" s="131" t="s">
        <v>7</v>
      </c>
      <c r="D116" s="131">
        <v>1</v>
      </c>
      <c r="E116" s="130">
        <v>280</v>
      </c>
      <c r="F116" s="131" t="s">
        <v>365</v>
      </c>
      <c r="G116" s="247">
        <v>549.9</v>
      </c>
      <c r="H116" s="247">
        <v>549.9</v>
      </c>
      <c r="I116" s="247">
        <v>0</v>
      </c>
      <c r="J116" s="247">
        <v>223.18888888888884</v>
      </c>
      <c r="K116" s="247">
        <v>101.19825708061003</v>
      </c>
      <c r="L116" s="247">
        <v>82.710727969348653</v>
      </c>
      <c r="M116" s="247">
        <v>15.5</v>
      </c>
      <c r="N116" s="249">
        <v>22.456862745098039</v>
      </c>
      <c r="O116" s="250">
        <v>0</v>
      </c>
      <c r="P116" s="249">
        <v>223.18888888888884</v>
      </c>
      <c r="Q116" s="249">
        <v>101.19825708061003</v>
      </c>
      <c r="R116" s="249">
        <v>82.710727969348653</v>
      </c>
      <c r="S116" s="250">
        <v>15.5</v>
      </c>
      <c r="T116" s="247">
        <v>22.456862745098039</v>
      </c>
      <c r="U116" s="247">
        <v>445.05473668394558</v>
      </c>
      <c r="V116" s="255">
        <v>104.8452633160544</v>
      </c>
      <c r="W116" s="247">
        <v>104.8452633160544</v>
      </c>
      <c r="X116" s="256">
        <v>0.19066241737780398</v>
      </c>
    </row>
    <row r="117" spans="1:24" x14ac:dyDescent="0.25">
      <c r="A117" s="254">
        <v>45810</v>
      </c>
      <c r="B117" s="131" t="s">
        <v>108</v>
      </c>
      <c r="C117" s="131" t="s">
        <v>135</v>
      </c>
      <c r="D117" s="131">
        <v>1</v>
      </c>
      <c r="E117" s="130">
        <v>100</v>
      </c>
      <c r="F117" s="131" t="s">
        <v>100</v>
      </c>
      <c r="G117" s="247">
        <v>551.9</v>
      </c>
      <c r="H117" s="247">
        <v>551.9</v>
      </c>
      <c r="I117" s="247">
        <v>49.670999999999999</v>
      </c>
      <c r="J117" s="247">
        <v>131.74444444444444</v>
      </c>
      <c r="K117" s="247">
        <v>101.19825708061003</v>
      </c>
      <c r="L117" s="247">
        <v>82.710727969348653</v>
      </c>
      <c r="M117" s="247">
        <v>15.5</v>
      </c>
      <c r="N117" s="249">
        <v>22.456862745098039</v>
      </c>
      <c r="O117" s="250">
        <v>49.670999999999999</v>
      </c>
      <c r="P117" s="249">
        <v>131.74444444444444</v>
      </c>
      <c r="Q117" s="249">
        <v>101.19825708061003</v>
      </c>
      <c r="R117" s="249">
        <v>82.710727969348653</v>
      </c>
      <c r="S117" s="250">
        <v>15.5</v>
      </c>
      <c r="T117" s="247">
        <v>22.456862745098039</v>
      </c>
      <c r="U117" s="247">
        <v>403.28129223950117</v>
      </c>
      <c r="V117" s="255">
        <v>148.61870776049881</v>
      </c>
      <c r="W117" s="247">
        <v>148.61870776049881</v>
      </c>
      <c r="X117" s="256">
        <v>0.26928557303949774</v>
      </c>
    </row>
    <row r="118" spans="1:24" x14ac:dyDescent="0.25">
      <c r="A118" s="254">
        <v>45810</v>
      </c>
      <c r="B118" s="131" t="s">
        <v>108</v>
      </c>
      <c r="C118" s="131" t="s">
        <v>135</v>
      </c>
      <c r="D118" s="131">
        <v>1</v>
      </c>
      <c r="E118" s="130">
        <v>100</v>
      </c>
      <c r="F118" s="131" t="s">
        <v>100</v>
      </c>
      <c r="G118" s="247">
        <v>557.9</v>
      </c>
      <c r="H118" s="247">
        <v>557.9</v>
      </c>
      <c r="I118" s="247">
        <v>50.210999999999999</v>
      </c>
      <c r="J118" s="247">
        <v>131.74444444444444</v>
      </c>
      <c r="K118" s="247">
        <v>101.19825708061003</v>
      </c>
      <c r="L118" s="247">
        <v>82.710727969348653</v>
      </c>
      <c r="M118" s="247">
        <v>15.5</v>
      </c>
      <c r="N118" s="249">
        <v>22.456862745098039</v>
      </c>
      <c r="O118" s="250">
        <v>50.210999999999999</v>
      </c>
      <c r="P118" s="249">
        <v>131.74444444444444</v>
      </c>
      <c r="Q118" s="249">
        <v>101.19825708061003</v>
      </c>
      <c r="R118" s="249">
        <v>82.710727969348653</v>
      </c>
      <c r="S118" s="250">
        <v>15.5</v>
      </c>
      <c r="T118" s="247">
        <v>22.456862745098039</v>
      </c>
      <c r="U118" s="247">
        <v>403.82129223950113</v>
      </c>
      <c r="V118" s="255">
        <v>154.07870776049884</v>
      </c>
      <c r="W118" s="247">
        <v>154.07870776049884</v>
      </c>
      <c r="X118" s="256">
        <v>0.27617621036117379</v>
      </c>
    </row>
    <row r="119" spans="1:24" x14ac:dyDescent="0.25">
      <c r="A119" s="254">
        <v>45810</v>
      </c>
      <c r="B119" s="131" t="s">
        <v>108</v>
      </c>
      <c r="C119" s="131" t="s">
        <v>5</v>
      </c>
      <c r="D119" s="131">
        <v>2</v>
      </c>
      <c r="E119" s="130">
        <v>100</v>
      </c>
      <c r="F119" s="131" t="s">
        <v>216</v>
      </c>
      <c r="G119" s="247">
        <v>562.9</v>
      </c>
      <c r="H119" s="247">
        <v>1125.8</v>
      </c>
      <c r="I119" s="247">
        <v>145.22819999999999</v>
      </c>
      <c r="J119" s="247">
        <v>327.14444444444445</v>
      </c>
      <c r="K119" s="247">
        <v>202.39651416122007</v>
      </c>
      <c r="L119" s="247">
        <v>165.42145593869731</v>
      </c>
      <c r="M119" s="247">
        <v>31</v>
      </c>
      <c r="N119" s="249">
        <v>44.913725490196079</v>
      </c>
      <c r="O119" s="250">
        <v>72.614099999999993</v>
      </c>
      <c r="P119" s="249">
        <v>163.57222222222222</v>
      </c>
      <c r="Q119" s="249">
        <v>101.19825708061003</v>
      </c>
      <c r="R119" s="249">
        <v>82.710727969348653</v>
      </c>
      <c r="S119" s="250">
        <v>15.5</v>
      </c>
      <c r="T119" s="247">
        <v>22.456862745098039</v>
      </c>
      <c r="U119" s="247">
        <v>916.10434003455782</v>
      </c>
      <c r="V119" s="255">
        <v>209.69565996544213</v>
      </c>
      <c r="W119" s="247">
        <v>104.84782998272107</v>
      </c>
      <c r="X119" s="256">
        <v>0.18626368801336129</v>
      </c>
    </row>
    <row r="120" spans="1:24" x14ac:dyDescent="0.25">
      <c r="A120" s="254">
        <v>45810</v>
      </c>
      <c r="B120" s="131" t="s">
        <v>108</v>
      </c>
      <c r="C120" s="131" t="s">
        <v>135</v>
      </c>
      <c r="D120" s="131">
        <v>1</v>
      </c>
      <c r="E120" s="130">
        <v>140</v>
      </c>
      <c r="F120" s="131" t="s">
        <v>100</v>
      </c>
      <c r="G120" s="247">
        <v>564.91</v>
      </c>
      <c r="H120" s="247">
        <v>564.91</v>
      </c>
      <c r="I120" s="247">
        <v>50.841899999999995</v>
      </c>
      <c r="J120" s="247">
        <v>150.94444444444443</v>
      </c>
      <c r="K120" s="247">
        <v>101.19825708061003</v>
      </c>
      <c r="L120" s="247">
        <v>82.710727969348653</v>
      </c>
      <c r="M120" s="247">
        <v>15.5</v>
      </c>
      <c r="N120" s="249">
        <v>22.456862745098039</v>
      </c>
      <c r="O120" s="250">
        <v>50.841899999999995</v>
      </c>
      <c r="P120" s="249">
        <v>150.94444444444443</v>
      </c>
      <c r="Q120" s="249">
        <v>101.19825708061003</v>
      </c>
      <c r="R120" s="249">
        <v>82.710727969348653</v>
      </c>
      <c r="S120" s="250">
        <v>15.5</v>
      </c>
      <c r="T120" s="247">
        <v>22.456862745098039</v>
      </c>
      <c r="U120" s="247">
        <v>423.65219223950118</v>
      </c>
      <c r="V120" s="255">
        <v>141.25780776049879</v>
      </c>
      <c r="W120" s="247">
        <v>141.25780776049879</v>
      </c>
      <c r="X120" s="256">
        <v>0.25005365060009349</v>
      </c>
    </row>
    <row r="121" spans="1:24" x14ac:dyDescent="0.25">
      <c r="A121" s="254">
        <v>45810</v>
      </c>
      <c r="B121" s="131" t="s">
        <v>108</v>
      </c>
      <c r="C121" s="131" t="s">
        <v>6</v>
      </c>
      <c r="D121" s="131">
        <v>1</v>
      </c>
      <c r="E121" s="130">
        <v>140</v>
      </c>
      <c r="F121" s="131" t="s">
        <v>100</v>
      </c>
      <c r="G121" s="247">
        <v>564.91</v>
      </c>
      <c r="H121" s="247">
        <v>564.91</v>
      </c>
      <c r="I121" s="247">
        <v>50.841899999999995</v>
      </c>
      <c r="J121" s="247">
        <v>143.94444444444443</v>
      </c>
      <c r="K121" s="247">
        <v>101.19825708061003</v>
      </c>
      <c r="L121" s="247">
        <v>82.710727969348653</v>
      </c>
      <c r="M121" s="247">
        <v>15.5</v>
      </c>
      <c r="N121" s="249">
        <v>22.456862745098039</v>
      </c>
      <c r="O121" s="250">
        <v>50.841899999999995</v>
      </c>
      <c r="P121" s="249">
        <v>143.94444444444443</v>
      </c>
      <c r="Q121" s="249">
        <v>101.19825708061003</v>
      </c>
      <c r="R121" s="249">
        <v>82.710727969348653</v>
      </c>
      <c r="S121" s="250">
        <v>15.5</v>
      </c>
      <c r="T121" s="247">
        <v>22.456862745098039</v>
      </c>
      <c r="U121" s="247">
        <v>416.65219223950118</v>
      </c>
      <c r="V121" s="255">
        <v>148.25780776049879</v>
      </c>
      <c r="W121" s="247">
        <v>148.25780776049879</v>
      </c>
      <c r="X121" s="256">
        <v>0.26244500497512668</v>
      </c>
    </row>
    <row r="122" spans="1:24" x14ac:dyDescent="0.25">
      <c r="A122" s="254">
        <v>45810</v>
      </c>
      <c r="B122" s="131" t="s">
        <v>108</v>
      </c>
      <c r="C122" s="131" t="s">
        <v>7</v>
      </c>
      <c r="D122" s="131">
        <v>4</v>
      </c>
      <c r="E122" s="130">
        <v>140</v>
      </c>
      <c r="F122" s="131" t="s">
        <v>100</v>
      </c>
      <c r="G122" s="247">
        <v>564.91</v>
      </c>
      <c r="H122" s="247">
        <v>2259.64</v>
      </c>
      <c r="I122" s="247">
        <v>203.36759999999998</v>
      </c>
      <c r="J122" s="247">
        <v>569.77777777777771</v>
      </c>
      <c r="K122" s="247">
        <v>404.79302832244014</v>
      </c>
      <c r="L122" s="247">
        <v>330.84291187739461</v>
      </c>
      <c r="M122" s="247">
        <v>62</v>
      </c>
      <c r="N122" s="249">
        <v>89.827450980392157</v>
      </c>
      <c r="O122" s="250">
        <v>50.841899999999995</v>
      </c>
      <c r="P122" s="249">
        <v>142.44444444444443</v>
      </c>
      <c r="Q122" s="249">
        <v>101.19825708061003</v>
      </c>
      <c r="R122" s="249">
        <v>82.710727969348653</v>
      </c>
      <c r="S122" s="250">
        <v>15.5</v>
      </c>
      <c r="T122" s="247">
        <v>22.456862745098039</v>
      </c>
      <c r="U122" s="247">
        <v>1660.6087689580047</v>
      </c>
      <c r="V122" s="255">
        <v>599.03123104199517</v>
      </c>
      <c r="W122" s="247">
        <v>149.75780776049879</v>
      </c>
      <c r="X122" s="256">
        <v>0.26510029519834805</v>
      </c>
    </row>
    <row r="123" spans="1:24" x14ac:dyDescent="0.25">
      <c r="A123" s="254">
        <v>45810</v>
      </c>
      <c r="B123" s="131" t="s">
        <v>108</v>
      </c>
      <c r="C123" s="131" t="s">
        <v>135</v>
      </c>
      <c r="D123" s="131">
        <v>1</v>
      </c>
      <c r="E123" s="130">
        <v>100</v>
      </c>
      <c r="F123" s="131" t="s">
        <v>340</v>
      </c>
      <c r="G123" s="247">
        <v>565.9</v>
      </c>
      <c r="H123" s="247">
        <v>565.9</v>
      </c>
      <c r="I123" s="247">
        <v>83.187299999999993</v>
      </c>
      <c r="J123" s="247">
        <v>131.74444444444444</v>
      </c>
      <c r="K123" s="247">
        <v>101.19825708061003</v>
      </c>
      <c r="L123" s="247">
        <v>82.710727969348653</v>
      </c>
      <c r="M123" s="247">
        <v>15.5</v>
      </c>
      <c r="N123" s="249">
        <v>22.456862745098039</v>
      </c>
      <c r="O123" s="250">
        <v>83.187299999999993</v>
      </c>
      <c r="P123" s="249">
        <v>131.74444444444444</v>
      </c>
      <c r="Q123" s="249">
        <v>101.19825708061003</v>
      </c>
      <c r="R123" s="249">
        <v>82.710727969348653</v>
      </c>
      <c r="S123" s="250">
        <v>15.5</v>
      </c>
      <c r="T123" s="247">
        <v>22.456862745098039</v>
      </c>
      <c r="U123" s="247">
        <v>436.79759223950117</v>
      </c>
      <c r="V123" s="255">
        <v>129.10240776049881</v>
      </c>
      <c r="W123" s="247">
        <v>129.10240776049881</v>
      </c>
      <c r="X123" s="256">
        <v>0.228136433575718</v>
      </c>
    </row>
    <row r="124" spans="1:24" x14ac:dyDescent="0.25">
      <c r="A124" s="254">
        <v>45810</v>
      </c>
      <c r="B124" s="131" t="s">
        <v>108</v>
      </c>
      <c r="C124" s="131" t="s">
        <v>6</v>
      </c>
      <c r="D124" s="131">
        <v>1</v>
      </c>
      <c r="E124" s="130">
        <v>100</v>
      </c>
      <c r="F124" s="131" t="s">
        <v>100</v>
      </c>
      <c r="G124" s="247">
        <v>565.9</v>
      </c>
      <c r="H124" s="247">
        <v>565.9</v>
      </c>
      <c r="I124" s="247">
        <v>50.930999999999997</v>
      </c>
      <c r="J124" s="247">
        <v>124.74444444444444</v>
      </c>
      <c r="K124" s="247">
        <v>101.19825708061003</v>
      </c>
      <c r="L124" s="247">
        <v>82.710727969348653</v>
      </c>
      <c r="M124" s="247">
        <v>15.5</v>
      </c>
      <c r="N124" s="249">
        <v>22.456862745098039</v>
      </c>
      <c r="O124" s="250">
        <v>50.930999999999997</v>
      </c>
      <c r="P124" s="249">
        <v>124.74444444444444</v>
      </c>
      <c r="Q124" s="249">
        <v>101.19825708061003</v>
      </c>
      <c r="R124" s="249">
        <v>82.710727969348653</v>
      </c>
      <c r="S124" s="250">
        <v>15.5</v>
      </c>
      <c r="T124" s="247">
        <v>22.456862745098039</v>
      </c>
      <c r="U124" s="247">
        <v>397.54129223950116</v>
      </c>
      <c r="V124" s="255">
        <v>168.35870776049882</v>
      </c>
      <c r="W124" s="247">
        <v>168.35870776049882</v>
      </c>
      <c r="X124" s="256">
        <v>0.29750611019702922</v>
      </c>
    </row>
    <row r="125" spans="1:24" x14ac:dyDescent="0.25">
      <c r="A125" s="254">
        <v>45810</v>
      </c>
      <c r="B125" s="131" t="s">
        <v>108</v>
      </c>
      <c r="C125" s="131" t="s">
        <v>6</v>
      </c>
      <c r="D125" s="131">
        <v>1</v>
      </c>
      <c r="E125" s="130">
        <v>140</v>
      </c>
      <c r="F125" s="131" t="s">
        <v>216</v>
      </c>
      <c r="G125" s="247">
        <v>567.9</v>
      </c>
      <c r="H125" s="247">
        <v>567.9</v>
      </c>
      <c r="I125" s="247">
        <v>73.259100000000004</v>
      </c>
      <c r="J125" s="247">
        <v>143.94444444444443</v>
      </c>
      <c r="K125" s="247">
        <v>101.19825708061003</v>
      </c>
      <c r="L125" s="247">
        <v>82.710727969348653</v>
      </c>
      <c r="M125" s="247">
        <v>15.5</v>
      </c>
      <c r="N125" s="249">
        <v>22.456862745098039</v>
      </c>
      <c r="O125" s="250">
        <v>73.259100000000004</v>
      </c>
      <c r="P125" s="249">
        <v>143.94444444444443</v>
      </c>
      <c r="Q125" s="249">
        <v>101.19825708061003</v>
      </c>
      <c r="R125" s="249">
        <v>82.710727969348653</v>
      </c>
      <c r="S125" s="250">
        <v>15.5</v>
      </c>
      <c r="T125" s="247">
        <v>22.456862745098039</v>
      </c>
      <c r="U125" s="247">
        <v>439.06939223950116</v>
      </c>
      <c r="V125" s="255">
        <v>128.83060776049882</v>
      </c>
      <c r="W125" s="247">
        <v>128.83060776049882</v>
      </c>
      <c r="X125" s="256">
        <v>0.22685438943563802</v>
      </c>
    </row>
    <row r="126" spans="1:24" x14ac:dyDescent="0.25">
      <c r="A126" s="254">
        <v>45810</v>
      </c>
      <c r="B126" s="131" t="s">
        <v>108</v>
      </c>
      <c r="C126" s="131" t="s">
        <v>7</v>
      </c>
      <c r="D126" s="131">
        <v>2</v>
      </c>
      <c r="E126" s="130">
        <v>140</v>
      </c>
      <c r="F126" s="131" t="s">
        <v>216</v>
      </c>
      <c r="G126" s="247">
        <v>567.9</v>
      </c>
      <c r="H126" s="247">
        <v>1135.8</v>
      </c>
      <c r="I126" s="247">
        <v>146.51820000000001</v>
      </c>
      <c r="J126" s="247">
        <v>284.88888888888886</v>
      </c>
      <c r="K126" s="247">
        <v>202.39651416122007</v>
      </c>
      <c r="L126" s="247">
        <v>165.42145593869731</v>
      </c>
      <c r="M126" s="247">
        <v>31</v>
      </c>
      <c r="N126" s="249">
        <v>44.913725490196079</v>
      </c>
      <c r="O126" s="250">
        <v>73.259100000000004</v>
      </c>
      <c r="P126" s="249">
        <v>142.44444444444443</v>
      </c>
      <c r="Q126" s="249">
        <v>101.19825708061003</v>
      </c>
      <c r="R126" s="249">
        <v>82.710727969348653</v>
      </c>
      <c r="S126" s="250">
        <v>15.5</v>
      </c>
      <c r="T126" s="247">
        <v>22.456862745098039</v>
      </c>
      <c r="U126" s="247">
        <v>875.13878447900231</v>
      </c>
      <c r="V126" s="255">
        <v>260.66121552099764</v>
      </c>
      <c r="W126" s="247">
        <v>130.33060776049882</v>
      </c>
      <c r="X126" s="256">
        <v>0.22949569952544255</v>
      </c>
    </row>
    <row r="127" spans="1:24" x14ac:dyDescent="0.25">
      <c r="A127" s="254">
        <v>45810</v>
      </c>
      <c r="B127" s="131" t="s">
        <v>108</v>
      </c>
      <c r="C127" s="131" t="s">
        <v>135</v>
      </c>
      <c r="D127" s="131">
        <v>1</v>
      </c>
      <c r="E127" s="130">
        <v>100</v>
      </c>
      <c r="F127" s="131" t="s">
        <v>100</v>
      </c>
      <c r="G127" s="247">
        <v>569.9</v>
      </c>
      <c r="H127" s="247">
        <v>569.9</v>
      </c>
      <c r="I127" s="247">
        <v>51.290999999999997</v>
      </c>
      <c r="J127" s="247">
        <v>131.74444444444444</v>
      </c>
      <c r="K127" s="247">
        <v>101.19825708061003</v>
      </c>
      <c r="L127" s="247">
        <v>82.710727969348653</v>
      </c>
      <c r="M127" s="247">
        <v>15.5</v>
      </c>
      <c r="N127" s="249">
        <v>22.456862745098039</v>
      </c>
      <c r="O127" s="250">
        <v>51.290999999999997</v>
      </c>
      <c r="P127" s="249">
        <v>131.74444444444444</v>
      </c>
      <c r="Q127" s="249">
        <v>101.19825708061003</v>
      </c>
      <c r="R127" s="249">
        <v>82.710727969348653</v>
      </c>
      <c r="S127" s="250">
        <v>15.5</v>
      </c>
      <c r="T127" s="247">
        <v>22.456862745098039</v>
      </c>
      <c r="U127" s="247">
        <v>404.90129223950117</v>
      </c>
      <c r="V127" s="255">
        <v>164.9987077604988</v>
      </c>
      <c r="W127" s="247">
        <v>164.9987077604988</v>
      </c>
      <c r="X127" s="256">
        <v>0.28952221049394422</v>
      </c>
    </row>
    <row r="128" spans="1:24" x14ac:dyDescent="0.25">
      <c r="A128" s="254">
        <v>45810</v>
      </c>
      <c r="B128" s="131" t="s">
        <v>108</v>
      </c>
      <c r="C128" s="131" t="s">
        <v>5</v>
      </c>
      <c r="D128" s="131">
        <v>1</v>
      </c>
      <c r="E128" s="130">
        <v>200</v>
      </c>
      <c r="F128" s="131" t="s">
        <v>365</v>
      </c>
      <c r="G128" s="247">
        <v>569.9</v>
      </c>
      <c r="H128" s="247">
        <v>569.9</v>
      </c>
      <c r="I128" s="247">
        <v>0</v>
      </c>
      <c r="J128" s="247">
        <v>235.74444444444444</v>
      </c>
      <c r="K128" s="247">
        <v>101.19825708061003</v>
      </c>
      <c r="L128" s="247">
        <v>82.710727969348653</v>
      </c>
      <c r="M128" s="247">
        <v>15.5</v>
      </c>
      <c r="N128" s="249">
        <v>22.456862745098039</v>
      </c>
      <c r="O128" s="250">
        <v>0</v>
      </c>
      <c r="P128" s="249">
        <v>235.74444444444444</v>
      </c>
      <c r="Q128" s="249">
        <v>101.19825708061003</v>
      </c>
      <c r="R128" s="249">
        <v>82.710727969348653</v>
      </c>
      <c r="S128" s="250">
        <v>15.5</v>
      </c>
      <c r="T128" s="247">
        <v>22.456862745098039</v>
      </c>
      <c r="U128" s="247">
        <v>457.61029223950112</v>
      </c>
      <c r="V128" s="255">
        <v>112.28970776049886</v>
      </c>
      <c r="W128" s="247">
        <v>112.28970776049886</v>
      </c>
      <c r="X128" s="256">
        <v>0.19703405467713433</v>
      </c>
    </row>
    <row r="129" spans="1:24" x14ac:dyDescent="0.25">
      <c r="A129" s="254">
        <v>45810</v>
      </c>
      <c r="B129" s="131" t="s">
        <v>108</v>
      </c>
      <c r="C129" s="131" t="s">
        <v>7</v>
      </c>
      <c r="D129" s="131">
        <v>1</v>
      </c>
      <c r="E129" s="130">
        <v>140</v>
      </c>
      <c r="F129" s="131" t="s">
        <v>100</v>
      </c>
      <c r="G129" s="247">
        <v>570.91</v>
      </c>
      <c r="H129" s="247">
        <v>570.91</v>
      </c>
      <c r="I129" s="247">
        <v>51.381899999999995</v>
      </c>
      <c r="J129" s="247">
        <v>142.44444444444443</v>
      </c>
      <c r="K129" s="247">
        <v>101.19825708061003</v>
      </c>
      <c r="L129" s="247">
        <v>82.710727969348653</v>
      </c>
      <c r="M129" s="247">
        <v>15.5</v>
      </c>
      <c r="N129" s="249">
        <v>22.456862745098039</v>
      </c>
      <c r="O129" s="250">
        <v>51.381899999999995</v>
      </c>
      <c r="P129" s="249">
        <v>142.44444444444443</v>
      </c>
      <c r="Q129" s="249">
        <v>101.19825708061003</v>
      </c>
      <c r="R129" s="249">
        <v>82.710727969348653</v>
      </c>
      <c r="S129" s="250">
        <v>15.5</v>
      </c>
      <c r="T129" s="247">
        <v>22.456862745098039</v>
      </c>
      <c r="U129" s="247">
        <v>415.69219223950114</v>
      </c>
      <c r="V129" s="255">
        <v>155.21780776049883</v>
      </c>
      <c r="W129" s="247">
        <v>155.21780776049883</v>
      </c>
      <c r="X129" s="256">
        <v>0.27187789276856045</v>
      </c>
    </row>
    <row r="130" spans="1:24" x14ac:dyDescent="0.25">
      <c r="A130" s="254">
        <v>45810</v>
      </c>
      <c r="B130" s="131" t="s">
        <v>108</v>
      </c>
      <c r="C130" s="131" t="s">
        <v>7</v>
      </c>
      <c r="D130" s="131">
        <v>1</v>
      </c>
      <c r="E130" s="130">
        <v>140</v>
      </c>
      <c r="F130" s="131" t="s">
        <v>100</v>
      </c>
      <c r="G130" s="247">
        <v>572.91</v>
      </c>
      <c r="H130" s="247">
        <v>572.91</v>
      </c>
      <c r="I130" s="247">
        <v>51.561899999999994</v>
      </c>
      <c r="J130" s="247">
        <v>142.44444444444443</v>
      </c>
      <c r="K130" s="247">
        <v>101.19825708061003</v>
      </c>
      <c r="L130" s="247">
        <v>82.710727969348653</v>
      </c>
      <c r="M130" s="247">
        <v>15.5</v>
      </c>
      <c r="N130" s="249">
        <v>22.456862745098039</v>
      </c>
      <c r="O130" s="250">
        <v>51.561899999999994</v>
      </c>
      <c r="P130" s="249">
        <v>142.44444444444443</v>
      </c>
      <c r="Q130" s="249">
        <v>101.19825708061003</v>
      </c>
      <c r="R130" s="249">
        <v>82.710727969348653</v>
      </c>
      <c r="S130" s="250">
        <v>15.5</v>
      </c>
      <c r="T130" s="247">
        <v>22.456862745098039</v>
      </c>
      <c r="U130" s="247">
        <v>415.8721922395012</v>
      </c>
      <c r="V130" s="255">
        <v>157.03780776049877</v>
      </c>
      <c r="W130" s="247">
        <v>157.03780776049877</v>
      </c>
      <c r="X130" s="256">
        <v>0.27410554495557554</v>
      </c>
    </row>
    <row r="131" spans="1:24" x14ac:dyDescent="0.25">
      <c r="A131" s="254">
        <v>45810</v>
      </c>
      <c r="B131" s="131" t="s">
        <v>108</v>
      </c>
      <c r="C131" s="131" t="s">
        <v>10</v>
      </c>
      <c r="D131" s="131">
        <v>1</v>
      </c>
      <c r="E131" s="130">
        <v>140</v>
      </c>
      <c r="F131" s="131" t="s">
        <v>216</v>
      </c>
      <c r="G131" s="247">
        <v>575.9</v>
      </c>
      <c r="H131" s="247">
        <v>575.9</v>
      </c>
      <c r="I131" s="247">
        <v>74.2911</v>
      </c>
      <c r="J131" s="247">
        <v>142.44444444444443</v>
      </c>
      <c r="K131" s="247">
        <v>101.19825708061003</v>
      </c>
      <c r="L131" s="247">
        <v>82.710727969348653</v>
      </c>
      <c r="M131" s="247">
        <v>15.5</v>
      </c>
      <c r="N131" s="249">
        <v>22.456862745098039</v>
      </c>
      <c r="O131" s="250">
        <v>74.2911</v>
      </c>
      <c r="P131" s="249">
        <v>142.44444444444443</v>
      </c>
      <c r="Q131" s="249">
        <v>101.19825708061003</v>
      </c>
      <c r="R131" s="249">
        <v>82.710727969348653</v>
      </c>
      <c r="S131" s="250">
        <v>15.5</v>
      </c>
      <c r="T131" s="247">
        <v>22.456862745098039</v>
      </c>
      <c r="U131" s="247">
        <v>438.60139223950119</v>
      </c>
      <c r="V131" s="255">
        <v>137.29860776049878</v>
      </c>
      <c r="W131" s="247">
        <v>137.29860776049878</v>
      </c>
      <c r="X131" s="256">
        <v>0.23840702858221702</v>
      </c>
    </row>
    <row r="132" spans="1:24" x14ac:dyDescent="0.25">
      <c r="A132" s="254">
        <v>45810</v>
      </c>
      <c r="B132" s="131" t="s">
        <v>108</v>
      </c>
      <c r="C132" s="131" t="s">
        <v>135</v>
      </c>
      <c r="D132" s="131">
        <v>1</v>
      </c>
      <c r="E132" s="130">
        <v>140</v>
      </c>
      <c r="F132" s="131" t="s">
        <v>216</v>
      </c>
      <c r="G132" s="247">
        <v>576.9</v>
      </c>
      <c r="H132" s="247">
        <v>576.9</v>
      </c>
      <c r="I132" s="247">
        <v>74.420100000000005</v>
      </c>
      <c r="J132" s="247">
        <v>150.94444444444443</v>
      </c>
      <c r="K132" s="247">
        <v>101.19825708061003</v>
      </c>
      <c r="L132" s="247">
        <v>82.710727969348653</v>
      </c>
      <c r="M132" s="247">
        <v>15.5</v>
      </c>
      <c r="N132" s="249">
        <v>22.456862745098039</v>
      </c>
      <c r="O132" s="250">
        <v>74.420100000000005</v>
      </c>
      <c r="P132" s="249">
        <v>150.94444444444443</v>
      </c>
      <c r="Q132" s="249">
        <v>101.19825708061003</v>
      </c>
      <c r="R132" s="249">
        <v>82.710727969348653</v>
      </c>
      <c r="S132" s="250">
        <v>15.5</v>
      </c>
      <c r="T132" s="247">
        <v>22.456862745098039</v>
      </c>
      <c r="U132" s="247">
        <v>447.23039223950121</v>
      </c>
      <c r="V132" s="255">
        <v>129.66960776049876</v>
      </c>
      <c r="W132" s="247">
        <v>129.66960776049876</v>
      </c>
      <c r="X132" s="256">
        <v>0.2247696442373007</v>
      </c>
    </row>
    <row r="133" spans="1:24" x14ac:dyDescent="0.25">
      <c r="A133" s="254">
        <v>45810</v>
      </c>
      <c r="B133" s="131" t="s">
        <v>108</v>
      </c>
      <c r="C133" s="131" t="s">
        <v>135</v>
      </c>
      <c r="D133" s="131">
        <v>1</v>
      </c>
      <c r="E133" s="130">
        <v>140</v>
      </c>
      <c r="F133" s="131" t="s">
        <v>100</v>
      </c>
      <c r="G133" s="247">
        <v>576.91</v>
      </c>
      <c r="H133" s="247">
        <v>576.91</v>
      </c>
      <c r="I133" s="247">
        <v>51.921899999999994</v>
      </c>
      <c r="J133" s="247">
        <v>150.94444444444443</v>
      </c>
      <c r="K133" s="247">
        <v>101.19825708061003</v>
      </c>
      <c r="L133" s="247">
        <v>82.710727969348653</v>
      </c>
      <c r="M133" s="247">
        <v>15.5</v>
      </c>
      <c r="N133" s="249">
        <v>22.456862745098039</v>
      </c>
      <c r="O133" s="250">
        <v>51.921899999999994</v>
      </c>
      <c r="P133" s="249">
        <v>150.94444444444443</v>
      </c>
      <c r="Q133" s="249">
        <v>101.19825708061003</v>
      </c>
      <c r="R133" s="249">
        <v>82.710727969348653</v>
      </c>
      <c r="S133" s="250">
        <v>15.5</v>
      </c>
      <c r="T133" s="247">
        <v>22.456862745098039</v>
      </c>
      <c r="U133" s="247">
        <v>424.7321922395011</v>
      </c>
      <c r="V133" s="255">
        <v>152.17780776049887</v>
      </c>
      <c r="W133" s="247">
        <v>152.17780776049887</v>
      </c>
      <c r="X133" s="256">
        <v>0.26378084581736994</v>
      </c>
    </row>
    <row r="134" spans="1:24" x14ac:dyDescent="0.25">
      <c r="A134" s="254">
        <v>45810</v>
      </c>
      <c r="B134" s="131" t="s">
        <v>108</v>
      </c>
      <c r="C134" s="131" t="s">
        <v>7</v>
      </c>
      <c r="D134" s="131">
        <v>1</v>
      </c>
      <c r="E134" s="130">
        <v>140</v>
      </c>
      <c r="F134" s="131" t="s">
        <v>100</v>
      </c>
      <c r="G134" s="247">
        <v>578.91</v>
      </c>
      <c r="H134" s="247">
        <v>578.91</v>
      </c>
      <c r="I134" s="247">
        <v>52.101899999999993</v>
      </c>
      <c r="J134" s="247">
        <v>142.44444444444443</v>
      </c>
      <c r="K134" s="247">
        <v>101.19825708061003</v>
      </c>
      <c r="L134" s="247">
        <v>82.710727969348653</v>
      </c>
      <c r="M134" s="247">
        <v>15.5</v>
      </c>
      <c r="N134" s="249">
        <v>22.456862745098039</v>
      </c>
      <c r="O134" s="250">
        <v>52.101899999999993</v>
      </c>
      <c r="P134" s="249">
        <v>142.44444444444443</v>
      </c>
      <c r="Q134" s="249">
        <v>101.19825708061003</v>
      </c>
      <c r="R134" s="249">
        <v>82.710727969348653</v>
      </c>
      <c r="S134" s="250">
        <v>15.5</v>
      </c>
      <c r="T134" s="247">
        <v>22.456862745098039</v>
      </c>
      <c r="U134" s="247">
        <v>416.41219223950117</v>
      </c>
      <c r="V134" s="255">
        <v>162.4978077604988</v>
      </c>
      <c r="W134" s="247">
        <v>162.4978077604988</v>
      </c>
      <c r="X134" s="256">
        <v>0.28069614924685843</v>
      </c>
    </row>
    <row r="135" spans="1:24" x14ac:dyDescent="0.25">
      <c r="A135" s="254">
        <v>45810</v>
      </c>
      <c r="B135" s="131" t="s">
        <v>108</v>
      </c>
      <c r="C135" s="131" t="s">
        <v>135</v>
      </c>
      <c r="D135" s="131">
        <v>1</v>
      </c>
      <c r="E135" s="130">
        <v>140</v>
      </c>
      <c r="F135" s="131" t="s">
        <v>100</v>
      </c>
      <c r="G135" s="247">
        <v>582.91</v>
      </c>
      <c r="H135" s="247">
        <v>582.91</v>
      </c>
      <c r="I135" s="247">
        <v>52.461899999999993</v>
      </c>
      <c r="J135" s="247">
        <v>150.94444444444443</v>
      </c>
      <c r="K135" s="247">
        <v>101.19825708061003</v>
      </c>
      <c r="L135" s="247">
        <v>82.710727969348653</v>
      </c>
      <c r="M135" s="247">
        <v>15.5</v>
      </c>
      <c r="N135" s="249">
        <v>22.456862745098039</v>
      </c>
      <c r="O135" s="250">
        <v>52.461899999999993</v>
      </c>
      <c r="P135" s="249">
        <v>150.94444444444443</v>
      </c>
      <c r="Q135" s="249">
        <v>101.19825708061003</v>
      </c>
      <c r="R135" s="249">
        <v>82.710727969348653</v>
      </c>
      <c r="S135" s="250">
        <v>15.5</v>
      </c>
      <c r="T135" s="247">
        <v>22.456862745098039</v>
      </c>
      <c r="U135" s="247">
        <v>425.27219223950118</v>
      </c>
      <c r="V135" s="255">
        <v>157.63780776049879</v>
      </c>
      <c r="W135" s="247">
        <v>157.63780776049879</v>
      </c>
      <c r="X135" s="256">
        <v>0.27043249860269819</v>
      </c>
    </row>
    <row r="136" spans="1:24" x14ac:dyDescent="0.25">
      <c r="A136" s="254">
        <v>45810</v>
      </c>
      <c r="B136" s="131" t="s">
        <v>108</v>
      </c>
      <c r="C136" s="131" t="s">
        <v>9</v>
      </c>
      <c r="D136" s="131">
        <v>1</v>
      </c>
      <c r="E136" s="130">
        <v>140</v>
      </c>
      <c r="F136" s="131" t="s">
        <v>100</v>
      </c>
      <c r="G136" s="247">
        <v>588.91</v>
      </c>
      <c r="H136" s="247">
        <v>588.91</v>
      </c>
      <c r="I136" s="247">
        <v>53.001899999999992</v>
      </c>
      <c r="J136" s="247">
        <v>143.94444444444443</v>
      </c>
      <c r="K136" s="247">
        <v>101.19825708061003</v>
      </c>
      <c r="L136" s="247">
        <v>82.710727969348653</v>
      </c>
      <c r="M136" s="247">
        <v>15.5</v>
      </c>
      <c r="N136" s="249">
        <v>22.456862745098039</v>
      </c>
      <c r="O136" s="250">
        <v>53.001899999999992</v>
      </c>
      <c r="P136" s="249">
        <v>143.94444444444443</v>
      </c>
      <c r="Q136" s="249">
        <v>101.19825708061003</v>
      </c>
      <c r="R136" s="249">
        <v>82.710727969348653</v>
      </c>
      <c r="S136" s="250">
        <v>15.5</v>
      </c>
      <c r="T136" s="247">
        <v>22.456862745098039</v>
      </c>
      <c r="U136" s="247">
        <v>418.81219223950114</v>
      </c>
      <c r="V136" s="255">
        <v>170.09780776049882</v>
      </c>
      <c r="W136" s="247">
        <v>170.09780776049882</v>
      </c>
      <c r="X136" s="256">
        <v>0.2888349794713943</v>
      </c>
    </row>
    <row r="137" spans="1:24" x14ac:dyDescent="0.25">
      <c r="A137" s="254">
        <v>45810</v>
      </c>
      <c r="B137" s="131" t="s">
        <v>108</v>
      </c>
      <c r="C137" s="131" t="s">
        <v>18</v>
      </c>
      <c r="D137" s="131">
        <v>1</v>
      </c>
      <c r="E137" s="130">
        <v>100</v>
      </c>
      <c r="F137" s="131" t="s">
        <v>340</v>
      </c>
      <c r="G137" s="247">
        <v>599.9</v>
      </c>
      <c r="H137" s="247">
        <v>599.9</v>
      </c>
      <c r="I137" s="247">
        <v>88.185299999999998</v>
      </c>
      <c r="J137" s="247">
        <v>147.97777777777776</v>
      </c>
      <c r="K137" s="247">
        <v>101.19825708061003</v>
      </c>
      <c r="L137" s="247">
        <v>82.710727969348653</v>
      </c>
      <c r="M137" s="247">
        <v>15.5</v>
      </c>
      <c r="N137" s="249">
        <v>22.456862745098039</v>
      </c>
      <c r="O137" s="250">
        <v>88.185299999999998</v>
      </c>
      <c r="P137" s="249">
        <v>147.97777777777776</v>
      </c>
      <c r="Q137" s="249">
        <v>101.19825708061003</v>
      </c>
      <c r="R137" s="249">
        <v>82.710727969348653</v>
      </c>
      <c r="S137" s="250">
        <v>15.5</v>
      </c>
      <c r="T137" s="247">
        <v>22.456862745098039</v>
      </c>
      <c r="U137" s="247">
        <v>458.02892557283445</v>
      </c>
      <c r="V137" s="255">
        <v>141.87107442716552</v>
      </c>
      <c r="W137" s="247">
        <v>141.87107442716552</v>
      </c>
      <c r="X137" s="256">
        <v>0.23649120591292805</v>
      </c>
    </row>
    <row r="138" spans="1:24" x14ac:dyDescent="0.25">
      <c r="A138" s="254">
        <v>45810</v>
      </c>
      <c r="B138" s="131" t="s">
        <v>108</v>
      </c>
      <c r="C138" s="131" t="s">
        <v>7</v>
      </c>
      <c r="D138" s="131">
        <v>5</v>
      </c>
      <c r="E138" s="130">
        <v>140</v>
      </c>
      <c r="F138" s="131" t="s">
        <v>340</v>
      </c>
      <c r="G138" s="247">
        <v>604.9</v>
      </c>
      <c r="H138" s="247">
        <v>3024.5</v>
      </c>
      <c r="I138" s="247">
        <v>444.60149999999999</v>
      </c>
      <c r="J138" s="247">
        <v>712.22222222222217</v>
      </c>
      <c r="K138" s="247">
        <v>505.99128540305014</v>
      </c>
      <c r="L138" s="247">
        <v>413.55363984674329</v>
      </c>
      <c r="M138" s="247">
        <v>77.5</v>
      </c>
      <c r="N138" s="249">
        <v>112.28431372549019</v>
      </c>
      <c r="O138" s="250">
        <v>88.920299999999997</v>
      </c>
      <c r="P138" s="249">
        <v>142.44444444444443</v>
      </c>
      <c r="Q138" s="249">
        <v>101.19825708061003</v>
      </c>
      <c r="R138" s="249">
        <v>82.710727969348653</v>
      </c>
      <c r="S138" s="250">
        <v>15.5</v>
      </c>
      <c r="T138" s="247">
        <v>22.456862745098039</v>
      </c>
      <c r="U138" s="247">
        <v>2266.1529611975056</v>
      </c>
      <c r="V138" s="255">
        <v>758.34703880249435</v>
      </c>
      <c r="W138" s="247">
        <v>151.66940776049887</v>
      </c>
      <c r="X138" s="256">
        <v>0.25073467971648022</v>
      </c>
    </row>
    <row r="139" spans="1:24" x14ac:dyDescent="0.25">
      <c r="A139" s="254">
        <v>45810</v>
      </c>
      <c r="B139" s="131" t="s">
        <v>108</v>
      </c>
      <c r="C139" s="131" t="s">
        <v>11</v>
      </c>
      <c r="D139" s="131">
        <v>1</v>
      </c>
      <c r="E139" s="130">
        <v>140</v>
      </c>
      <c r="F139" s="131" t="s">
        <v>340</v>
      </c>
      <c r="G139" s="247">
        <v>614.9</v>
      </c>
      <c r="H139" s="247">
        <v>614.9</v>
      </c>
      <c r="I139" s="247">
        <v>90.390299999999996</v>
      </c>
      <c r="J139" s="247">
        <v>145.44444444444443</v>
      </c>
      <c r="K139" s="247">
        <v>101.19825708061003</v>
      </c>
      <c r="L139" s="247">
        <v>82.710727969348653</v>
      </c>
      <c r="M139" s="247">
        <v>15.5</v>
      </c>
      <c r="N139" s="249">
        <v>22.456862745098039</v>
      </c>
      <c r="O139" s="250">
        <v>90.390299999999996</v>
      </c>
      <c r="P139" s="249">
        <v>145.44444444444443</v>
      </c>
      <c r="Q139" s="249">
        <v>101.19825708061003</v>
      </c>
      <c r="R139" s="249">
        <v>82.710727969348653</v>
      </c>
      <c r="S139" s="250">
        <v>15.5</v>
      </c>
      <c r="T139" s="247">
        <v>22.456862745098039</v>
      </c>
      <c r="U139" s="247">
        <v>457.70059223950119</v>
      </c>
      <c r="V139" s="255">
        <v>157.19940776049879</v>
      </c>
      <c r="W139" s="247">
        <v>157.19940776049879</v>
      </c>
      <c r="X139" s="256">
        <v>0.25565036227109905</v>
      </c>
    </row>
    <row r="140" spans="1:24" x14ac:dyDescent="0.25">
      <c r="A140" s="254">
        <v>45810</v>
      </c>
      <c r="B140" s="131" t="s">
        <v>108</v>
      </c>
      <c r="C140" s="131" t="s">
        <v>6</v>
      </c>
      <c r="D140" s="131">
        <v>1</v>
      </c>
      <c r="E140" s="130">
        <v>140</v>
      </c>
      <c r="F140" s="131" t="s">
        <v>340</v>
      </c>
      <c r="G140" s="247">
        <v>616.9</v>
      </c>
      <c r="H140" s="247">
        <v>616.9</v>
      </c>
      <c r="I140" s="247">
        <v>90.684299999999993</v>
      </c>
      <c r="J140" s="247">
        <v>143.94444444444443</v>
      </c>
      <c r="K140" s="247">
        <v>101.19825708061003</v>
      </c>
      <c r="L140" s="247">
        <v>82.710727969348653</v>
      </c>
      <c r="M140" s="247">
        <v>15.5</v>
      </c>
      <c r="N140" s="249">
        <v>22.456862745098039</v>
      </c>
      <c r="O140" s="250">
        <v>90.684299999999993</v>
      </c>
      <c r="P140" s="249">
        <v>143.94444444444443</v>
      </c>
      <c r="Q140" s="249">
        <v>101.19825708061003</v>
      </c>
      <c r="R140" s="249">
        <v>82.710727969348653</v>
      </c>
      <c r="S140" s="250">
        <v>15.5</v>
      </c>
      <c r="T140" s="247">
        <v>22.456862745098039</v>
      </c>
      <c r="U140" s="247">
        <v>456.49459223950117</v>
      </c>
      <c r="V140" s="255">
        <v>160.4054077604988</v>
      </c>
      <c r="W140" s="247">
        <v>160.4054077604988</v>
      </c>
      <c r="X140" s="256">
        <v>0.26001849207407812</v>
      </c>
    </row>
    <row r="141" spans="1:24" x14ac:dyDescent="0.25">
      <c r="A141" s="254">
        <v>45810</v>
      </c>
      <c r="B141" s="131" t="s">
        <v>108</v>
      </c>
      <c r="C141" s="131" t="s">
        <v>18</v>
      </c>
      <c r="D141" s="131">
        <v>1</v>
      </c>
      <c r="E141" s="130">
        <v>140</v>
      </c>
      <c r="F141" s="131" t="s">
        <v>100</v>
      </c>
      <c r="G141" s="247">
        <v>616.91</v>
      </c>
      <c r="H141" s="247">
        <v>616.91</v>
      </c>
      <c r="I141" s="247">
        <v>55.521899999999995</v>
      </c>
      <c r="J141" s="247">
        <v>167.17777777777775</v>
      </c>
      <c r="K141" s="247">
        <v>101.19825708061003</v>
      </c>
      <c r="L141" s="247">
        <v>82.710727969348653</v>
      </c>
      <c r="M141" s="247">
        <v>15.5</v>
      </c>
      <c r="N141" s="249">
        <v>22.456862745098039</v>
      </c>
      <c r="O141" s="250">
        <v>55.521899999999995</v>
      </c>
      <c r="P141" s="249">
        <v>167.17777777777775</v>
      </c>
      <c r="Q141" s="249">
        <v>101.19825708061003</v>
      </c>
      <c r="R141" s="249">
        <v>82.710727969348653</v>
      </c>
      <c r="S141" s="250">
        <v>15.5</v>
      </c>
      <c r="T141" s="247">
        <v>22.456862745098039</v>
      </c>
      <c r="U141" s="247">
        <v>444.56552557283447</v>
      </c>
      <c r="V141" s="255">
        <v>172.34447442716549</v>
      </c>
      <c r="W141" s="247">
        <v>172.34447442716549</v>
      </c>
      <c r="X141" s="256">
        <v>0.27936728927585142</v>
      </c>
    </row>
    <row r="142" spans="1:24" x14ac:dyDescent="0.25">
      <c r="A142" s="254">
        <v>45810</v>
      </c>
      <c r="B142" s="131" t="s">
        <v>108</v>
      </c>
      <c r="C142" s="131" t="s">
        <v>7</v>
      </c>
      <c r="D142" s="131">
        <v>1</v>
      </c>
      <c r="E142" s="130">
        <v>140</v>
      </c>
      <c r="F142" s="131" t="s">
        <v>340</v>
      </c>
      <c r="G142" s="247">
        <v>624.9</v>
      </c>
      <c r="H142" s="247">
        <v>624.9</v>
      </c>
      <c r="I142" s="247">
        <v>91.860299999999995</v>
      </c>
      <c r="J142" s="247">
        <v>142.44444444444443</v>
      </c>
      <c r="K142" s="247">
        <v>101.19825708061003</v>
      </c>
      <c r="L142" s="247">
        <v>82.710727969348653</v>
      </c>
      <c r="M142" s="247">
        <v>15.5</v>
      </c>
      <c r="N142" s="249">
        <v>22.456862745098039</v>
      </c>
      <c r="O142" s="250">
        <v>91.860299999999995</v>
      </c>
      <c r="P142" s="249">
        <v>142.44444444444443</v>
      </c>
      <c r="Q142" s="249">
        <v>101.19825708061003</v>
      </c>
      <c r="R142" s="249">
        <v>82.710727969348653</v>
      </c>
      <c r="S142" s="250">
        <v>15.5</v>
      </c>
      <c r="T142" s="247">
        <v>22.456862745098039</v>
      </c>
      <c r="U142" s="247">
        <v>456.1705922395011</v>
      </c>
      <c r="V142" s="255">
        <v>168.72940776049887</v>
      </c>
      <c r="W142" s="247">
        <v>168.72940776049887</v>
      </c>
      <c r="X142" s="256">
        <v>0.27001025405744739</v>
      </c>
    </row>
    <row r="143" spans="1:24" x14ac:dyDescent="0.25">
      <c r="A143" s="254">
        <v>45810</v>
      </c>
      <c r="B143" s="131" t="s">
        <v>108</v>
      </c>
      <c r="C143" s="131" t="s">
        <v>135</v>
      </c>
      <c r="D143" s="131">
        <v>1</v>
      </c>
      <c r="E143" s="130">
        <v>140</v>
      </c>
      <c r="F143" s="131" t="s">
        <v>340</v>
      </c>
      <c r="G143" s="247">
        <v>625.9</v>
      </c>
      <c r="H143" s="247">
        <v>625.9</v>
      </c>
      <c r="I143" s="247">
        <v>92.007299999999987</v>
      </c>
      <c r="J143" s="247">
        <v>150.94444444444443</v>
      </c>
      <c r="K143" s="247">
        <v>101.19825708061003</v>
      </c>
      <c r="L143" s="247">
        <v>82.710727969348653</v>
      </c>
      <c r="M143" s="247">
        <v>15.5</v>
      </c>
      <c r="N143" s="249">
        <v>22.456862745098039</v>
      </c>
      <c r="O143" s="250">
        <v>92.007299999999987</v>
      </c>
      <c r="P143" s="249">
        <v>150.94444444444443</v>
      </c>
      <c r="Q143" s="249">
        <v>101.19825708061003</v>
      </c>
      <c r="R143" s="249">
        <v>82.710727969348653</v>
      </c>
      <c r="S143" s="250">
        <v>15.5</v>
      </c>
      <c r="T143" s="247">
        <v>22.456862745098039</v>
      </c>
      <c r="U143" s="247">
        <v>464.81759223950115</v>
      </c>
      <c r="V143" s="255">
        <v>161.08240776049882</v>
      </c>
      <c r="W143" s="247">
        <v>161.08240776049882</v>
      </c>
      <c r="X143" s="256">
        <v>0.2573612522136105</v>
      </c>
    </row>
    <row r="144" spans="1:24" x14ac:dyDescent="0.25">
      <c r="A144" s="254">
        <v>45810</v>
      </c>
      <c r="B144" s="131" t="s">
        <v>108</v>
      </c>
      <c r="C144" s="131" t="s">
        <v>7</v>
      </c>
      <c r="D144" s="131">
        <v>2</v>
      </c>
      <c r="E144" s="130">
        <v>200</v>
      </c>
      <c r="F144" s="131" t="s">
        <v>100</v>
      </c>
      <c r="G144" s="247">
        <v>629.79999999999995</v>
      </c>
      <c r="H144" s="247">
        <v>1259.5999999999999</v>
      </c>
      <c r="I144" s="247">
        <v>113.36399999999999</v>
      </c>
      <c r="J144" s="247">
        <v>369.57777777777773</v>
      </c>
      <c r="K144" s="247">
        <v>202.39651416122007</v>
      </c>
      <c r="L144" s="247">
        <v>165.42145593869731</v>
      </c>
      <c r="M144" s="247">
        <v>31</v>
      </c>
      <c r="N144" s="249">
        <v>44.913725490196079</v>
      </c>
      <c r="O144" s="250">
        <v>56.681999999999995</v>
      </c>
      <c r="P144" s="249">
        <v>184.78888888888886</v>
      </c>
      <c r="Q144" s="249">
        <v>101.19825708061003</v>
      </c>
      <c r="R144" s="249">
        <v>82.710727969348653</v>
      </c>
      <c r="S144" s="250">
        <v>15.5</v>
      </c>
      <c r="T144" s="247">
        <v>22.456862745098039</v>
      </c>
      <c r="U144" s="247">
        <v>926.67347336789123</v>
      </c>
      <c r="V144" s="255">
        <v>332.92652663210868</v>
      </c>
      <c r="W144" s="247">
        <v>166.46326331605434</v>
      </c>
      <c r="X144" s="256">
        <v>0.26431131044149625</v>
      </c>
    </row>
    <row r="145" spans="1:24" x14ac:dyDescent="0.25">
      <c r="A145" s="254">
        <v>45810</v>
      </c>
      <c r="B145" s="131" t="s">
        <v>108</v>
      </c>
      <c r="C145" s="131" t="s">
        <v>11</v>
      </c>
      <c r="D145" s="131">
        <v>1</v>
      </c>
      <c r="E145" s="130">
        <v>140</v>
      </c>
      <c r="F145" s="131" t="s">
        <v>340</v>
      </c>
      <c r="G145" s="247">
        <v>634.9</v>
      </c>
      <c r="H145" s="247">
        <v>634.9</v>
      </c>
      <c r="I145" s="247">
        <v>93.330299999999994</v>
      </c>
      <c r="J145" s="247">
        <v>145.44444444444443</v>
      </c>
      <c r="K145" s="247">
        <v>101.19825708061003</v>
      </c>
      <c r="L145" s="247">
        <v>82.710727969348653</v>
      </c>
      <c r="M145" s="247">
        <v>15.5</v>
      </c>
      <c r="N145" s="249">
        <v>22.456862745098039</v>
      </c>
      <c r="O145" s="250">
        <v>93.330299999999994</v>
      </c>
      <c r="P145" s="249">
        <v>145.44444444444443</v>
      </c>
      <c r="Q145" s="249">
        <v>101.19825708061003</v>
      </c>
      <c r="R145" s="249">
        <v>82.710727969348653</v>
      </c>
      <c r="S145" s="250">
        <v>15.5</v>
      </c>
      <c r="T145" s="247">
        <v>22.456862745098039</v>
      </c>
      <c r="U145" s="247">
        <v>460.64059223950113</v>
      </c>
      <c r="V145" s="255">
        <v>174.25940776049885</v>
      </c>
      <c r="W145" s="247">
        <v>174.25940776049885</v>
      </c>
      <c r="X145" s="256">
        <v>0.2744674874161267</v>
      </c>
    </row>
    <row r="146" spans="1:24" x14ac:dyDescent="0.25">
      <c r="A146" s="254">
        <v>45810</v>
      </c>
      <c r="B146" s="131" t="s">
        <v>108</v>
      </c>
      <c r="C146" s="131" t="s">
        <v>5</v>
      </c>
      <c r="D146" s="131">
        <v>2</v>
      </c>
      <c r="E146" s="130">
        <v>140</v>
      </c>
      <c r="F146" s="131" t="s">
        <v>216</v>
      </c>
      <c r="G146" s="247">
        <v>636.9</v>
      </c>
      <c r="H146" s="247">
        <v>1273.8</v>
      </c>
      <c r="I146" s="247">
        <v>164.3202</v>
      </c>
      <c r="J146" s="247">
        <v>365.54444444444442</v>
      </c>
      <c r="K146" s="247">
        <v>202.39651416122007</v>
      </c>
      <c r="L146" s="247">
        <v>165.42145593869731</v>
      </c>
      <c r="M146" s="247">
        <v>31</v>
      </c>
      <c r="N146" s="249">
        <v>44.913725490196079</v>
      </c>
      <c r="O146" s="250">
        <v>82.1601</v>
      </c>
      <c r="P146" s="249">
        <v>182.77222222222221</v>
      </c>
      <c r="Q146" s="249">
        <v>101.19825708061003</v>
      </c>
      <c r="R146" s="249">
        <v>82.710727969348653</v>
      </c>
      <c r="S146" s="250">
        <v>15.5</v>
      </c>
      <c r="T146" s="247">
        <v>22.456862745098039</v>
      </c>
      <c r="U146" s="247">
        <v>973.59634003455778</v>
      </c>
      <c r="V146" s="255">
        <v>300.20365996544217</v>
      </c>
      <c r="W146" s="247">
        <v>150.10182998272109</v>
      </c>
      <c r="X146" s="256">
        <v>0.23567566334231604</v>
      </c>
    </row>
    <row r="147" spans="1:24" x14ac:dyDescent="0.25">
      <c r="A147" s="254">
        <v>45810</v>
      </c>
      <c r="B147" s="131" t="s">
        <v>108</v>
      </c>
      <c r="C147" s="131" t="s">
        <v>6</v>
      </c>
      <c r="D147" s="131">
        <v>1</v>
      </c>
      <c r="E147" s="130">
        <v>200</v>
      </c>
      <c r="F147" s="131" t="s">
        <v>216</v>
      </c>
      <c r="G147" s="247">
        <v>637.9</v>
      </c>
      <c r="H147" s="247">
        <v>637.9</v>
      </c>
      <c r="I147" s="247">
        <v>82.289100000000005</v>
      </c>
      <c r="J147" s="247">
        <v>186.28888888888886</v>
      </c>
      <c r="K147" s="247">
        <v>101.19825708061003</v>
      </c>
      <c r="L147" s="247">
        <v>82.710727969348653</v>
      </c>
      <c r="M147" s="247">
        <v>15.5</v>
      </c>
      <c r="N147" s="249">
        <v>22.456862745098039</v>
      </c>
      <c r="O147" s="250">
        <v>82.289100000000005</v>
      </c>
      <c r="P147" s="249">
        <v>186.28888888888886</v>
      </c>
      <c r="Q147" s="249">
        <v>101.19825708061003</v>
      </c>
      <c r="R147" s="249">
        <v>82.710727969348653</v>
      </c>
      <c r="S147" s="250">
        <v>15.5</v>
      </c>
      <c r="T147" s="247">
        <v>22.456862745098039</v>
      </c>
      <c r="U147" s="247">
        <v>490.44383668394556</v>
      </c>
      <c r="V147" s="255">
        <v>147.45616331605441</v>
      </c>
      <c r="W147" s="247">
        <v>147.45616331605441</v>
      </c>
      <c r="X147" s="256">
        <v>0.23115874481275187</v>
      </c>
    </row>
    <row r="148" spans="1:24" x14ac:dyDescent="0.25">
      <c r="A148" s="254">
        <v>45810</v>
      </c>
      <c r="B148" s="131" t="s">
        <v>108</v>
      </c>
      <c r="C148" s="131" t="s">
        <v>7</v>
      </c>
      <c r="D148" s="131">
        <v>3</v>
      </c>
      <c r="E148" s="130">
        <v>200</v>
      </c>
      <c r="F148" s="131" t="s">
        <v>216</v>
      </c>
      <c r="G148" s="247">
        <v>637.9</v>
      </c>
      <c r="H148" s="247">
        <v>1913.7</v>
      </c>
      <c r="I148" s="247">
        <v>246.8673</v>
      </c>
      <c r="J148" s="247">
        <v>554.36666666666656</v>
      </c>
      <c r="K148" s="247">
        <v>303.59477124183013</v>
      </c>
      <c r="L148" s="247">
        <v>248.13218390804596</v>
      </c>
      <c r="M148" s="247">
        <v>46.5</v>
      </c>
      <c r="N148" s="249">
        <v>67.370588235294122</v>
      </c>
      <c r="O148" s="250">
        <v>82.289100000000005</v>
      </c>
      <c r="P148" s="249">
        <v>184.78888888888886</v>
      </c>
      <c r="Q148" s="249">
        <v>101.19825708061003</v>
      </c>
      <c r="R148" s="249">
        <v>82.710727969348653</v>
      </c>
      <c r="S148" s="250">
        <v>15.5</v>
      </c>
      <c r="T148" s="247">
        <v>22.456862745098039</v>
      </c>
      <c r="U148" s="247">
        <v>1466.8315100518366</v>
      </c>
      <c r="V148" s="255">
        <v>446.86848994816341</v>
      </c>
      <c r="W148" s="247">
        <v>148.95616331605447</v>
      </c>
      <c r="X148" s="256">
        <v>0.23351021055973417</v>
      </c>
    </row>
    <row r="149" spans="1:24" x14ac:dyDescent="0.25">
      <c r="A149" s="254">
        <v>45810</v>
      </c>
      <c r="B149" s="131" t="s">
        <v>108</v>
      </c>
      <c r="C149" s="131" t="s">
        <v>7</v>
      </c>
      <c r="D149" s="131">
        <v>1</v>
      </c>
      <c r="E149" s="130">
        <v>280</v>
      </c>
      <c r="F149" s="131" t="s">
        <v>341</v>
      </c>
      <c r="G149" s="247">
        <v>637.91</v>
      </c>
      <c r="H149" s="247">
        <v>637.91</v>
      </c>
      <c r="I149" s="247">
        <v>82.290390000000002</v>
      </c>
      <c r="J149" s="247">
        <v>223.18888888888884</v>
      </c>
      <c r="K149" s="247">
        <v>101.19825708061003</v>
      </c>
      <c r="L149" s="247">
        <v>82.710727969348653</v>
      </c>
      <c r="M149" s="247">
        <v>15.5</v>
      </c>
      <c r="N149" s="249">
        <v>22.456862745098039</v>
      </c>
      <c r="O149" s="250">
        <v>82.290390000000002</v>
      </c>
      <c r="P149" s="249">
        <v>223.18888888888884</v>
      </c>
      <c r="Q149" s="249">
        <v>101.19825708061003</v>
      </c>
      <c r="R149" s="249">
        <v>82.710727969348653</v>
      </c>
      <c r="S149" s="250">
        <v>15.5</v>
      </c>
      <c r="T149" s="247">
        <v>22.456862745098039</v>
      </c>
      <c r="U149" s="247">
        <v>527.34512668394564</v>
      </c>
      <c r="V149" s="255">
        <v>110.56487331605433</v>
      </c>
      <c r="W149" s="247">
        <v>110.56487331605433</v>
      </c>
      <c r="X149" s="256">
        <v>0.17332362451765035</v>
      </c>
    </row>
    <row r="150" spans="1:24" x14ac:dyDescent="0.25">
      <c r="A150" s="254">
        <v>45810</v>
      </c>
      <c r="B150" s="131" t="s">
        <v>108</v>
      </c>
      <c r="C150" s="131" t="s">
        <v>7</v>
      </c>
      <c r="D150" s="131">
        <v>2</v>
      </c>
      <c r="E150" s="130">
        <v>200</v>
      </c>
      <c r="F150" s="131" t="s">
        <v>100</v>
      </c>
      <c r="G150" s="247">
        <v>641.79999999999995</v>
      </c>
      <c r="H150" s="247">
        <v>1283.5999999999999</v>
      </c>
      <c r="I150" s="247">
        <v>115.52399999999999</v>
      </c>
      <c r="J150" s="247">
        <v>369.57777777777773</v>
      </c>
      <c r="K150" s="247">
        <v>202.39651416122007</v>
      </c>
      <c r="L150" s="247">
        <v>165.42145593869731</v>
      </c>
      <c r="M150" s="247">
        <v>31</v>
      </c>
      <c r="N150" s="249">
        <v>44.913725490196079</v>
      </c>
      <c r="O150" s="250">
        <v>57.761999999999993</v>
      </c>
      <c r="P150" s="249">
        <v>184.78888888888886</v>
      </c>
      <c r="Q150" s="249">
        <v>101.19825708061003</v>
      </c>
      <c r="R150" s="249">
        <v>82.710727969348653</v>
      </c>
      <c r="S150" s="250">
        <v>15.5</v>
      </c>
      <c r="T150" s="247">
        <v>22.456862745098039</v>
      </c>
      <c r="U150" s="247">
        <v>928.83347336789109</v>
      </c>
      <c r="V150" s="255">
        <v>354.76652663210882</v>
      </c>
      <c r="W150" s="247">
        <v>177.38326331605441</v>
      </c>
      <c r="X150" s="256">
        <v>0.27638401887823999</v>
      </c>
    </row>
    <row r="151" spans="1:24" x14ac:dyDescent="0.25">
      <c r="A151" s="254">
        <v>45810</v>
      </c>
      <c r="B151" s="131" t="s">
        <v>108</v>
      </c>
      <c r="C151" s="131" t="s">
        <v>6</v>
      </c>
      <c r="D151" s="131">
        <v>2</v>
      </c>
      <c r="E151" s="130">
        <v>200</v>
      </c>
      <c r="F151" s="131" t="s">
        <v>100</v>
      </c>
      <c r="G151" s="247">
        <v>647.91</v>
      </c>
      <c r="H151" s="247">
        <v>1295.82</v>
      </c>
      <c r="I151" s="247">
        <v>116.62379999999999</v>
      </c>
      <c r="J151" s="247">
        <v>372.57777777777773</v>
      </c>
      <c r="K151" s="247">
        <v>202.39651416122007</v>
      </c>
      <c r="L151" s="247">
        <v>165.42145593869731</v>
      </c>
      <c r="M151" s="247">
        <v>31</v>
      </c>
      <c r="N151" s="249">
        <v>44.913725490196079</v>
      </c>
      <c r="O151" s="250">
        <v>58.311899999999994</v>
      </c>
      <c r="P151" s="249">
        <v>186.28888888888886</v>
      </c>
      <c r="Q151" s="249">
        <v>101.19825708061003</v>
      </c>
      <c r="R151" s="249">
        <v>82.710727969348653</v>
      </c>
      <c r="S151" s="250">
        <v>15.5</v>
      </c>
      <c r="T151" s="247">
        <v>22.456862745098039</v>
      </c>
      <c r="U151" s="247">
        <v>932.93327336789127</v>
      </c>
      <c r="V151" s="255">
        <v>362.88672663210866</v>
      </c>
      <c r="W151" s="247">
        <v>181.44336331605433</v>
      </c>
      <c r="X151" s="256">
        <v>0.28004408531440222</v>
      </c>
    </row>
    <row r="152" spans="1:24" x14ac:dyDescent="0.25">
      <c r="A152" s="254">
        <v>45810</v>
      </c>
      <c r="B152" s="131" t="s">
        <v>108</v>
      </c>
      <c r="C152" s="131" t="s">
        <v>7</v>
      </c>
      <c r="D152" s="131">
        <v>8</v>
      </c>
      <c r="E152" s="130">
        <v>200</v>
      </c>
      <c r="F152" s="131" t="s">
        <v>340</v>
      </c>
      <c r="G152" s="247">
        <v>674.9</v>
      </c>
      <c r="H152" s="247">
        <v>5399.2</v>
      </c>
      <c r="I152" s="247">
        <v>793.68239999999992</v>
      </c>
      <c r="J152" s="247">
        <v>1478.3111111111109</v>
      </c>
      <c r="K152" s="247">
        <v>809.58605664488027</v>
      </c>
      <c r="L152" s="247">
        <v>661.68582375478923</v>
      </c>
      <c r="M152" s="247">
        <v>124</v>
      </c>
      <c r="N152" s="249">
        <v>179.65490196078431</v>
      </c>
      <c r="O152" s="250">
        <v>99.210299999999989</v>
      </c>
      <c r="P152" s="249">
        <v>184.78888888888886</v>
      </c>
      <c r="Q152" s="249">
        <v>101.19825708061003</v>
      </c>
      <c r="R152" s="249">
        <v>82.710727969348653</v>
      </c>
      <c r="S152" s="250">
        <v>15.5</v>
      </c>
      <c r="T152" s="247">
        <v>22.456862745098039</v>
      </c>
      <c r="U152" s="247">
        <v>4046.9202934715645</v>
      </c>
      <c r="V152" s="255">
        <v>1352.2797065284353</v>
      </c>
      <c r="W152" s="247">
        <v>169.03496331605442</v>
      </c>
      <c r="X152" s="256">
        <v>0.25045927295311071</v>
      </c>
    </row>
    <row r="153" spans="1:24" x14ac:dyDescent="0.25">
      <c r="A153" s="254">
        <v>45810</v>
      </c>
      <c r="B153" s="131" t="s">
        <v>108</v>
      </c>
      <c r="C153" s="131" t="s">
        <v>135</v>
      </c>
      <c r="D153" s="131">
        <v>3</v>
      </c>
      <c r="E153" s="130">
        <v>200</v>
      </c>
      <c r="F153" s="131" t="s">
        <v>340</v>
      </c>
      <c r="G153" s="247">
        <v>689.9</v>
      </c>
      <c r="H153" s="247">
        <v>2069.6999999999998</v>
      </c>
      <c r="I153" s="247">
        <v>304.24589999999995</v>
      </c>
      <c r="J153" s="247">
        <v>579.86666666666656</v>
      </c>
      <c r="K153" s="247">
        <v>303.59477124183013</v>
      </c>
      <c r="L153" s="247">
        <v>248.13218390804596</v>
      </c>
      <c r="M153" s="247">
        <v>46.5</v>
      </c>
      <c r="N153" s="249">
        <v>67.370588235294122</v>
      </c>
      <c r="O153" s="250">
        <v>101.41529999999999</v>
      </c>
      <c r="P153" s="249">
        <v>193.28888888888886</v>
      </c>
      <c r="Q153" s="249">
        <v>101.19825708061003</v>
      </c>
      <c r="R153" s="249">
        <v>82.710727969348653</v>
      </c>
      <c r="S153" s="250">
        <v>15.5</v>
      </c>
      <c r="T153" s="247">
        <v>22.456862745098039</v>
      </c>
      <c r="U153" s="247">
        <v>1549.7101100518371</v>
      </c>
      <c r="V153" s="255">
        <v>519.98988994816273</v>
      </c>
      <c r="W153" s="247">
        <v>173.32996331605423</v>
      </c>
      <c r="X153" s="256">
        <v>0.2512392568720892</v>
      </c>
    </row>
    <row r="154" spans="1:24" x14ac:dyDescent="0.25">
      <c r="A154" s="254">
        <v>45810</v>
      </c>
      <c r="B154" s="131" t="s">
        <v>108</v>
      </c>
      <c r="C154" s="131" t="s">
        <v>5</v>
      </c>
      <c r="D154" s="131">
        <v>1</v>
      </c>
      <c r="E154" s="130">
        <v>140</v>
      </c>
      <c r="F154" s="131" t="s">
        <v>340</v>
      </c>
      <c r="G154" s="247">
        <v>696.9</v>
      </c>
      <c r="H154" s="247">
        <v>696.9</v>
      </c>
      <c r="I154" s="247">
        <v>102.44429999999998</v>
      </c>
      <c r="J154" s="247">
        <v>182.77222222222221</v>
      </c>
      <c r="K154" s="247">
        <v>101.19825708061003</v>
      </c>
      <c r="L154" s="247">
        <v>82.710727969348653</v>
      </c>
      <c r="M154" s="247">
        <v>15.5</v>
      </c>
      <c r="N154" s="249">
        <v>22.456862745098039</v>
      </c>
      <c r="O154" s="250">
        <v>102.44429999999998</v>
      </c>
      <c r="P154" s="249">
        <v>182.77222222222221</v>
      </c>
      <c r="Q154" s="249">
        <v>101.19825708061003</v>
      </c>
      <c r="R154" s="249">
        <v>82.710727969348653</v>
      </c>
      <c r="S154" s="250">
        <v>15.5</v>
      </c>
      <c r="T154" s="247">
        <v>22.456862745098039</v>
      </c>
      <c r="U154" s="247">
        <v>507.08237001727895</v>
      </c>
      <c r="V154" s="255">
        <v>189.81762998272103</v>
      </c>
      <c r="W154" s="247">
        <v>189.81762998272103</v>
      </c>
      <c r="X154" s="256">
        <v>0.27237427175020956</v>
      </c>
    </row>
    <row r="155" spans="1:24" x14ac:dyDescent="0.25">
      <c r="A155" s="254">
        <v>45810</v>
      </c>
      <c r="B155" s="131" t="s">
        <v>108</v>
      </c>
      <c r="C155" s="131" t="s">
        <v>6</v>
      </c>
      <c r="D155" s="131">
        <v>1</v>
      </c>
      <c r="E155" s="130">
        <v>280</v>
      </c>
      <c r="F155" s="131" t="s">
        <v>216</v>
      </c>
      <c r="G155" s="247">
        <v>698.9</v>
      </c>
      <c r="H155" s="247">
        <v>698.9</v>
      </c>
      <c r="I155" s="247">
        <v>90.158100000000005</v>
      </c>
      <c r="J155" s="247">
        <v>224.68888888888884</v>
      </c>
      <c r="K155" s="247">
        <v>101.19825708061003</v>
      </c>
      <c r="L155" s="247">
        <v>82.710727969348653</v>
      </c>
      <c r="M155" s="247">
        <v>15.5</v>
      </c>
      <c r="N155" s="249">
        <v>22.456862745098039</v>
      </c>
      <c r="O155" s="250">
        <v>90.158100000000005</v>
      </c>
      <c r="P155" s="249">
        <v>224.68888888888884</v>
      </c>
      <c r="Q155" s="249">
        <v>101.19825708061003</v>
      </c>
      <c r="R155" s="249">
        <v>82.710727969348653</v>
      </c>
      <c r="S155" s="250">
        <v>15.5</v>
      </c>
      <c r="T155" s="247">
        <v>22.456862745098039</v>
      </c>
      <c r="U155" s="247">
        <v>536.71283668394562</v>
      </c>
      <c r="V155" s="255">
        <v>162.18716331605435</v>
      </c>
      <c r="W155" s="247">
        <v>162.18716331605435</v>
      </c>
      <c r="X155" s="256">
        <v>0.23206061427393671</v>
      </c>
    </row>
    <row r="156" spans="1:24" x14ac:dyDescent="0.25">
      <c r="A156" s="254">
        <v>45810</v>
      </c>
      <c r="B156" s="131" t="s">
        <v>108</v>
      </c>
      <c r="C156" s="131" t="s">
        <v>9</v>
      </c>
      <c r="D156" s="131">
        <v>1</v>
      </c>
      <c r="E156" s="130">
        <v>280</v>
      </c>
      <c r="F156" s="131" t="s">
        <v>216</v>
      </c>
      <c r="G156" s="247">
        <v>709.9</v>
      </c>
      <c r="H156" s="247">
        <v>709.9</v>
      </c>
      <c r="I156" s="247">
        <v>91.577100000000002</v>
      </c>
      <c r="J156" s="247">
        <v>224.68888888888884</v>
      </c>
      <c r="K156" s="247">
        <v>101.19825708061003</v>
      </c>
      <c r="L156" s="247">
        <v>82.710727969348653</v>
      </c>
      <c r="M156" s="247">
        <v>15.5</v>
      </c>
      <c r="N156" s="249">
        <v>22.456862745098039</v>
      </c>
      <c r="O156" s="250">
        <v>91.577100000000002</v>
      </c>
      <c r="P156" s="249">
        <v>224.68888888888884</v>
      </c>
      <c r="Q156" s="249">
        <v>101.19825708061003</v>
      </c>
      <c r="R156" s="249">
        <v>82.710727969348653</v>
      </c>
      <c r="S156" s="250">
        <v>15.5</v>
      </c>
      <c r="T156" s="247">
        <v>22.456862745098039</v>
      </c>
      <c r="U156" s="247">
        <v>538.13183668394561</v>
      </c>
      <c r="V156" s="255">
        <v>171.76816331605437</v>
      </c>
      <c r="W156" s="247">
        <v>171.76816331605437</v>
      </c>
      <c r="X156" s="256">
        <v>0.24196106960988079</v>
      </c>
    </row>
    <row r="157" spans="1:24" x14ac:dyDescent="0.25">
      <c r="A157" s="254">
        <v>45810</v>
      </c>
      <c r="B157" s="131" t="s">
        <v>108</v>
      </c>
      <c r="C157" s="131" t="s">
        <v>7</v>
      </c>
      <c r="D157" s="131">
        <v>1</v>
      </c>
      <c r="E157" s="130">
        <v>200</v>
      </c>
      <c r="F157" s="131" t="s">
        <v>340</v>
      </c>
      <c r="G157" s="247">
        <v>724.9</v>
      </c>
      <c r="H157" s="247">
        <v>724.9</v>
      </c>
      <c r="I157" s="247">
        <v>106.56029999999998</v>
      </c>
      <c r="J157" s="247">
        <v>184.78888888888886</v>
      </c>
      <c r="K157" s="247">
        <v>101.19825708061003</v>
      </c>
      <c r="L157" s="247">
        <v>82.710727969348653</v>
      </c>
      <c r="M157" s="247">
        <v>15.5</v>
      </c>
      <c r="N157" s="249">
        <v>22.456862745098039</v>
      </c>
      <c r="O157" s="250">
        <v>106.56029999999998</v>
      </c>
      <c r="P157" s="249">
        <v>184.78888888888886</v>
      </c>
      <c r="Q157" s="249">
        <v>101.19825708061003</v>
      </c>
      <c r="R157" s="249">
        <v>82.710727969348653</v>
      </c>
      <c r="S157" s="250">
        <v>15.5</v>
      </c>
      <c r="T157" s="247">
        <v>22.456862745098039</v>
      </c>
      <c r="U157" s="247">
        <v>513.21503668394564</v>
      </c>
      <c r="V157" s="255">
        <v>211.68496331605434</v>
      </c>
      <c r="W157" s="247">
        <v>211.68496331605434</v>
      </c>
      <c r="X157" s="256">
        <v>0.29201953830328919</v>
      </c>
    </row>
    <row r="158" spans="1:24" x14ac:dyDescent="0.25">
      <c r="A158" s="254">
        <v>45810</v>
      </c>
      <c r="B158" s="131" t="s">
        <v>108</v>
      </c>
      <c r="C158" s="131" t="s">
        <v>135</v>
      </c>
      <c r="D158" s="131">
        <v>1</v>
      </c>
      <c r="E158" s="130">
        <v>200</v>
      </c>
      <c r="F158" s="131" t="s">
        <v>340</v>
      </c>
      <c r="G158" s="247">
        <v>734.9</v>
      </c>
      <c r="H158" s="247">
        <v>734.9</v>
      </c>
      <c r="I158" s="247">
        <v>108.0303</v>
      </c>
      <c r="J158" s="247">
        <v>193.28888888888886</v>
      </c>
      <c r="K158" s="247">
        <v>101.19825708061003</v>
      </c>
      <c r="L158" s="247">
        <v>82.710727969348653</v>
      </c>
      <c r="M158" s="247">
        <v>15.5</v>
      </c>
      <c r="N158" s="249">
        <v>22.456862745098039</v>
      </c>
      <c r="O158" s="250">
        <v>108.0303</v>
      </c>
      <c r="P158" s="249">
        <v>193.28888888888886</v>
      </c>
      <c r="Q158" s="249">
        <v>101.19825708061003</v>
      </c>
      <c r="R158" s="249">
        <v>82.710727969348653</v>
      </c>
      <c r="S158" s="250">
        <v>15.5</v>
      </c>
      <c r="T158" s="247">
        <v>22.456862745098039</v>
      </c>
      <c r="U158" s="247">
        <v>523.18503668394567</v>
      </c>
      <c r="V158" s="255">
        <v>211.71496331605431</v>
      </c>
      <c r="W158" s="247">
        <v>211.71496331605431</v>
      </c>
      <c r="X158" s="256">
        <v>0.28808676461566785</v>
      </c>
    </row>
    <row r="159" spans="1:24" x14ac:dyDescent="0.25">
      <c r="A159" s="254">
        <v>45810</v>
      </c>
      <c r="B159" s="131" t="s">
        <v>108</v>
      </c>
      <c r="C159" s="131" t="s">
        <v>7</v>
      </c>
      <c r="D159" s="131">
        <v>1</v>
      </c>
      <c r="E159" s="130">
        <v>300</v>
      </c>
      <c r="F159" s="131" t="s">
        <v>100</v>
      </c>
      <c r="G159" s="247">
        <v>734.91</v>
      </c>
      <c r="H159" s="247">
        <v>734.91</v>
      </c>
      <c r="I159" s="247">
        <v>66.141899999999993</v>
      </c>
      <c r="J159" s="247">
        <v>246.33333333333331</v>
      </c>
      <c r="K159" s="247">
        <v>101.19825708061003</v>
      </c>
      <c r="L159" s="247">
        <v>82.710727969348653</v>
      </c>
      <c r="M159" s="247">
        <v>15.5</v>
      </c>
      <c r="N159" s="249">
        <v>22.456862745098039</v>
      </c>
      <c r="O159" s="250">
        <v>66.141899999999993</v>
      </c>
      <c r="P159" s="249">
        <v>246.33333333333331</v>
      </c>
      <c r="Q159" s="249">
        <v>101.19825708061003</v>
      </c>
      <c r="R159" s="249">
        <v>82.710727969348653</v>
      </c>
      <c r="S159" s="250">
        <v>15.5</v>
      </c>
      <c r="T159" s="247">
        <v>22.456862745098039</v>
      </c>
      <c r="U159" s="247">
        <v>534.3410811283901</v>
      </c>
      <c r="V159" s="255">
        <v>200.56891887160987</v>
      </c>
      <c r="W159" s="247">
        <v>200.56891887160987</v>
      </c>
      <c r="X159" s="256">
        <v>0.27291630114110554</v>
      </c>
    </row>
    <row r="160" spans="1:24" x14ac:dyDescent="0.25">
      <c r="A160" s="254">
        <v>45810</v>
      </c>
      <c r="B160" s="131" t="s">
        <v>108</v>
      </c>
      <c r="C160" s="131" t="s">
        <v>7</v>
      </c>
      <c r="D160" s="131">
        <v>1</v>
      </c>
      <c r="E160" s="130">
        <v>280</v>
      </c>
      <c r="F160" s="131" t="s">
        <v>340</v>
      </c>
      <c r="G160" s="247">
        <v>749.9</v>
      </c>
      <c r="H160" s="247">
        <v>749.9</v>
      </c>
      <c r="I160" s="247">
        <v>110.2353</v>
      </c>
      <c r="J160" s="247">
        <v>223.18888888888884</v>
      </c>
      <c r="K160" s="247">
        <v>101.19825708061003</v>
      </c>
      <c r="L160" s="247">
        <v>82.710727969348653</v>
      </c>
      <c r="M160" s="247">
        <v>15.5</v>
      </c>
      <c r="N160" s="249">
        <v>22.456862745098039</v>
      </c>
      <c r="O160" s="250">
        <v>110.2353</v>
      </c>
      <c r="P160" s="249">
        <v>223.18888888888884</v>
      </c>
      <c r="Q160" s="249">
        <v>101.19825708061003</v>
      </c>
      <c r="R160" s="249">
        <v>82.710727969348653</v>
      </c>
      <c r="S160" s="250">
        <v>15.5</v>
      </c>
      <c r="T160" s="247">
        <v>22.456862745098039</v>
      </c>
      <c r="U160" s="247">
        <v>555.29003668394557</v>
      </c>
      <c r="V160" s="255">
        <v>194.6099633160544</v>
      </c>
      <c r="W160" s="247">
        <v>194.6099633160544</v>
      </c>
      <c r="X160" s="256">
        <v>0.25951455302847637</v>
      </c>
    </row>
    <row r="161" spans="1:24" x14ac:dyDescent="0.25">
      <c r="A161" s="254">
        <v>45810</v>
      </c>
      <c r="B161" s="131" t="s">
        <v>108</v>
      </c>
      <c r="C161" s="131" t="s">
        <v>7</v>
      </c>
      <c r="D161" s="131">
        <v>1</v>
      </c>
      <c r="E161" s="130">
        <v>280</v>
      </c>
      <c r="F161" s="131" t="s">
        <v>340</v>
      </c>
      <c r="G161" s="247">
        <v>756.9</v>
      </c>
      <c r="H161" s="247">
        <v>756.9</v>
      </c>
      <c r="I161" s="247">
        <v>111.26429999999999</v>
      </c>
      <c r="J161" s="247">
        <v>223.18888888888884</v>
      </c>
      <c r="K161" s="247">
        <v>101.19825708061003</v>
      </c>
      <c r="L161" s="247">
        <v>82.710727969348653</v>
      </c>
      <c r="M161" s="247">
        <v>15.5</v>
      </c>
      <c r="N161" s="249">
        <v>22.456862745098039</v>
      </c>
      <c r="O161" s="250">
        <v>111.26429999999999</v>
      </c>
      <c r="P161" s="249">
        <v>223.18888888888884</v>
      </c>
      <c r="Q161" s="249">
        <v>101.19825708061003</v>
      </c>
      <c r="R161" s="249">
        <v>82.710727969348653</v>
      </c>
      <c r="S161" s="250">
        <v>15.5</v>
      </c>
      <c r="T161" s="247">
        <v>22.456862745098039</v>
      </c>
      <c r="U161" s="247">
        <v>556.31903668394557</v>
      </c>
      <c r="V161" s="255">
        <v>200.58096331605441</v>
      </c>
      <c r="W161" s="247">
        <v>200.58096331605441</v>
      </c>
      <c r="X161" s="256">
        <v>0.26500325448018813</v>
      </c>
    </row>
    <row r="162" spans="1:24" x14ac:dyDescent="0.25">
      <c r="A162" s="254">
        <v>45810</v>
      </c>
      <c r="B162" s="131" t="s">
        <v>108</v>
      </c>
      <c r="C162" s="131" t="s">
        <v>6</v>
      </c>
      <c r="D162" s="131">
        <v>1</v>
      </c>
      <c r="E162" s="130">
        <v>300</v>
      </c>
      <c r="F162" s="131" t="s">
        <v>340</v>
      </c>
      <c r="G162" s="247">
        <v>889.9</v>
      </c>
      <c r="H162" s="247">
        <v>889.9</v>
      </c>
      <c r="I162" s="247">
        <v>130.81529999999998</v>
      </c>
      <c r="J162" s="247">
        <v>247.83333333333331</v>
      </c>
      <c r="K162" s="247">
        <v>101.19825708061003</v>
      </c>
      <c r="L162" s="247">
        <v>82.710727969348653</v>
      </c>
      <c r="M162" s="247">
        <v>15.5</v>
      </c>
      <c r="N162" s="249">
        <v>22.456862745098039</v>
      </c>
      <c r="O162" s="250">
        <v>130.81529999999998</v>
      </c>
      <c r="P162" s="249">
        <v>247.83333333333331</v>
      </c>
      <c r="Q162" s="249">
        <v>101.19825708061003</v>
      </c>
      <c r="R162" s="249">
        <v>82.710727969348653</v>
      </c>
      <c r="S162" s="250">
        <v>15.5</v>
      </c>
      <c r="T162" s="247">
        <v>22.456862745098039</v>
      </c>
      <c r="U162" s="247">
        <v>600.51448112839012</v>
      </c>
      <c r="V162" s="255">
        <v>289.38551887160986</v>
      </c>
      <c r="W162" s="247">
        <v>289.38551887160986</v>
      </c>
      <c r="X162" s="256">
        <v>0.32518880646320919</v>
      </c>
    </row>
    <row r="163" spans="1:24" x14ac:dyDescent="0.25">
      <c r="A163" s="254">
        <v>45810</v>
      </c>
      <c r="B163" s="131" t="s">
        <v>108</v>
      </c>
      <c r="C163" s="131" t="s">
        <v>18</v>
      </c>
      <c r="D163" s="131">
        <v>1</v>
      </c>
      <c r="E163" s="130">
        <v>300</v>
      </c>
      <c r="F163" s="131" t="s">
        <v>340</v>
      </c>
      <c r="G163" s="247">
        <v>909.9</v>
      </c>
      <c r="H163" s="247">
        <v>909.9</v>
      </c>
      <c r="I163" s="247">
        <v>133.75529999999998</v>
      </c>
      <c r="J163" s="247">
        <v>252.86666666666667</v>
      </c>
      <c r="K163" s="247">
        <v>101.19825708061003</v>
      </c>
      <c r="L163" s="247">
        <v>82.710727969348653</v>
      </c>
      <c r="M163" s="247">
        <v>15.5</v>
      </c>
      <c r="N163" s="249">
        <v>22.456862745098039</v>
      </c>
      <c r="O163" s="250">
        <v>133.75529999999998</v>
      </c>
      <c r="P163" s="249">
        <v>252.86666666666667</v>
      </c>
      <c r="Q163" s="249">
        <v>101.19825708061003</v>
      </c>
      <c r="R163" s="249">
        <v>82.710727969348653</v>
      </c>
      <c r="S163" s="250">
        <v>15.5</v>
      </c>
      <c r="T163" s="247">
        <v>22.456862745098039</v>
      </c>
      <c r="U163" s="247">
        <v>608.48781446172347</v>
      </c>
      <c r="V163" s="255">
        <v>301.4121855382765</v>
      </c>
      <c r="W163" s="247">
        <v>301.4121855382765</v>
      </c>
      <c r="X163" s="256">
        <v>0.33125858395238655</v>
      </c>
    </row>
    <row r="164" spans="1:24" x14ac:dyDescent="0.25">
      <c r="A164" s="254">
        <v>45810</v>
      </c>
      <c r="B164" s="131" t="s">
        <v>108</v>
      </c>
      <c r="C164" s="131" t="s">
        <v>7</v>
      </c>
      <c r="D164" s="131">
        <v>1</v>
      </c>
      <c r="E164" s="130">
        <v>300</v>
      </c>
      <c r="F164" s="131" t="s">
        <v>340</v>
      </c>
      <c r="G164" s="247">
        <v>924.9</v>
      </c>
      <c r="H164" s="247">
        <v>924.9</v>
      </c>
      <c r="I164" s="247">
        <v>135.96029999999999</v>
      </c>
      <c r="J164" s="247">
        <v>246.33333333333331</v>
      </c>
      <c r="K164" s="247">
        <v>101.19825708061003</v>
      </c>
      <c r="L164" s="247">
        <v>82.710727969348653</v>
      </c>
      <c r="M164" s="247">
        <v>15.5</v>
      </c>
      <c r="N164" s="249">
        <v>22.456862745098039</v>
      </c>
      <c r="O164" s="250">
        <v>135.96029999999999</v>
      </c>
      <c r="P164" s="249">
        <v>246.33333333333331</v>
      </c>
      <c r="Q164" s="249">
        <v>101.19825708061003</v>
      </c>
      <c r="R164" s="249">
        <v>82.710727969348653</v>
      </c>
      <c r="S164" s="250">
        <v>15.5</v>
      </c>
      <c r="T164" s="247">
        <v>22.456862745098039</v>
      </c>
      <c r="U164" s="247">
        <v>604.1594811283901</v>
      </c>
      <c r="V164" s="255">
        <v>320.74051887160988</v>
      </c>
      <c r="W164" s="247">
        <v>320.74051887160988</v>
      </c>
      <c r="X164" s="256">
        <v>0.34678399705007018</v>
      </c>
    </row>
    <row r="165" spans="1:24" ht="18.75" x14ac:dyDescent="0.25">
      <c r="A165" s="258">
        <v>45811</v>
      </c>
      <c r="B165" s="131" t="s">
        <v>29</v>
      </c>
      <c r="C165" s="131" t="s">
        <v>231</v>
      </c>
      <c r="D165" s="131">
        <v>1</v>
      </c>
      <c r="E165" s="131">
        <v>100</v>
      </c>
      <c r="F165" s="131" t="s">
        <v>365</v>
      </c>
      <c r="G165" s="247">
        <v>6</v>
      </c>
      <c r="H165" s="247">
        <v>6</v>
      </c>
      <c r="I165" s="247">
        <v>0</v>
      </c>
      <c r="J165" s="247">
        <v>2</v>
      </c>
      <c r="K165" s="247">
        <v>0</v>
      </c>
      <c r="L165" s="247">
        <v>0</v>
      </c>
      <c r="M165" s="247">
        <v>0</v>
      </c>
      <c r="N165" s="247">
        <v>0</v>
      </c>
      <c r="O165" s="249">
        <v>0</v>
      </c>
      <c r="P165" s="250">
        <v>2</v>
      </c>
      <c r="Q165" s="249" t="s">
        <v>380</v>
      </c>
      <c r="R165" s="249" t="s">
        <v>380</v>
      </c>
      <c r="S165" s="249" t="s">
        <v>380</v>
      </c>
      <c r="T165" s="249" t="s">
        <v>380</v>
      </c>
      <c r="U165" s="251">
        <v>2</v>
      </c>
      <c r="V165" s="252">
        <v>4</v>
      </c>
      <c r="W165" s="252">
        <v>4</v>
      </c>
      <c r="X165" s="136">
        <v>0.66666666666666663</v>
      </c>
    </row>
    <row r="166" spans="1:24" ht="18.75" x14ac:dyDescent="0.25">
      <c r="A166" s="258">
        <v>45811</v>
      </c>
      <c r="B166" s="131" t="s">
        <v>29</v>
      </c>
      <c r="C166" s="131" t="s">
        <v>202</v>
      </c>
      <c r="D166" s="131">
        <v>1</v>
      </c>
      <c r="E166" s="131">
        <v>100</v>
      </c>
      <c r="F166" s="131" t="s">
        <v>365</v>
      </c>
      <c r="G166" s="247">
        <v>6</v>
      </c>
      <c r="H166" s="247">
        <v>6</v>
      </c>
      <c r="I166" s="247">
        <v>0</v>
      </c>
      <c r="J166" s="247">
        <v>2</v>
      </c>
      <c r="K166" s="247">
        <v>0</v>
      </c>
      <c r="L166" s="247">
        <v>0</v>
      </c>
      <c r="M166" s="247">
        <v>0</v>
      </c>
      <c r="N166" s="247">
        <v>0</v>
      </c>
      <c r="O166" s="249">
        <v>0</v>
      </c>
      <c r="P166" s="250">
        <v>2</v>
      </c>
      <c r="Q166" s="249" t="s">
        <v>380</v>
      </c>
      <c r="R166" s="249" t="s">
        <v>380</v>
      </c>
      <c r="S166" s="249" t="s">
        <v>380</v>
      </c>
      <c r="T166" s="249" t="s">
        <v>380</v>
      </c>
      <c r="U166" s="251">
        <v>2</v>
      </c>
      <c r="V166" s="247">
        <v>4</v>
      </c>
      <c r="W166" s="252">
        <v>4</v>
      </c>
      <c r="X166" s="136">
        <v>0.66666666666666663</v>
      </c>
    </row>
    <row r="167" spans="1:24" ht="18.75" x14ac:dyDescent="0.25">
      <c r="A167" s="258">
        <v>45811</v>
      </c>
      <c r="B167" s="131" t="s">
        <v>29</v>
      </c>
      <c r="C167" s="131" t="s">
        <v>206</v>
      </c>
      <c r="D167" s="131">
        <v>2</v>
      </c>
      <c r="E167" s="131">
        <v>100</v>
      </c>
      <c r="F167" s="131" t="s">
        <v>216</v>
      </c>
      <c r="G167" s="247">
        <v>9.9</v>
      </c>
      <c r="H167" s="247">
        <v>19.8</v>
      </c>
      <c r="I167" s="247">
        <v>2.5542000000000002</v>
      </c>
      <c r="J167" s="247">
        <v>4</v>
      </c>
      <c r="K167" s="247">
        <v>0</v>
      </c>
      <c r="L167" s="247">
        <v>0</v>
      </c>
      <c r="M167" s="247">
        <v>0</v>
      </c>
      <c r="N167" s="247">
        <v>0</v>
      </c>
      <c r="O167" s="249">
        <v>1.2771000000000001</v>
      </c>
      <c r="P167" s="250">
        <v>2</v>
      </c>
      <c r="Q167" s="249" t="s">
        <v>380</v>
      </c>
      <c r="R167" s="249" t="s">
        <v>380</v>
      </c>
      <c r="S167" s="249" t="s">
        <v>380</v>
      </c>
      <c r="T167" s="249" t="s">
        <v>380</v>
      </c>
      <c r="U167" s="251">
        <v>6.5541999999999998</v>
      </c>
      <c r="V167" s="247">
        <v>13.245800000000001</v>
      </c>
      <c r="W167" s="252">
        <v>6.6229000000000005</v>
      </c>
      <c r="X167" s="136">
        <v>0.66897979797979801</v>
      </c>
    </row>
    <row r="168" spans="1:24" ht="18.75" x14ac:dyDescent="0.25">
      <c r="A168" s="258">
        <v>45811</v>
      </c>
      <c r="B168" s="131" t="s">
        <v>29</v>
      </c>
      <c r="C168" s="131" t="s">
        <v>231</v>
      </c>
      <c r="D168" s="131">
        <v>2</v>
      </c>
      <c r="E168" s="131">
        <v>100</v>
      </c>
      <c r="F168" s="131" t="s">
        <v>216</v>
      </c>
      <c r="G168" s="247">
        <v>9.9</v>
      </c>
      <c r="H168" s="247">
        <v>19.8</v>
      </c>
      <c r="I168" s="247">
        <v>2.5542000000000002</v>
      </c>
      <c r="J168" s="247">
        <v>4</v>
      </c>
      <c r="K168" s="247">
        <v>0</v>
      </c>
      <c r="L168" s="247">
        <v>0</v>
      </c>
      <c r="M168" s="247">
        <v>0</v>
      </c>
      <c r="N168" s="247">
        <v>0</v>
      </c>
      <c r="O168" s="249">
        <v>1.2771000000000001</v>
      </c>
      <c r="P168" s="250">
        <v>2</v>
      </c>
      <c r="Q168" s="249" t="s">
        <v>380</v>
      </c>
      <c r="R168" s="249" t="s">
        <v>380</v>
      </c>
      <c r="S168" s="249" t="s">
        <v>380</v>
      </c>
      <c r="T168" s="249" t="s">
        <v>380</v>
      </c>
      <c r="U168" s="251">
        <v>6.5541999999999998</v>
      </c>
      <c r="V168" s="247">
        <v>13.245800000000001</v>
      </c>
      <c r="W168" s="252">
        <v>6.6229000000000005</v>
      </c>
      <c r="X168" s="136">
        <v>0.66897979797979801</v>
      </c>
    </row>
    <row r="169" spans="1:24" ht="18.75" x14ac:dyDescent="0.25">
      <c r="A169" s="258">
        <v>45811</v>
      </c>
      <c r="B169" s="131" t="s">
        <v>29</v>
      </c>
      <c r="C169" s="131" t="s">
        <v>202</v>
      </c>
      <c r="D169" s="131">
        <v>1</v>
      </c>
      <c r="E169" s="131">
        <v>100</v>
      </c>
      <c r="F169" s="131" t="s">
        <v>216</v>
      </c>
      <c r="G169" s="247">
        <v>9.9</v>
      </c>
      <c r="H169" s="247">
        <v>9.9</v>
      </c>
      <c r="I169" s="247">
        <v>1.2771000000000001</v>
      </c>
      <c r="J169" s="247">
        <v>2</v>
      </c>
      <c r="K169" s="247">
        <v>0</v>
      </c>
      <c r="L169" s="247">
        <v>0</v>
      </c>
      <c r="M169" s="247">
        <v>0</v>
      </c>
      <c r="N169" s="247">
        <v>0</v>
      </c>
      <c r="O169" s="249">
        <v>1.2771000000000001</v>
      </c>
      <c r="P169" s="250">
        <v>2</v>
      </c>
      <c r="Q169" s="249" t="s">
        <v>380</v>
      </c>
      <c r="R169" s="249" t="s">
        <v>380</v>
      </c>
      <c r="S169" s="249" t="s">
        <v>380</v>
      </c>
      <c r="T169" s="249" t="s">
        <v>380</v>
      </c>
      <c r="U169" s="251">
        <v>3.2770999999999999</v>
      </c>
      <c r="V169" s="247">
        <v>6.6229000000000005</v>
      </c>
      <c r="W169" s="252">
        <v>6.6229000000000005</v>
      </c>
      <c r="X169" s="136">
        <v>0.66897979797979801</v>
      </c>
    </row>
    <row r="170" spans="1:24" ht="18.75" x14ac:dyDescent="0.25">
      <c r="A170" s="258">
        <v>45811</v>
      </c>
      <c r="B170" s="131" t="s">
        <v>29</v>
      </c>
      <c r="C170" s="131" t="s">
        <v>202</v>
      </c>
      <c r="D170" s="131">
        <v>2</v>
      </c>
      <c r="E170" s="131">
        <v>100</v>
      </c>
      <c r="F170" s="131" t="s">
        <v>216</v>
      </c>
      <c r="G170" s="247">
        <v>9.9</v>
      </c>
      <c r="H170" s="247">
        <v>19.8</v>
      </c>
      <c r="I170" s="247">
        <v>2.5542000000000002</v>
      </c>
      <c r="J170" s="247">
        <v>4</v>
      </c>
      <c r="K170" s="247">
        <v>0</v>
      </c>
      <c r="L170" s="247">
        <v>0</v>
      </c>
      <c r="M170" s="247">
        <v>0</v>
      </c>
      <c r="N170" s="247">
        <v>0</v>
      </c>
      <c r="O170" s="249">
        <v>1.2771000000000001</v>
      </c>
      <c r="P170" s="250">
        <v>2</v>
      </c>
      <c r="Q170" s="249" t="s">
        <v>380</v>
      </c>
      <c r="R170" s="249" t="s">
        <v>380</v>
      </c>
      <c r="S170" s="249" t="s">
        <v>380</v>
      </c>
      <c r="T170" s="249" t="s">
        <v>380</v>
      </c>
      <c r="U170" s="251">
        <v>6.5541999999999998</v>
      </c>
      <c r="V170" s="247">
        <v>13.245800000000001</v>
      </c>
      <c r="W170" s="252">
        <v>6.6229000000000005</v>
      </c>
      <c r="X170" s="136">
        <v>0.66897979797979801</v>
      </c>
    </row>
    <row r="171" spans="1:24" ht="18.75" x14ac:dyDescent="0.25">
      <c r="A171" s="258">
        <v>45811</v>
      </c>
      <c r="B171" s="131" t="s">
        <v>29</v>
      </c>
      <c r="C171" s="131" t="s">
        <v>231</v>
      </c>
      <c r="D171" s="131">
        <v>4</v>
      </c>
      <c r="E171" s="131">
        <v>100</v>
      </c>
      <c r="F171" s="131" t="s">
        <v>340</v>
      </c>
      <c r="G171" s="247">
        <v>12.9</v>
      </c>
      <c r="H171" s="247">
        <v>51.6</v>
      </c>
      <c r="I171" s="247">
        <v>7.5851999999999995</v>
      </c>
      <c r="J171" s="247">
        <v>8</v>
      </c>
      <c r="K171" s="247">
        <v>0</v>
      </c>
      <c r="L171" s="247">
        <v>0</v>
      </c>
      <c r="M171" s="247">
        <v>0</v>
      </c>
      <c r="N171" s="247">
        <v>0</v>
      </c>
      <c r="O171" s="249">
        <v>1.8962999999999999</v>
      </c>
      <c r="P171" s="250">
        <v>2</v>
      </c>
      <c r="Q171" s="249" t="s">
        <v>380</v>
      </c>
      <c r="R171" s="249" t="s">
        <v>380</v>
      </c>
      <c r="S171" s="249" t="s">
        <v>380</v>
      </c>
      <c r="T171" s="249" t="s">
        <v>380</v>
      </c>
      <c r="U171" s="251">
        <v>15.5852</v>
      </c>
      <c r="V171" s="247">
        <v>36.014800000000001</v>
      </c>
      <c r="W171" s="252">
        <v>9.0037000000000003</v>
      </c>
      <c r="X171" s="136">
        <v>0.69796124031007756</v>
      </c>
    </row>
    <row r="172" spans="1:24" ht="18.75" x14ac:dyDescent="0.25">
      <c r="A172" s="258">
        <v>45811</v>
      </c>
      <c r="B172" s="131" t="s">
        <v>29</v>
      </c>
      <c r="C172" s="131" t="s">
        <v>206</v>
      </c>
      <c r="D172" s="131">
        <v>1</v>
      </c>
      <c r="E172" s="131">
        <v>100</v>
      </c>
      <c r="F172" s="131" t="s">
        <v>340</v>
      </c>
      <c r="G172" s="247">
        <v>12.9</v>
      </c>
      <c r="H172" s="247">
        <v>12.9</v>
      </c>
      <c r="I172" s="247">
        <v>1.8962999999999999</v>
      </c>
      <c r="J172" s="247">
        <v>2</v>
      </c>
      <c r="K172" s="247">
        <v>0</v>
      </c>
      <c r="L172" s="247">
        <v>0</v>
      </c>
      <c r="M172" s="247">
        <v>0</v>
      </c>
      <c r="N172" s="247">
        <v>0</v>
      </c>
      <c r="O172" s="249">
        <v>1.8962999999999999</v>
      </c>
      <c r="P172" s="250">
        <v>2</v>
      </c>
      <c r="Q172" s="249" t="s">
        <v>380</v>
      </c>
      <c r="R172" s="249" t="s">
        <v>380</v>
      </c>
      <c r="S172" s="249" t="s">
        <v>380</v>
      </c>
      <c r="T172" s="249" t="s">
        <v>380</v>
      </c>
      <c r="U172" s="251">
        <v>3.8963000000000001</v>
      </c>
      <c r="V172" s="247">
        <v>9.0037000000000003</v>
      </c>
      <c r="W172" s="252">
        <v>9.0037000000000003</v>
      </c>
      <c r="X172" s="136">
        <v>0.69796124031007756</v>
      </c>
    </row>
    <row r="173" spans="1:24" ht="18.75" x14ac:dyDescent="0.25">
      <c r="A173" s="258">
        <v>45811</v>
      </c>
      <c r="B173" s="131" t="s">
        <v>29</v>
      </c>
      <c r="C173" s="131" t="s">
        <v>202</v>
      </c>
      <c r="D173" s="131">
        <v>2</v>
      </c>
      <c r="E173" s="131">
        <v>100</v>
      </c>
      <c r="F173" s="131" t="s">
        <v>340</v>
      </c>
      <c r="G173" s="247">
        <v>12.9</v>
      </c>
      <c r="H173" s="247">
        <v>25.8</v>
      </c>
      <c r="I173" s="247">
        <v>3.7925999999999997</v>
      </c>
      <c r="J173" s="247">
        <v>4</v>
      </c>
      <c r="K173" s="247">
        <v>0</v>
      </c>
      <c r="L173" s="247">
        <v>0</v>
      </c>
      <c r="M173" s="247">
        <v>0</v>
      </c>
      <c r="N173" s="247">
        <v>0</v>
      </c>
      <c r="O173" s="249">
        <v>1.8962999999999999</v>
      </c>
      <c r="P173" s="250">
        <v>2</v>
      </c>
      <c r="Q173" s="249" t="s">
        <v>380</v>
      </c>
      <c r="R173" s="249" t="s">
        <v>380</v>
      </c>
      <c r="S173" s="249" t="s">
        <v>380</v>
      </c>
      <c r="T173" s="249" t="s">
        <v>380</v>
      </c>
      <c r="U173" s="251">
        <v>7.7926000000000002</v>
      </c>
      <c r="V173" s="247">
        <v>18.007400000000001</v>
      </c>
      <c r="W173" s="252">
        <v>9.0037000000000003</v>
      </c>
      <c r="X173" s="136">
        <v>0.69796124031007756</v>
      </c>
    </row>
    <row r="174" spans="1:24" ht="18.75" x14ac:dyDescent="0.25">
      <c r="A174" s="258">
        <v>45811</v>
      </c>
      <c r="B174" s="131" t="s">
        <v>29</v>
      </c>
      <c r="C174" s="131" t="s">
        <v>287</v>
      </c>
      <c r="D174" s="131">
        <v>3</v>
      </c>
      <c r="E174" s="131">
        <v>100</v>
      </c>
      <c r="F174" s="131" t="s">
        <v>216</v>
      </c>
      <c r="G174" s="247">
        <v>19.899999999999999</v>
      </c>
      <c r="H174" s="247">
        <v>59.7</v>
      </c>
      <c r="I174" s="247">
        <v>7.7013000000000016</v>
      </c>
      <c r="J174" s="247">
        <v>15</v>
      </c>
      <c r="K174" s="247">
        <v>0</v>
      </c>
      <c r="L174" s="247">
        <v>0</v>
      </c>
      <c r="M174" s="247">
        <v>0</v>
      </c>
      <c r="N174" s="247">
        <v>0</v>
      </c>
      <c r="O174" s="249">
        <v>2.5671000000000004</v>
      </c>
      <c r="P174" s="250">
        <v>5</v>
      </c>
      <c r="Q174" s="249" t="s">
        <v>380</v>
      </c>
      <c r="R174" s="249" t="s">
        <v>380</v>
      </c>
      <c r="S174" s="249" t="s">
        <v>380</v>
      </c>
      <c r="T174" s="249" t="s">
        <v>380</v>
      </c>
      <c r="U174" s="251">
        <v>22.7013</v>
      </c>
      <c r="V174" s="247">
        <v>36.998699999999999</v>
      </c>
      <c r="W174" s="252">
        <v>12.3329</v>
      </c>
      <c r="X174" s="136">
        <v>0.61974371859296484</v>
      </c>
    </row>
    <row r="175" spans="1:24" ht="18.75" x14ac:dyDescent="0.25">
      <c r="A175" s="258">
        <v>45811</v>
      </c>
      <c r="B175" s="131" t="s">
        <v>29</v>
      </c>
      <c r="C175" s="131" t="s">
        <v>207</v>
      </c>
      <c r="D175" s="131">
        <v>4</v>
      </c>
      <c r="E175" s="131">
        <v>100</v>
      </c>
      <c r="F175" s="131" t="s">
        <v>340</v>
      </c>
      <c r="G175" s="247">
        <v>22</v>
      </c>
      <c r="H175" s="247">
        <v>88</v>
      </c>
      <c r="I175" s="247">
        <v>12.936</v>
      </c>
      <c r="J175" s="247">
        <v>8</v>
      </c>
      <c r="K175" s="247">
        <v>0</v>
      </c>
      <c r="L175" s="247">
        <v>0</v>
      </c>
      <c r="M175" s="247">
        <v>0</v>
      </c>
      <c r="N175" s="247">
        <v>0</v>
      </c>
      <c r="O175" s="249">
        <v>3.234</v>
      </c>
      <c r="P175" s="250">
        <v>2</v>
      </c>
      <c r="Q175" s="249" t="s">
        <v>380</v>
      </c>
      <c r="R175" s="249" t="s">
        <v>380</v>
      </c>
      <c r="S175" s="249" t="s">
        <v>380</v>
      </c>
      <c r="T175" s="249" t="s">
        <v>380</v>
      </c>
      <c r="U175" s="251">
        <v>20.936</v>
      </c>
      <c r="V175" s="247">
        <v>67.063999999999993</v>
      </c>
      <c r="W175" s="252">
        <v>16.765999999999998</v>
      </c>
      <c r="X175" s="136">
        <v>0.76209090909090904</v>
      </c>
    </row>
    <row r="176" spans="1:24" ht="18.75" x14ac:dyDescent="0.25">
      <c r="A176" s="258">
        <v>45811</v>
      </c>
      <c r="B176" s="131" t="s">
        <v>29</v>
      </c>
      <c r="C176" s="131" t="s">
        <v>231</v>
      </c>
      <c r="D176" s="131">
        <v>2</v>
      </c>
      <c r="E176" s="131">
        <v>100</v>
      </c>
      <c r="F176" s="131" t="s">
        <v>340</v>
      </c>
      <c r="G176" s="247">
        <v>22</v>
      </c>
      <c r="H176" s="247">
        <v>44</v>
      </c>
      <c r="I176" s="247">
        <v>6.468</v>
      </c>
      <c r="J176" s="247">
        <v>4</v>
      </c>
      <c r="K176" s="247">
        <v>0</v>
      </c>
      <c r="L176" s="247">
        <v>0</v>
      </c>
      <c r="M176" s="247">
        <v>0</v>
      </c>
      <c r="N176" s="247">
        <v>0</v>
      </c>
      <c r="O176" s="249">
        <v>3.234</v>
      </c>
      <c r="P176" s="250">
        <v>2</v>
      </c>
      <c r="Q176" s="249" t="s">
        <v>380</v>
      </c>
      <c r="R176" s="249" t="s">
        <v>380</v>
      </c>
      <c r="S176" s="249" t="s">
        <v>380</v>
      </c>
      <c r="T176" s="249" t="s">
        <v>380</v>
      </c>
      <c r="U176" s="251">
        <v>10.468</v>
      </c>
      <c r="V176" s="247">
        <v>33.531999999999996</v>
      </c>
      <c r="W176" s="252">
        <v>16.765999999999998</v>
      </c>
      <c r="X176" s="136">
        <v>0.76209090909090904</v>
      </c>
    </row>
    <row r="177" spans="1:24" ht="18.75" x14ac:dyDescent="0.25">
      <c r="A177" s="258">
        <v>45811</v>
      </c>
      <c r="B177" s="131" t="s">
        <v>29</v>
      </c>
      <c r="C177" s="131" t="s">
        <v>206</v>
      </c>
      <c r="D177" s="131">
        <v>1</v>
      </c>
      <c r="E177" s="131">
        <v>100</v>
      </c>
      <c r="F177" s="131" t="s">
        <v>340</v>
      </c>
      <c r="G177" s="247">
        <v>22</v>
      </c>
      <c r="H177" s="247">
        <v>22</v>
      </c>
      <c r="I177" s="247">
        <v>3.234</v>
      </c>
      <c r="J177" s="247">
        <v>2</v>
      </c>
      <c r="K177" s="247">
        <v>0</v>
      </c>
      <c r="L177" s="247">
        <v>0</v>
      </c>
      <c r="M177" s="247">
        <v>0</v>
      </c>
      <c r="N177" s="247">
        <v>0</v>
      </c>
      <c r="O177" s="249">
        <v>3.234</v>
      </c>
      <c r="P177" s="250">
        <v>2</v>
      </c>
      <c r="Q177" s="249" t="s">
        <v>380</v>
      </c>
      <c r="R177" s="249" t="s">
        <v>380</v>
      </c>
      <c r="S177" s="249" t="s">
        <v>380</v>
      </c>
      <c r="T177" s="249" t="s">
        <v>380</v>
      </c>
      <c r="U177" s="251">
        <v>5.234</v>
      </c>
      <c r="V177" s="247">
        <v>16.765999999999998</v>
      </c>
      <c r="W177" s="252">
        <v>16.765999999999998</v>
      </c>
      <c r="X177" s="136">
        <v>0.76209090909090904</v>
      </c>
    </row>
    <row r="178" spans="1:24" ht="18.75" x14ac:dyDescent="0.25">
      <c r="A178" s="258">
        <v>45811</v>
      </c>
      <c r="B178" s="131" t="s">
        <v>29</v>
      </c>
      <c r="C178" s="131" t="s">
        <v>202</v>
      </c>
      <c r="D178" s="131">
        <v>1</v>
      </c>
      <c r="E178" s="131">
        <v>100</v>
      </c>
      <c r="F178" s="131" t="s">
        <v>340</v>
      </c>
      <c r="G178" s="247">
        <v>22</v>
      </c>
      <c r="H178" s="247">
        <v>22</v>
      </c>
      <c r="I178" s="247">
        <v>3.234</v>
      </c>
      <c r="J178" s="247">
        <v>2</v>
      </c>
      <c r="K178" s="247">
        <v>0</v>
      </c>
      <c r="L178" s="247">
        <v>0</v>
      </c>
      <c r="M178" s="247">
        <v>0</v>
      </c>
      <c r="N178" s="247">
        <v>0</v>
      </c>
      <c r="O178" s="249">
        <v>3.234</v>
      </c>
      <c r="P178" s="250">
        <v>2</v>
      </c>
      <c r="Q178" s="249" t="s">
        <v>380</v>
      </c>
      <c r="R178" s="249" t="s">
        <v>380</v>
      </c>
      <c r="S178" s="249" t="s">
        <v>380</v>
      </c>
      <c r="T178" s="249" t="s">
        <v>380</v>
      </c>
      <c r="U178" s="251">
        <v>5.234</v>
      </c>
      <c r="V178" s="247">
        <v>16.765999999999998</v>
      </c>
      <c r="W178" s="252">
        <v>16.765999999999998</v>
      </c>
      <c r="X178" s="136">
        <v>0.76209090909090904</v>
      </c>
    </row>
    <row r="179" spans="1:24" ht="18.75" x14ac:dyDescent="0.25">
      <c r="A179" s="258">
        <v>45811</v>
      </c>
      <c r="B179" s="131" t="s">
        <v>29</v>
      </c>
      <c r="C179" s="131" t="s">
        <v>287</v>
      </c>
      <c r="D179" s="131">
        <v>2</v>
      </c>
      <c r="E179" s="131">
        <v>100</v>
      </c>
      <c r="F179" s="131" t="s">
        <v>340</v>
      </c>
      <c r="G179" s="247">
        <v>33</v>
      </c>
      <c r="H179" s="247">
        <v>66</v>
      </c>
      <c r="I179" s="247">
        <v>9.702</v>
      </c>
      <c r="J179" s="247">
        <v>10</v>
      </c>
      <c r="K179" s="247">
        <v>0</v>
      </c>
      <c r="L179" s="247">
        <v>0</v>
      </c>
      <c r="M179" s="247">
        <v>0</v>
      </c>
      <c r="N179" s="247">
        <v>0</v>
      </c>
      <c r="O179" s="249">
        <v>4.851</v>
      </c>
      <c r="P179" s="250">
        <v>5</v>
      </c>
      <c r="Q179" s="249" t="s">
        <v>380</v>
      </c>
      <c r="R179" s="249" t="s">
        <v>380</v>
      </c>
      <c r="S179" s="249" t="s">
        <v>380</v>
      </c>
      <c r="T179" s="249" t="s">
        <v>380</v>
      </c>
      <c r="U179" s="251">
        <v>19.701999999999998</v>
      </c>
      <c r="V179" s="247">
        <v>46.298000000000002</v>
      </c>
      <c r="W179" s="252">
        <v>23.149000000000001</v>
      </c>
      <c r="X179" s="136">
        <v>0.70148484848484849</v>
      </c>
    </row>
    <row r="180" spans="1:24" ht="18.75" x14ac:dyDescent="0.25">
      <c r="A180" s="258">
        <v>45811</v>
      </c>
      <c r="B180" s="131" t="s">
        <v>384</v>
      </c>
      <c r="C180" s="131" t="s">
        <v>385</v>
      </c>
      <c r="D180" s="131">
        <v>1</v>
      </c>
      <c r="E180" s="131">
        <v>100</v>
      </c>
      <c r="F180" s="131" t="s">
        <v>314</v>
      </c>
      <c r="G180" s="247">
        <v>34.9</v>
      </c>
      <c r="H180" s="247">
        <v>34.9</v>
      </c>
      <c r="I180" s="247">
        <v>0</v>
      </c>
      <c r="J180" s="247">
        <v>3</v>
      </c>
      <c r="K180" s="247">
        <v>0</v>
      </c>
      <c r="L180" s="247">
        <v>0</v>
      </c>
      <c r="M180" s="247">
        <v>0</v>
      </c>
      <c r="N180" s="247">
        <v>0</v>
      </c>
      <c r="O180" s="249">
        <v>0</v>
      </c>
      <c r="P180" s="250">
        <v>3</v>
      </c>
      <c r="Q180" s="249" t="s">
        <v>380</v>
      </c>
      <c r="R180" s="249" t="s">
        <v>380</v>
      </c>
      <c r="S180" s="249" t="s">
        <v>380</v>
      </c>
      <c r="T180" s="249" t="s">
        <v>380</v>
      </c>
      <c r="U180" s="251">
        <v>3</v>
      </c>
      <c r="V180" s="247">
        <v>31.9</v>
      </c>
      <c r="W180" s="252">
        <v>31.9</v>
      </c>
      <c r="X180" s="136">
        <v>0.91404011461318047</v>
      </c>
    </row>
    <row r="181" spans="1:24" ht="18.75" x14ac:dyDescent="0.25">
      <c r="A181" s="258">
        <v>45811</v>
      </c>
      <c r="B181" s="131" t="s">
        <v>384</v>
      </c>
      <c r="C181" s="131" t="s">
        <v>386</v>
      </c>
      <c r="D181" s="131">
        <v>1</v>
      </c>
      <c r="E181" s="131">
        <v>100</v>
      </c>
      <c r="F181" s="131" t="s">
        <v>100</v>
      </c>
      <c r="G181" s="247">
        <v>59.91</v>
      </c>
      <c r="H181" s="247">
        <v>59.91</v>
      </c>
      <c r="I181" s="247">
        <v>5.3918999999999997</v>
      </c>
      <c r="J181" s="247">
        <v>21</v>
      </c>
      <c r="K181" s="247">
        <v>0</v>
      </c>
      <c r="L181" s="247">
        <v>0</v>
      </c>
      <c r="M181" s="247">
        <v>0</v>
      </c>
      <c r="N181" s="247">
        <v>0</v>
      </c>
      <c r="O181" s="249">
        <v>5.3918999999999997</v>
      </c>
      <c r="P181" s="250">
        <v>21</v>
      </c>
      <c r="Q181" s="249" t="s">
        <v>380</v>
      </c>
      <c r="R181" s="249" t="s">
        <v>380</v>
      </c>
      <c r="S181" s="249" t="s">
        <v>380</v>
      </c>
      <c r="T181" s="249" t="s">
        <v>380</v>
      </c>
      <c r="U181" s="251">
        <v>26.3919</v>
      </c>
      <c r="V181" s="247">
        <v>33.518099999999997</v>
      </c>
      <c r="W181" s="252">
        <v>33.518099999999997</v>
      </c>
      <c r="X181" s="136">
        <v>0.55947421131697539</v>
      </c>
    </row>
    <row r="182" spans="1:24" ht="18.75" x14ac:dyDescent="0.25">
      <c r="A182" s="258">
        <v>45811</v>
      </c>
      <c r="B182" s="131" t="s">
        <v>384</v>
      </c>
      <c r="C182" s="131" t="s">
        <v>233</v>
      </c>
      <c r="D182" s="131">
        <v>1</v>
      </c>
      <c r="E182" s="131">
        <v>100</v>
      </c>
      <c r="F182" s="131" t="s">
        <v>314</v>
      </c>
      <c r="G182" s="247">
        <v>79.900000000000006</v>
      </c>
      <c r="H182" s="247">
        <v>79.900000000000006</v>
      </c>
      <c r="I182" s="247">
        <v>0</v>
      </c>
      <c r="J182" s="247">
        <v>21</v>
      </c>
      <c r="K182" s="247">
        <v>0</v>
      </c>
      <c r="L182" s="247">
        <v>0</v>
      </c>
      <c r="M182" s="247">
        <v>0</v>
      </c>
      <c r="N182" s="247">
        <v>0</v>
      </c>
      <c r="O182" s="249">
        <v>0</v>
      </c>
      <c r="P182" s="250">
        <v>21</v>
      </c>
      <c r="Q182" s="249" t="s">
        <v>380</v>
      </c>
      <c r="R182" s="249" t="s">
        <v>380</v>
      </c>
      <c r="S182" s="249" t="s">
        <v>380</v>
      </c>
      <c r="T182" s="249" t="s">
        <v>380</v>
      </c>
      <c r="U182" s="251">
        <v>21</v>
      </c>
      <c r="V182" s="247">
        <v>58.900000000000006</v>
      </c>
      <c r="W182" s="252">
        <v>58.900000000000006</v>
      </c>
      <c r="X182" s="136">
        <v>0.73717146433041303</v>
      </c>
    </row>
    <row r="183" spans="1:24" ht="18.75" x14ac:dyDescent="0.25">
      <c r="A183" s="258">
        <v>45811</v>
      </c>
      <c r="B183" s="131" t="s">
        <v>384</v>
      </c>
      <c r="C183" s="131" t="s">
        <v>233</v>
      </c>
      <c r="D183" s="131">
        <v>1</v>
      </c>
      <c r="E183" s="131">
        <v>100</v>
      </c>
      <c r="F183" s="131" t="s">
        <v>314</v>
      </c>
      <c r="G183" s="247">
        <v>79.900000000000006</v>
      </c>
      <c r="H183" s="247">
        <v>79.900000000000006</v>
      </c>
      <c r="I183" s="247">
        <v>0</v>
      </c>
      <c r="J183" s="247">
        <v>21</v>
      </c>
      <c r="K183" s="247">
        <v>0</v>
      </c>
      <c r="L183" s="247">
        <v>0</v>
      </c>
      <c r="M183" s="247">
        <v>0</v>
      </c>
      <c r="N183" s="247">
        <v>0</v>
      </c>
      <c r="O183" s="249">
        <v>0</v>
      </c>
      <c r="P183" s="250">
        <v>21</v>
      </c>
      <c r="Q183" s="249" t="s">
        <v>380</v>
      </c>
      <c r="R183" s="249" t="s">
        <v>380</v>
      </c>
      <c r="S183" s="249" t="s">
        <v>380</v>
      </c>
      <c r="T183" s="249" t="s">
        <v>380</v>
      </c>
      <c r="U183" s="251">
        <v>21</v>
      </c>
      <c r="V183" s="247">
        <v>58.900000000000006</v>
      </c>
      <c r="W183" s="252">
        <v>58.900000000000006</v>
      </c>
      <c r="X183" s="136">
        <v>0.73717146433041303</v>
      </c>
    </row>
    <row r="184" spans="1:24" ht="18.75" x14ac:dyDescent="0.25">
      <c r="A184" s="258">
        <v>45811</v>
      </c>
      <c r="B184" s="131" t="s">
        <v>301</v>
      </c>
      <c r="C184" s="131" t="s">
        <v>8</v>
      </c>
      <c r="D184" s="131">
        <v>1</v>
      </c>
      <c r="E184" s="131">
        <v>100</v>
      </c>
      <c r="F184" s="131" t="s">
        <v>314</v>
      </c>
      <c r="G184" s="247">
        <v>89.9</v>
      </c>
      <c r="H184" s="247">
        <v>89.9</v>
      </c>
      <c r="I184" s="247">
        <v>0</v>
      </c>
      <c r="J184" s="247">
        <v>20</v>
      </c>
      <c r="K184" s="247">
        <v>0</v>
      </c>
      <c r="L184" s="247">
        <v>0</v>
      </c>
      <c r="M184" s="247">
        <v>0</v>
      </c>
      <c r="N184" s="247">
        <v>0</v>
      </c>
      <c r="O184" s="249">
        <v>0</v>
      </c>
      <c r="P184" s="250">
        <v>20</v>
      </c>
      <c r="Q184" s="249" t="s">
        <v>380</v>
      </c>
      <c r="R184" s="249" t="s">
        <v>380</v>
      </c>
      <c r="S184" s="249" t="s">
        <v>380</v>
      </c>
      <c r="T184" s="249" t="s">
        <v>380</v>
      </c>
      <c r="U184" s="251">
        <v>20</v>
      </c>
      <c r="V184" s="247">
        <v>69.900000000000006</v>
      </c>
      <c r="W184" s="252">
        <v>69.900000000000006</v>
      </c>
      <c r="X184" s="136">
        <v>0.77753058954393772</v>
      </c>
    </row>
    <row r="185" spans="1:24" ht="18.75" x14ac:dyDescent="0.25">
      <c r="A185" s="258">
        <v>45811</v>
      </c>
      <c r="B185" s="131" t="s">
        <v>301</v>
      </c>
      <c r="C185" s="131" t="s">
        <v>8</v>
      </c>
      <c r="D185" s="131">
        <v>1</v>
      </c>
      <c r="E185" s="131">
        <v>100</v>
      </c>
      <c r="F185" s="131" t="s">
        <v>365</v>
      </c>
      <c r="G185" s="247">
        <v>89.9</v>
      </c>
      <c r="H185" s="247">
        <v>89.9</v>
      </c>
      <c r="I185" s="247">
        <v>0</v>
      </c>
      <c r="J185" s="247">
        <v>20</v>
      </c>
      <c r="K185" s="247">
        <v>0</v>
      </c>
      <c r="L185" s="247">
        <v>0</v>
      </c>
      <c r="M185" s="247">
        <v>0</v>
      </c>
      <c r="N185" s="247">
        <v>0</v>
      </c>
      <c r="O185" s="249">
        <v>0</v>
      </c>
      <c r="P185" s="250">
        <v>20</v>
      </c>
      <c r="Q185" s="249" t="s">
        <v>380</v>
      </c>
      <c r="R185" s="249" t="s">
        <v>380</v>
      </c>
      <c r="S185" s="249" t="s">
        <v>380</v>
      </c>
      <c r="T185" s="249" t="s">
        <v>380</v>
      </c>
      <c r="U185" s="251">
        <v>20</v>
      </c>
      <c r="V185" s="247">
        <v>69.900000000000006</v>
      </c>
      <c r="W185" s="252">
        <v>69.900000000000006</v>
      </c>
      <c r="X185" s="136">
        <v>0.77753058954393772</v>
      </c>
    </row>
    <row r="186" spans="1:24" ht="18.75" x14ac:dyDescent="0.25">
      <c r="A186" s="258">
        <v>45811</v>
      </c>
      <c r="B186" s="131" t="s">
        <v>301</v>
      </c>
      <c r="C186" s="131" t="s">
        <v>12</v>
      </c>
      <c r="D186" s="131">
        <v>2</v>
      </c>
      <c r="E186" s="131">
        <v>100</v>
      </c>
      <c r="F186" s="131" t="s">
        <v>314</v>
      </c>
      <c r="G186" s="247">
        <v>89.9</v>
      </c>
      <c r="H186" s="247">
        <v>179.8</v>
      </c>
      <c r="I186" s="247">
        <v>0</v>
      </c>
      <c r="J186" s="247">
        <v>24</v>
      </c>
      <c r="K186" s="247">
        <v>0</v>
      </c>
      <c r="L186" s="247">
        <v>0</v>
      </c>
      <c r="M186" s="247">
        <v>0</v>
      </c>
      <c r="N186" s="247">
        <v>0</v>
      </c>
      <c r="O186" s="249">
        <v>0</v>
      </c>
      <c r="P186" s="250">
        <v>12</v>
      </c>
      <c r="Q186" s="249" t="s">
        <v>380</v>
      </c>
      <c r="R186" s="249" t="s">
        <v>380</v>
      </c>
      <c r="S186" s="249" t="s">
        <v>380</v>
      </c>
      <c r="T186" s="249" t="s">
        <v>380</v>
      </c>
      <c r="U186" s="251">
        <v>24</v>
      </c>
      <c r="V186" s="247">
        <v>155.80000000000001</v>
      </c>
      <c r="W186" s="252">
        <v>77.900000000000006</v>
      </c>
      <c r="X186" s="136">
        <v>0.86651835372636266</v>
      </c>
    </row>
    <row r="187" spans="1:24" ht="18.75" x14ac:dyDescent="0.25">
      <c r="A187" s="258">
        <v>45811</v>
      </c>
      <c r="B187" s="131" t="s">
        <v>301</v>
      </c>
      <c r="C187" s="131" t="s">
        <v>12</v>
      </c>
      <c r="D187" s="131">
        <v>1</v>
      </c>
      <c r="E187" s="131">
        <v>100</v>
      </c>
      <c r="F187" s="131" t="s">
        <v>340</v>
      </c>
      <c r="G187" s="247">
        <v>99.9</v>
      </c>
      <c r="H187" s="247">
        <v>99.9</v>
      </c>
      <c r="I187" s="247">
        <v>14.6853</v>
      </c>
      <c r="J187" s="247">
        <v>12</v>
      </c>
      <c r="K187" s="247">
        <v>0</v>
      </c>
      <c r="L187" s="247">
        <v>0</v>
      </c>
      <c r="M187" s="247">
        <v>0</v>
      </c>
      <c r="N187" s="247">
        <v>0</v>
      </c>
      <c r="O187" s="249">
        <v>14.6853</v>
      </c>
      <c r="P187" s="250">
        <v>12</v>
      </c>
      <c r="Q187" s="249" t="s">
        <v>380</v>
      </c>
      <c r="R187" s="249" t="s">
        <v>380</v>
      </c>
      <c r="S187" s="249" t="s">
        <v>380</v>
      </c>
      <c r="T187" s="249" t="s">
        <v>380</v>
      </c>
      <c r="U187" s="251">
        <v>26.685299999999998</v>
      </c>
      <c r="V187" s="247">
        <v>73.214700000000008</v>
      </c>
      <c r="W187" s="252">
        <v>73.214700000000008</v>
      </c>
      <c r="X187" s="136">
        <v>0.7328798798798799</v>
      </c>
    </row>
    <row r="188" spans="1:24" ht="18.75" x14ac:dyDescent="0.25">
      <c r="A188" s="258">
        <v>45811</v>
      </c>
      <c r="B188" s="131" t="s">
        <v>22</v>
      </c>
      <c r="C188" s="131" t="s">
        <v>386</v>
      </c>
      <c r="D188" s="131">
        <v>2</v>
      </c>
      <c r="E188" s="131">
        <v>100</v>
      </c>
      <c r="F188" s="131" t="s">
        <v>340</v>
      </c>
      <c r="G188" s="247">
        <v>99.9</v>
      </c>
      <c r="H188" s="247">
        <v>199.8</v>
      </c>
      <c r="I188" s="247">
        <v>29.3706</v>
      </c>
      <c r="J188" s="247">
        <v>42</v>
      </c>
      <c r="K188" s="247">
        <v>0</v>
      </c>
      <c r="L188" s="247">
        <v>0</v>
      </c>
      <c r="M188" s="247">
        <v>0</v>
      </c>
      <c r="N188" s="247">
        <v>0</v>
      </c>
      <c r="O188" s="249">
        <v>14.6853</v>
      </c>
      <c r="P188" s="250">
        <v>21</v>
      </c>
      <c r="Q188" s="249" t="s">
        <v>380</v>
      </c>
      <c r="R188" s="249" t="s">
        <v>380</v>
      </c>
      <c r="S188" s="249" t="s">
        <v>380</v>
      </c>
      <c r="T188" s="249" t="s">
        <v>380</v>
      </c>
      <c r="U188" s="251">
        <v>71.370599999999996</v>
      </c>
      <c r="V188" s="247">
        <v>128.42940000000002</v>
      </c>
      <c r="W188" s="252">
        <v>64.214700000000008</v>
      </c>
      <c r="X188" s="136">
        <v>0.64278978978978984</v>
      </c>
    </row>
    <row r="189" spans="1:24" ht="18.75" x14ac:dyDescent="0.25">
      <c r="A189" s="258">
        <v>45811</v>
      </c>
      <c r="B189" s="131" t="s">
        <v>22</v>
      </c>
      <c r="C189" s="131" t="s">
        <v>233</v>
      </c>
      <c r="D189" s="131">
        <v>1</v>
      </c>
      <c r="E189" s="131">
        <v>100</v>
      </c>
      <c r="F189" s="131" t="s">
        <v>340</v>
      </c>
      <c r="G189" s="247">
        <v>99.9</v>
      </c>
      <c r="H189" s="247">
        <v>99.9</v>
      </c>
      <c r="I189" s="247">
        <v>14.6853</v>
      </c>
      <c r="J189" s="247">
        <v>21</v>
      </c>
      <c r="K189" s="247">
        <v>0</v>
      </c>
      <c r="L189" s="247">
        <v>0</v>
      </c>
      <c r="M189" s="247">
        <v>0</v>
      </c>
      <c r="N189" s="247">
        <v>0</v>
      </c>
      <c r="O189" s="249">
        <v>14.6853</v>
      </c>
      <c r="P189" s="250">
        <v>21</v>
      </c>
      <c r="Q189" s="249" t="s">
        <v>380</v>
      </c>
      <c r="R189" s="249" t="s">
        <v>380</v>
      </c>
      <c r="S189" s="249" t="s">
        <v>380</v>
      </c>
      <c r="T189" s="249" t="s">
        <v>380</v>
      </c>
      <c r="U189" s="251">
        <v>35.685299999999998</v>
      </c>
      <c r="V189" s="247">
        <v>64.214700000000008</v>
      </c>
      <c r="W189" s="252">
        <v>64.214700000000008</v>
      </c>
      <c r="X189" s="136">
        <v>0.64278978978978984</v>
      </c>
    </row>
    <row r="190" spans="1:24" ht="18.75" x14ac:dyDescent="0.25">
      <c r="A190" s="258">
        <v>45811</v>
      </c>
      <c r="B190" s="131" t="s">
        <v>301</v>
      </c>
      <c r="C190" s="131" t="s">
        <v>230</v>
      </c>
      <c r="D190" s="131">
        <v>1</v>
      </c>
      <c r="E190" s="131">
        <v>100</v>
      </c>
      <c r="F190" s="131" t="s">
        <v>314</v>
      </c>
      <c r="G190" s="247">
        <v>99.9</v>
      </c>
      <c r="H190" s="247">
        <v>99.9</v>
      </c>
      <c r="I190" s="247">
        <v>0</v>
      </c>
      <c r="J190" s="247">
        <v>32</v>
      </c>
      <c r="K190" s="247">
        <v>0</v>
      </c>
      <c r="L190" s="247">
        <v>0</v>
      </c>
      <c r="M190" s="247">
        <v>0</v>
      </c>
      <c r="N190" s="247">
        <v>0</v>
      </c>
      <c r="O190" s="249">
        <v>0</v>
      </c>
      <c r="P190" s="250">
        <v>32</v>
      </c>
      <c r="Q190" s="249" t="s">
        <v>380</v>
      </c>
      <c r="R190" s="249" t="s">
        <v>380</v>
      </c>
      <c r="S190" s="249" t="s">
        <v>380</v>
      </c>
      <c r="T190" s="249" t="s">
        <v>380</v>
      </c>
      <c r="U190" s="251">
        <v>32</v>
      </c>
      <c r="V190" s="247">
        <v>67.900000000000006</v>
      </c>
      <c r="W190" s="252">
        <v>67.900000000000006</v>
      </c>
      <c r="X190" s="136">
        <v>0.67967967967967968</v>
      </c>
    </row>
    <row r="191" spans="1:24" ht="18.75" x14ac:dyDescent="0.25">
      <c r="A191" s="258">
        <v>45811</v>
      </c>
      <c r="B191" s="131" t="s">
        <v>301</v>
      </c>
      <c r="C191" s="131" t="s">
        <v>8</v>
      </c>
      <c r="D191" s="131">
        <v>1</v>
      </c>
      <c r="E191" s="131">
        <v>100</v>
      </c>
      <c r="F191" s="131" t="s">
        <v>216</v>
      </c>
      <c r="G191" s="247">
        <v>99.9</v>
      </c>
      <c r="H191" s="247">
        <v>99.9</v>
      </c>
      <c r="I191" s="247">
        <v>12.8871</v>
      </c>
      <c r="J191" s="247">
        <v>20</v>
      </c>
      <c r="K191" s="247">
        <v>0</v>
      </c>
      <c r="L191" s="247">
        <v>0</v>
      </c>
      <c r="M191" s="247">
        <v>0</v>
      </c>
      <c r="N191" s="247">
        <v>0</v>
      </c>
      <c r="O191" s="249">
        <v>12.8871</v>
      </c>
      <c r="P191" s="250">
        <v>20</v>
      </c>
      <c r="Q191" s="249" t="s">
        <v>380</v>
      </c>
      <c r="R191" s="249" t="s">
        <v>380</v>
      </c>
      <c r="S191" s="249" t="s">
        <v>380</v>
      </c>
      <c r="T191" s="249" t="s">
        <v>380</v>
      </c>
      <c r="U191" s="251">
        <v>32.887100000000004</v>
      </c>
      <c r="V191" s="247">
        <v>67.012900000000002</v>
      </c>
      <c r="W191" s="252">
        <v>67.012900000000002</v>
      </c>
      <c r="X191" s="136">
        <v>0.67079979979979976</v>
      </c>
    </row>
    <row r="192" spans="1:24" ht="18.75" x14ac:dyDescent="0.25">
      <c r="A192" s="258">
        <v>45811</v>
      </c>
      <c r="B192" s="131" t="s">
        <v>301</v>
      </c>
      <c r="C192" s="131" t="s">
        <v>12</v>
      </c>
      <c r="D192" s="131">
        <v>2</v>
      </c>
      <c r="E192" s="131">
        <v>100</v>
      </c>
      <c r="F192" s="131" t="s">
        <v>216</v>
      </c>
      <c r="G192" s="247">
        <v>99.9</v>
      </c>
      <c r="H192" s="247">
        <v>199.8</v>
      </c>
      <c r="I192" s="247">
        <v>25.7742</v>
      </c>
      <c r="J192" s="247">
        <v>24</v>
      </c>
      <c r="K192" s="247">
        <v>0</v>
      </c>
      <c r="L192" s="247">
        <v>0</v>
      </c>
      <c r="M192" s="247">
        <v>0</v>
      </c>
      <c r="N192" s="247">
        <v>0</v>
      </c>
      <c r="O192" s="249">
        <v>12.8871</v>
      </c>
      <c r="P192" s="250">
        <v>12</v>
      </c>
      <c r="Q192" s="249" t="s">
        <v>380</v>
      </c>
      <c r="R192" s="249" t="s">
        <v>380</v>
      </c>
      <c r="S192" s="249" t="s">
        <v>380</v>
      </c>
      <c r="T192" s="249" t="s">
        <v>380</v>
      </c>
      <c r="U192" s="251">
        <v>49.7742</v>
      </c>
      <c r="V192" s="247">
        <v>150.0258</v>
      </c>
      <c r="W192" s="252">
        <v>75.012900000000002</v>
      </c>
      <c r="X192" s="136">
        <v>0.75087987987987981</v>
      </c>
    </row>
    <row r="193" spans="1:24" ht="18.75" x14ac:dyDescent="0.25">
      <c r="A193" s="258">
        <v>45811</v>
      </c>
      <c r="B193" s="131" t="s">
        <v>301</v>
      </c>
      <c r="C193" s="131" t="s">
        <v>8</v>
      </c>
      <c r="D193" s="131">
        <v>4</v>
      </c>
      <c r="E193" s="131">
        <v>100</v>
      </c>
      <c r="F193" s="131" t="s">
        <v>100</v>
      </c>
      <c r="G193" s="247">
        <v>99.91</v>
      </c>
      <c r="H193" s="247">
        <v>399.64</v>
      </c>
      <c r="I193" s="247">
        <v>35.967599999999997</v>
      </c>
      <c r="J193" s="247">
        <v>80</v>
      </c>
      <c r="K193" s="247">
        <v>0</v>
      </c>
      <c r="L193" s="247">
        <v>0</v>
      </c>
      <c r="M193" s="247">
        <v>0</v>
      </c>
      <c r="N193" s="247">
        <v>0</v>
      </c>
      <c r="O193" s="249">
        <v>8.9918999999999993</v>
      </c>
      <c r="P193" s="250">
        <v>20</v>
      </c>
      <c r="Q193" s="249" t="s">
        <v>380</v>
      </c>
      <c r="R193" s="249" t="s">
        <v>380</v>
      </c>
      <c r="S193" s="249" t="s">
        <v>380</v>
      </c>
      <c r="T193" s="249" t="s">
        <v>380</v>
      </c>
      <c r="U193" s="251">
        <v>115.9676</v>
      </c>
      <c r="V193" s="247">
        <v>283.67239999999998</v>
      </c>
      <c r="W193" s="252">
        <v>70.918099999999995</v>
      </c>
      <c r="X193" s="136">
        <v>0.70981983785406866</v>
      </c>
    </row>
    <row r="194" spans="1:24" ht="18.75" x14ac:dyDescent="0.25">
      <c r="A194" s="258">
        <v>45811</v>
      </c>
      <c r="B194" s="131" t="s">
        <v>301</v>
      </c>
      <c r="C194" s="131" t="s">
        <v>230</v>
      </c>
      <c r="D194" s="131">
        <v>3</v>
      </c>
      <c r="E194" s="131">
        <v>100</v>
      </c>
      <c r="F194" s="131" t="s">
        <v>100</v>
      </c>
      <c r="G194" s="247">
        <v>99.91</v>
      </c>
      <c r="H194" s="247">
        <v>299.73</v>
      </c>
      <c r="I194" s="247">
        <v>26.975699999999996</v>
      </c>
      <c r="J194" s="247">
        <v>96</v>
      </c>
      <c r="K194" s="247">
        <v>0</v>
      </c>
      <c r="L194" s="247">
        <v>0</v>
      </c>
      <c r="M194" s="247">
        <v>0</v>
      </c>
      <c r="N194" s="247">
        <v>0</v>
      </c>
      <c r="O194" s="249">
        <v>8.9918999999999993</v>
      </c>
      <c r="P194" s="250">
        <v>32</v>
      </c>
      <c r="Q194" s="249" t="s">
        <v>380</v>
      </c>
      <c r="R194" s="249" t="s">
        <v>380</v>
      </c>
      <c r="S194" s="249" t="s">
        <v>380</v>
      </c>
      <c r="T194" s="249" t="s">
        <v>380</v>
      </c>
      <c r="U194" s="251">
        <v>122.9757</v>
      </c>
      <c r="V194" s="247">
        <v>176.7543</v>
      </c>
      <c r="W194" s="252">
        <v>58.918100000000003</v>
      </c>
      <c r="X194" s="136">
        <v>0.58971174056650988</v>
      </c>
    </row>
    <row r="195" spans="1:24" ht="18.75" x14ac:dyDescent="0.25">
      <c r="A195" s="258">
        <v>45811</v>
      </c>
      <c r="B195" s="131" t="s">
        <v>301</v>
      </c>
      <c r="C195" s="131" t="s">
        <v>12</v>
      </c>
      <c r="D195" s="131">
        <v>3</v>
      </c>
      <c r="E195" s="131">
        <v>100</v>
      </c>
      <c r="F195" s="131" t="s">
        <v>340</v>
      </c>
      <c r="G195" s="247">
        <v>109.9</v>
      </c>
      <c r="H195" s="247">
        <v>329.7</v>
      </c>
      <c r="I195" s="247">
        <v>48.465900000000005</v>
      </c>
      <c r="J195" s="247">
        <v>36</v>
      </c>
      <c r="K195" s="247">
        <v>0</v>
      </c>
      <c r="L195" s="247">
        <v>0</v>
      </c>
      <c r="M195" s="247">
        <v>0</v>
      </c>
      <c r="N195" s="247">
        <v>0</v>
      </c>
      <c r="O195" s="249">
        <v>16.1553</v>
      </c>
      <c r="P195" s="250">
        <v>12</v>
      </c>
      <c r="Q195" s="249" t="s">
        <v>380</v>
      </c>
      <c r="R195" s="249" t="s">
        <v>380</v>
      </c>
      <c r="S195" s="249" t="s">
        <v>380</v>
      </c>
      <c r="T195" s="249" t="s">
        <v>380</v>
      </c>
      <c r="U195" s="251">
        <v>84.465900000000005</v>
      </c>
      <c r="V195" s="247">
        <v>245.23409999999998</v>
      </c>
      <c r="W195" s="252">
        <v>81.744699999999995</v>
      </c>
      <c r="X195" s="136">
        <v>0.74380982711555965</v>
      </c>
    </row>
    <row r="196" spans="1:24" ht="18.75" x14ac:dyDescent="0.25">
      <c r="A196" s="258">
        <v>45811</v>
      </c>
      <c r="B196" s="131" t="s">
        <v>301</v>
      </c>
      <c r="C196" s="131" t="s">
        <v>8</v>
      </c>
      <c r="D196" s="131">
        <v>3</v>
      </c>
      <c r="E196" s="131">
        <v>100</v>
      </c>
      <c r="F196" s="131" t="s">
        <v>340</v>
      </c>
      <c r="G196" s="247">
        <v>109.9</v>
      </c>
      <c r="H196" s="247">
        <v>329.7</v>
      </c>
      <c r="I196" s="247">
        <v>48.465900000000005</v>
      </c>
      <c r="J196" s="247">
        <v>60</v>
      </c>
      <c r="K196" s="247">
        <v>0</v>
      </c>
      <c r="L196" s="247">
        <v>0</v>
      </c>
      <c r="M196" s="247">
        <v>0</v>
      </c>
      <c r="N196" s="247">
        <v>0</v>
      </c>
      <c r="O196" s="249">
        <v>16.1553</v>
      </c>
      <c r="P196" s="250">
        <v>20</v>
      </c>
      <c r="Q196" s="249" t="s">
        <v>380</v>
      </c>
      <c r="R196" s="249" t="s">
        <v>380</v>
      </c>
      <c r="S196" s="249" t="s">
        <v>380</v>
      </c>
      <c r="T196" s="249" t="s">
        <v>380</v>
      </c>
      <c r="U196" s="251">
        <v>108.46589999999999</v>
      </c>
      <c r="V196" s="247">
        <v>221.23410000000001</v>
      </c>
      <c r="W196" s="252">
        <v>73.744700000000009</v>
      </c>
      <c r="X196" s="136">
        <v>0.67101637852593277</v>
      </c>
    </row>
    <row r="197" spans="1:24" ht="18.75" x14ac:dyDescent="0.25">
      <c r="A197" s="258">
        <v>45811</v>
      </c>
      <c r="B197" s="131" t="s">
        <v>301</v>
      </c>
      <c r="C197" s="131" t="s">
        <v>230</v>
      </c>
      <c r="D197" s="131">
        <v>1</v>
      </c>
      <c r="E197" s="131">
        <v>100</v>
      </c>
      <c r="F197" s="131" t="s">
        <v>340</v>
      </c>
      <c r="G197" s="247">
        <v>119.9</v>
      </c>
      <c r="H197" s="247">
        <v>119.9</v>
      </c>
      <c r="I197" s="247">
        <v>17.625299999999999</v>
      </c>
      <c r="J197" s="247">
        <v>32</v>
      </c>
      <c r="K197" s="247">
        <v>0</v>
      </c>
      <c r="L197" s="247">
        <v>0</v>
      </c>
      <c r="M197" s="247">
        <v>0</v>
      </c>
      <c r="N197" s="247">
        <v>0</v>
      </c>
      <c r="O197" s="249">
        <v>17.625299999999999</v>
      </c>
      <c r="P197" s="250">
        <v>32</v>
      </c>
      <c r="Q197" s="249" t="s">
        <v>380</v>
      </c>
      <c r="R197" s="249" t="s">
        <v>380</v>
      </c>
      <c r="S197" s="249" t="s">
        <v>380</v>
      </c>
      <c r="T197" s="249" t="s">
        <v>380</v>
      </c>
      <c r="U197" s="251">
        <v>49.625299999999996</v>
      </c>
      <c r="V197" s="247">
        <v>70.27470000000001</v>
      </c>
      <c r="W197" s="252">
        <v>70.27470000000001</v>
      </c>
      <c r="X197" s="136">
        <v>0.58611092577147628</v>
      </c>
    </row>
    <row r="198" spans="1:24" ht="18.75" x14ac:dyDescent="0.25">
      <c r="A198" s="258">
        <v>45811</v>
      </c>
      <c r="B198" s="131" t="s">
        <v>301</v>
      </c>
      <c r="C198" s="131" t="s">
        <v>12</v>
      </c>
      <c r="D198" s="131">
        <v>1</v>
      </c>
      <c r="E198" s="131">
        <v>100</v>
      </c>
      <c r="F198" s="131" t="s">
        <v>340</v>
      </c>
      <c r="G198" s="247">
        <v>139.9</v>
      </c>
      <c r="H198" s="247">
        <v>139.9</v>
      </c>
      <c r="I198" s="247">
        <v>20.565300000000001</v>
      </c>
      <c r="J198" s="247">
        <v>12</v>
      </c>
      <c r="K198" s="247">
        <v>0</v>
      </c>
      <c r="L198" s="247">
        <v>0</v>
      </c>
      <c r="M198" s="247">
        <v>0</v>
      </c>
      <c r="N198" s="247">
        <v>0</v>
      </c>
      <c r="O198" s="249">
        <v>20.565300000000001</v>
      </c>
      <c r="P198" s="250">
        <v>12</v>
      </c>
      <c r="Q198" s="249" t="s">
        <v>380</v>
      </c>
      <c r="R198" s="249" t="s">
        <v>380</v>
      </c>
      <c r="S198" s="249" t="s">
        <v>380</v>
      </c>
      <c r="T198" s="249" t="s">
        <v>380</v>
      </c>
      <c r="U198" s="251">
        <v>32.565300000000001</v>
      </c>
      <c r="V198" s="247">
        <v>107.3347</v>
      </c>
      <c r="W198" s="252">
        <v>107.3347</v>
      </c>
      <c r="X198" s="136">
        <v>0.76722444603288054</v>
      </c>
    </row>
    <row r="199" spans="1:24" ht="18.75" x14ac:dyDescent="0.25">
      <c r="A199" s="258">
        <v>45811</v>
      </c>
      <c r="B199" s="131" t="s">
        <v>301</v>
      </c>
      <c r="C199" s="131" t="s">
        <v>8</v>
      </c>
      <c r="D199" s="131">
        <v>2</v>
      </c>
      <c r="E199" s="131">
        <v>100</v>
      </c>
      <c r="F199" s="131" t="s">
        <v>340</v>
      </c>
      <c r="G199" s="247">
        <v>149.9</v>
      </c>
      <c r="H199" s="247">
        <v>299.8</v>
      </c>
      <c r="I199" s="247">
        <v>44.070599999999999</v>
      </c>
      <c r="J199" s="247">
        <v>40</v>
      </c>
      <c r="K199" s="247">
        <v>0</v>
      </c>
      <c r="L199" s="247">
        <v>0</v>
      </c>
      <c r="M199" s="247">
        <v>0</v>
      </c>
      <c r="N199" s="247">
        <v>0</v>
      </c>
      <c r="O199" s="249">
        <v>22.035299999999999</v>
      </c>
      <c r="P199" s="250">
        <v>20</v>
      </c>
      <c r="Q199" s="249" t="s">
        <v>380</v>
      </c>
      <c r="R199" s="249" t="s">
        <v>380</v>
      </c>
      <c r="S199" s="249" t="s">
        <v>380</v>
      </c>
      <c r="T199" s="249" t="s">
        <v>380</v>
      </c>
      <c r="U199" s="251">
        <v>84.070599999999999</v>
      </c>
      <c r="V199" s="247">
        <v>215.7294</v>
      </c>
      <c r="W199" s="252">
        <v>107.8647</v>
      </c>
      <c r="X199" s="136">
        <v>0.71957771847898599</v>
      </c>
    </row>
    <row r="200" spans="1:24" ht="18.75" x14ac:dyDescent="0.25">
      <c r="A200" s="258">
        <v>45811</v>
      </c>
      <c r="B200" s="131" t="s">
        <v>301</v>
      </c>
      <c r="C200" s="131" t="s">
        <v>230</v>
      </c>
      <c r="D200" s="131">
        <v>4</v>
      </c>
      <c r="E200" s="131">
        <v>100</v>
      </c>
      <c r="F200" s="131" t="s">
        <v>340</v>
      </c>
      <c r="G200" s="247">
        <v>149.9</v>
      </c>
      <c r="H200" s="247">
        <v>599.6</v>
      </c>
      <c r="I200" s="247">
        <v>88.141199999999998</v>
      </c>
      <c r="J200" s="247">
        <v>128</v>
      </c>
      <c r="K200" s="247">
        <v>0</v>
      </c>
      <c r="L200" s="247">
        <v>0</v>
      </c>
      <c r="M200" s="247">
        <v>0</v>
      </c>
      <c r="N200" s="247">
        <v>0</v>
      </c>
      <c r="O200" s="249">
        <v>22.035299999999999</v>
      </c>
      <c r="P200" s="250">
        <v>32</v>
      </c>
      <c r="Q200" s="249" t="s">
        <v>380</v>
      </c>
      <c r="R200" s="249" t="s">
        <v>380</v>
      </c>
      <c r="S200" s="249" t="s">
        <v>380</v>
      </c>
      <c r="T200" s="249" t="s">
        <v>380</v>
      </c>
      <c r="U200" s="251">
        <v>216.1412</v>
      </c>
      <c r="V200" s="247">
        <v>383.4588</v>
      </c>
      <c r="W200" s="252">
        <v>95.864699999999999</v>
      </c>
      <c r="X200" s="136">
        <v>0.6395243495663776</v>
      </c>
    </row>
    <row r="201" spans="1:24" ht="18.75" x14ac:dyDescent="0.25">
      <c r="A201" s="258">
        <v>45811</v>
      </c>
      <c r="B201" s="131" t="s">
        <v>301</v>
      </c>
      <c r="C201" s="131" t="s">
        <v>230</v>
      </c>
      <c r="D201" s="131">
        <v>3</v>
      </c>
      <c r="E201" s="131">
        <v>100</v>
      </c>
      <c r="F201" s="131" t="s">
        <v>340</v>
      </c>
      <c r="G201" s="247">
        <v>169.9</v>
      </c>
      <c r="H201" s="247">
        <v>509.7</v>
      </c>
      <c r="I201" s="247">
        <v>74.925899999999999</v>
      </c>
      <c r="J201" s="247">
        <v>96</v>
      </c>
      <c r="K201" s="247">
        <v>0</v>
      </c>
      <c r="L201" s="247">
        <v>0</v>
      </c>
      <c r="M201" s="247">
        <v>0</v>
      </c>
      <c r="N201" s="247">
        <v>0</v>
      </c>
      <c r="O201" s="249">
        <v>24.975300000000001</v>
      </c>
      <c r="P201" s="250">
        <v>32</v>
      </c>
      <c r="Q201" s="249" t="s">
        <v>380</v>
      </c>
      <c r="R201" s="249" t="s">
        <v>380</v>
      </c>
      <c r="S201" s="249" t="s">
        <v>380</v>
      </c>
      <c r="T201" s="249" t="s">
        <v>380</v>
      </c>
      <c r="U201" s="251">
        <v>170.92590000000001</v>
      </c>
      <c r="V201" s="247">
        <v>338.77409999999998</v>
      </c>
      <c r="W201" s="252">
        <v>112.92469999999999</v>
      </c>
      <c r="X201" s="136">
        <v>0.66465391406709828</v>
      </c>
    </row>
    <row r="202" spans="1:24" ht="18.75" x14ac:dyDescent="0.25">
      <c r="A202" s="258">
        <v>45811</v>
      </c>
      <c r="B202" s="131" t="s">
        <v>108</v>
      </c>
      <c r="C202" s="131" t="s">
        <v>355</v>
      </c>
      <c r="D202" s="131">
        <v>1</v>
      </c>
      <c r="E202" s="131">
        <v>100</v>
      </c>
      <c r="F202" s="131" t="s">
        <v>365</v>
      </c>
      <c r="G202" s="247">
        <v>349.9</v>
      </c>
      <c r="H202" s="247">
        <v>349.9</v>
      </c>
      <c r="I202" s="247">
        <v>0</v>
      </c>
      <c r="J202" s="247">
        <v>105.84444444444443</v>
      </c>
      <c r="K202" s="247">
        <v>95.87203302373581</v>
      </c>
      <c r="L202" s="247">
        <v>98.366730279898221</v>
      </c>
      <c r="M202" s="247">
        <v>15.5</v>
      </c>
      <c r="N202" s="247">
        <v>22.060808049535602</v>
      </c>
      <c r="O202" s="249">
        <v>0</v>
      </c>
      <c r="P202" s="250">
        <v>105.84444444444443</v>
      </c>
      <c r="Q202" s="249">
        <v>95.87203302373581</v>
      </c>
      <c r="R202" s="249">
        <v>98.366730279898221</v>
      </c>
      <c r="S202" s="249">
        <v>15.5</v>
      </c>
      <c r="T202" s="249">
        <v>22.060808049535602</v>
      </c>
      <c r="U202" s="251">
        <v>337.64401579761403</v>
      </c>
      <c r="V202" s="247">
        <v>12.255984202385946</v>
      </c>
      <c r="W202" s="252">
        <v>12.255984202385946</v>
      </c>
      <c r="X202" s="136">
        <v>3.5027105465521423E-2</v>
      </c>
    </row>
    <row r="203" spans="1:24" ht="18.75" x14ac:dyDescent="0.25">
      <c r="A203" s="258">
        <v>45811</v>
      </c>
      <c r="B203" s="131" t="s">
        <v>108</v>
      </c>
      <c r="C203" s="131" t="s">
        <v>355</v>
      </c>
      <c r="D203" s="131">
        <v>1</v>
      </c>
      <c r="E203" s="131">
        <v>100</v>
      </c>
      <c r="F203" s="131" t="s">
        <v>314</v>
      </c>
      <c r="G203" s="247">
        <v>349.9</v>
      </c>
      <c r="H203" s="247">
        <v>349.9</v>
      </c>
      <c r="I203" s="247">
        <v>0</v>
      </c>
      <c r="J203" s="247">
        <v>105.84444444444443</v>
      </c>
      <c r="K203" s="247">
        <v>95.87203302373581</v>
      </c>
      <c r="L203" s="247">
        <v>0</v>
      </c>
      <c r="M203" s="247">
        <v>0</v>
      </c>
      <c r="N203" s="247">
        <v>22.060808049535602</v>
      </c>
      <c r="O203" s="249">
        <v>0</v>
      </c>
      <c r="P203" s="250">
        <v>105.84444444444443</v>
      </c>
      <c r="Q203" s="249">
        <v>95.87203302373581</v>
      </c>
      <c r="R203" s="249">
        <v>0</v>
      </c>
      <c r="S203" s="249">
        <v>0</v>
      </c>
      <c r="T203" s="249">
        <v>22.060808049535602</v>
      </c>
      <c r="U203" s="251">
        <v>223.77728551771585</v>
      </c>
      <c r="V203" s="247">
        <v>126.12271448228412</v>
      </c>
      <c r="W203" s="252">
        <v>126.12271448228412</v>
      </c>
      <c r="X203" s="136">
        <v>0.36045359954925443</v>
      </c>
    </row>
    <row r="204" spans="1:24" ht="18.75" x14ac:dyDescent="0.25">
      <c r="A204" s="258">
        <v>45811</v>
      </c>
      <c r="B204" s="131" t="s">
        <v>108</v>
      </c>
      <c r="C204" s="131" t="s">
        <v>358</v>
      </c>
      <c r="D204" s="131">
        <v>1</v>
      </c>
      <c r="E204" s="131">
        <v>100</v>
      </c>
      <c r="F204" s="131" t="s">
        <v>314</v>
      </c>
      <c r="G204" s="247">
        <v>349.9</v>
      </c>
      <c r="H204" s="247">
        <v>349.9</v>
      </c>
      <c r="I204" s="247">
        <v>0</v>
      </c>
      <c r="J204" s="247">
        <v>98.844444444444434</v>
      </c>
      <c r="K204" s="247">
        <v>95.87203302373581</v>
      </c>
      <c r="L204" s="247">
        <v>0</v>
      </c>
      <c r="M204" s="247">
        <v>0</v>
      </c>
      <c r="N204" s="247">
        <v>22.060808049535602</v>
      </c>
      <c r="O204" s="249">
        <v>0</v>
      </c>
      <c r="P204" s="250">
        <v>98.844444444444434</v>
      </c>
      <c r="Q204" s="249">
        <v>95.87203302373581</v>
      </c>
      <c r="R204" s="249">
        <v>0</v>
      </c>
      <c r="S204" s="249">
        <v>0</v>
      </c>
      <c r="T204" s="249">
        <v>22.060808049535602</v>
      </c>
      <c r="U204" s="251">
        <v>216.77728551771585</v>
      </c>
      <c r="V204" s="247">
        <v>133.12271448228412</v>
      </c>
      <c r="W204" s="252">
        <v>133.12271448228412</v>
      </c>
      <c r="X204" s="136">
        <v>0.38045931546808842</v>
      </c>
    </row>
    <row r="205" spans="1:24" ht="18.75" x14ac:dyDescent="0.25">
      <c r="A205" s="258">
        <v>45811</v>
      </c>
      <c r="B205" s="131" t="s">
        <v>108</v>
      </c>
      <c r="C205" s="131" t="s">
        <v>356</v>
      </c>
      <c r="D205" s="131">
        <v>2</v>
      </c>
      <c r="E205" s="131">
        <v>100</v>
      </c>
      <c r="F205" s="131" t="s">
        <v>365</v>
      </c>
      <c r="G205" s="247">
        <v>349.9</v>
      </c>
      <c r="H205" s="247">
        <v>699.8</v>
      </c>
      <c r="I205" s="247">
        <v>0</v>
      </c>
      <c r="J205" s="247">
        <v>209.68888888888887</v>
      </c>
      <c r="K205" s="247">
        <v>191.74406604747162</v>
      </c>
      <c r="L205" s="247">
        <v>196.73346055979644</v>
      </c>
      <c r="M205" s="247">
        <v>31</v>
      </c>
      <c r="N205" s="247">
        <v>44.121616099071204</v>
      </c>
      <c r="O205" s="249">
        <v>0</v>
      </c>
      <c r="P205" s="250">
        <v>104.84444444444443</v>
      </c>
      <c r="Q205" s="249">
        <v>95.87203302373581</v>
      </c>
      <c r="R205" s="249">
        <v>98.366730279898221</v>
      </c>
      <c r="S205" s="249">
        <v>15.5</v>
      </c>
      <c r="T205" s="249">
        <v>22.060808049535602</v>
      </c>
      <c r="U205" s="251">
        <v>673.28803159522806</v>
      </c>
      <c r="V205" s="247">
        <v>26.511968404771892</v>
      </c>
      <c r="W205" s="252">
        <v>13.255984202385946</v>
      </c>
      <c r="X205" s="136">
        <v>3.7885064882497703E-2</v>
      </c>
    </row>
    <row r="206" spans="1:24" ht="18.75" x14ac:dyDescent="0.25">
      <c r="A206" s="258">
        <v>45811</v>
      </c>
      <c r="B206" s="131" t="s">
        <v>108</v>
      </c>
      <c r="C206" s="131" t="s">
        <v>356</v>
      </c>
      <c r="D206" s="131">
        <v>2</v>
      </c>
      <c r="E206" s="131">
        <v>100</v>
      </c>
      <c r="F206" s="131" t="s">
        <v>314</v>
      </c>
      <c r="G206" s="247">
        <v>349.9</v>
      </c>
      <c r="H206" s="247">
        <v>699.8</v>
      </c>
      <c r="I206" s="247">
        <v>0</v>
      </c>
      <c r="J206" s="247">
        <v>209.68888888888887</v>
      </c>
      <c r="K206" s="247">
        <v>191.74406604747162</v>
      </c>
      <c r="L206" s="247">
        <v>0</v>
      </c>
      <c r="M206" s="247">
        <v>0</v>
      </c>
      <c r="N206" s="247">
        <v>44.121616099071204</v>
      </c>
      <c r="O206" s="249">
        <v>0</v>
      </c>
      <c r="P206" s="250">
        <v>104.84444444444443</v>
      </c>
      <c r="Q206" s="249">
        <v>95.87203302373581</v>
      </c>
      <c r="R206" s="249">
        <v>0</v>
      </c>
      <c r="S206" s="249">
        <v>0</v>
      </c>
      <c r="T206" s="249">
        <v>22.060808049535602</v>
      </c>
      <c r="U206" s="251">
        <v>445.55457103543171</v>
      </c>
      <c r="V206" s="247">
        <v>254.24542896456825</v>
      </c>
      <c r="W206" s="252">
        <v>127.12271448228412</v>
      </c>
      <c r="X206" s="136">
        <v>0.36331155896623074</v>
      </c>
    </row>
    <row r="207" spans="1:24" ht="18.75" x14ac:dyDescent="0.25">
      <c r="A207" s="258">
        <v>45811</v>
      </c>
      <c r="B207" s="131" t="s">
        <v>108</v>
      </c>
      <c r="C207" s="131" t="s">
        <v>358</v>
      </c>
      <c r="D207" s="131">
        <v>2</v>
      </c>
      <c r="E207" s="131">
        <v>100</v>
      </c>
      <c r="F207" s="131" t="s">
        <v>100</v>
      </c>
      <c r="G207" s="247">
        <v>359.91</v>
      </c>
      <c r="H207" s="247">
        <v>719.82</v>
      </c>
      <c r="I207" s="247">
        <v>64.783799999999999</v>
      </c>
      <c r="J207" s="247">
        <v>197.68888888888887</v>
      </c>
      <c r="K207" s="247">
        <v>191.74406604747162</v>
      </c>
      <c r="L207" s="247">
        <v>196.73346055979644</v>
      </c>
      <c r="M207" s="247">
        <v>31</v>
      </c>
      <c r="N207" s="247">
        <v>44.121616099071204</v>
      </c>
      <c r="O207" s="249">
        <v>32.3919</v>
      </c>
      <c r="P207" s="250">
        <v>98.844444444444434</v>
      </c>
      <c r="Q207" s="249">
        <v>95.87203302373581</v>
      </c>
      <c r="R207" s="249">
        <v>98.366730279898221</v>
      </c>
      <c r="S207" s="249">
        <v>15.5</v>
      </c>
      <c r="T207" s="249">
        <v>22.060808049535602</v>
      </c>
      <c r="U207" s="251">
        <v>726.0718315952281</v>
      </c>
      <c r="V207" s="247">
        <v>-6.2518315952280545</v>
      </c>
      <c r="W207" s="252">
        <v>-3.1259157976140273</v>
      </c>
      <c r="X207" s="136">
        <v>-8.6852707555056183E-3</v>
      </c>
    </row>
    <row r="208" spans="1:24" ht="18.75" x14ac:dyDescent="0.25">
      <c r="A208" s="258">
        <v>45811</v>
      </c>
      <c r="B208" s="131" t="s">
        <v>108</v>
      </c>
      <c r="C208" s="131" t="s">
        <v>356</v>
      </c>
      <c r="D208" s="131">
        <v>2</v>
      </c>
      <c r="E208" s="131">
        <v>100</v>
      </c>
      <c r="F208" s="131" t="s">
        <v>100</v>
      </c>
      <c r="G208" s="247">
        <v>377.91</v>
      </c>
      <c r="H208" s="247">
        <v>755.82</v>
      </c>
      <c r="I208" s="247">
        <v>68.023800000000008</v>
      </c>
      <c r="J208" s="247">
        <v>209.68888888888887</v>
      </c>
      <c r="K208" s="247">
        <v>191.74406604747162</v>
      </c>
      <c r="L208" s="247">
        <v>196.73346055979644</v>
      </c>
      <c r="M208" s="247">
        <v>31</v>
      </c>
      <c r="N208" s="247">
        <v>44.121616099071204</v>
      </c>
      <c r="O208" s="249">
        <v>34.011900000000004</v>
      </c>
      <c r="P208" s="250">
        <v>104.84444444444443</v>
      </c>
      <c r="Q208" s="249">
        <v>95.87203302373581</v>
      </c>
      <c r="R208" s="249">
        <v>98.366730279898221</v>
      </c>
      <c r="S208" s="249">
        <v>15.5</v>
      </c>
      <c r="T208" s="249">
        <v>22.060808049535602</v>
      </c>
      <c r="U208" s="251">
        <v>741.31183159522811</v>
      </c>
      <c r="V208" s="247">
        <v>14.508168404771936</v>
      </c>
      <c r="W208" s="252">
        <v>7.2540842023859682</v>
      </c>
      <c r="X208" s="136">
        <v>1.9195269250313483E-2</v>
      </c>
    </row>
    <row r="209" spans="1:24" ht="18.75" x14ac:dyDescent="0.25">
      <c r="A209" s="258">
        <v>45811</v>
      </c>
      <c r="B209" s="131" t="s">
        <v>108</v>
      </c>
      <c r="C209" s="131" t="s">
        <v>355</v>
      </c>
      <c r="D209" s="131">
        <v>5</v>
      </c>
      <c r="E209" s="131">
        <v>100</v>
      </c>
      <c r="F209" s="131" t="s">
        <v>100</v>
      </c>
      <c r="G209" s="247">
        <v>377.91</v>
      </c>
      <c r="H209" s="247">
        <v>1889.55</v>
      </c>
      <c r="I209" s="247">
        <v>170.05949999999999</v>
      </c>
      <c r="J209" s="247">
        <v>529.22222222222217</v>
      </c>
      <c r="K209" s="247">
        <v>479.36016511867905</v>
      </c>
      <c r="L209" s="247">
        <v>491.83365139949109</v>
      </c>
      <c r="M209" s="247">
        <v>77.5</v>
      </c>
      <c r="N209" s="247">
        <v>110.30404024767802</v>
      </c>
      <c r="O209" s="249">
        <v>34.011899999999997</v>
      </c>
      <c r="P209" s="250">
        <v>105.84444444444443</v>
      </c>
      <c r="Q209" s="249">
        <v>95.87203302373581</v>
      </c>
      <c r="R209" s="249">
        <v>98.366730279898221</v>
      </c>
      <c r="S209" s="249">
        <v>15.5</v>
      </c>
      <c r="T209" s="249">
        <v>22.060808049535602</v>
      </c>
      <c r="U209" s="251">
        <v>1858.2795789880702</v>
      </c>
      <c r="V209" s="247">
        <v>31.270421011929784</v>
      </c>
      <c r="W209" s="252">
        <v>6.2540842023859566</v>
      </c>
      <c r="X209" s="136">
        <v>1.6549136573221053E-2</v>
      </c>
    </row>
    <row r="210" spans="1:24" ht="18.75" x14ac:dyDescent="0.25">
      <c r="A210" s="258">
        <v>45811</v>
      </c>
      <c r="B210" s="131" t="s">
        <v>108</v>
      </c>
      <c r="C210" s="131" t="s">
        <v>7</v>
      </c>
      <c r="D210" s="131">
        <v>2</v>
      </c>
      <c r="E210" s="131">
        <v>100</v>
      </c>
      <c r="F210" s="131" t="s">
        <v>314</v>
      </c>
      <c r="G210" s="247">
        <v>399</v>
      </c>
      <c r="H210" s="247">
        <v>798</v>
      </c>
      <c r="I210" s="247">
        <v>0</v>
      </c>
      <c r="J210" s="247">
        <v>246.48888888888888</v>
      </c>
      <c r="K210" s="247">
        <v>191.74406604747162</v>
      </c>
      <c r="L210" s="247">
        <v>0</v>
      </c>
      <c r="M210" s="247">
        <v>0</v>
      </c>
      <c r="N210" s="247">
        <v>44.121616099071204</v>
      </c>
      <c r="O210" s="249">
        <v>0</v>
      </c>
      <c r="P210" s="250">
        <v>123.24444444444444</v>
      </c>
      <c r="Q210" s="249">
        <v>95.87203302373581</v>
      </c>
      <c r="R210" s="249">
        <v>0</v>
      </c>
      <c r="S210" s="249">
        <v>0</v>
      </c>
      <c r="T210" s="249">
        <v>22.060808049535602</v>
      </c>
      <c r="U210" s="251">
        <v>482.35457103543172</v>
      </c>
      <c r="V210" s="247">
        <v>315.64542896456828</v>
      </c>
      <c r="W210" s="252">
        <v>157.82271448228414</v>
      </c>
      <c r="X210" s="136">
        <v>0.39554565033153921</v>
      </c>
    </row>
    <row r="211" spans="1:24" ht="18.75" x14ac:dyDescent="0.25">
      <c r="A211" s="258">
        <v>45811</v>
      </c>
      <c r="B211" s="131" t="s">
        <v>108</v>
      </c>
      <c r="C211" s="131" t="s">
        <v>7</v>
      </c>
      <c r="D211" s="131">
        <v>1</v>
      </c>
      <c r="E211" s="131">
        <v>100</v>
      </c>
      <c r="F211" s="131" t="s">
        <v>314</v>
      </c>
      <c r="G211" s="247">
        <v>399.6</v>
      </c>
      <c r="H211" s="247">
        <v>392.6</v>
      </c>
      <c r="I211" s="247">
        <v>0</v>
      </c>
      <c r="J211" s="247">
        <v>123.24444444444444</v>
      </c>
      <c r="K211" s="247">
        <v>95.87203302373581</v>
      </c>
      <c r="L211" s="247">
        <v>0</v>
      </c>
      <c r="M211" s="247">
        <v>0</v>
      </c>
      <c r="N211" s="247">
        <v>22.060808049535602</v>
      </c>
      <c r="O211" s="249">
        <v>0</v>
      </c>
      <c r="P211" s="250">
        <v>123.24444444444444</v>
      </c>
      <c r="Q211" s="249">
        <v>95.87203302373581</v>
      </c>
      <c r="R211" s="249">
        <v>0</v>
      </c>
      <c r="S211" s="249">
        <v>0</v>
      </c>
      <c r="T211" s="249">
        <v>22.060808049535602</v>
      </c>
      <c r="U211" s="251">
        <v>241.17728551771586</v>
      </c>
      <c r="V211" s="247">
        <v>151.42271448228416</v>
      </c>
      <c r="W211" s="252">
        <v>151.42271448228416</v>
      </c>
      <c r="X211" s="136">
        <v>0.39645323944515554</v>
      </c>
    </row>
    <row r="212" spans="1:24" ht="18.75" x14ac:dyDescent="0.25">
      <c r="A212" s="258">
        <v>45811</v>
      </c>
      <c r="B212" s="131" t="s">
        <v>108</v>
      </c>
      <c r="C212" s="131" t="s">
        <v>7</v>
      </c>
      <c r="D212" s="131">
        <v>16</v>
      </c>
      <c r="E212" s="131">
        <v>100</v>
      </c>
      <c r="F212" s="131" t="s">
        <v>365</v>
      </c>
      <c r="G212" s="247">
        <v>399.6</v>
      </c>
      <c r="H212" s="247">
        <v>6355.6</v>
      </c>
      <c r="I212" s="247">
        <v>0</v>
      </c>
      <c r="J212" s="247">
        <v>1971.911111111111</v>
      </c>
      <c r="K212" s="247">
        <v>1533.952528379773</v>
      </c>
      <c r="L212" s="247">
        <v>1573.8676844783715</v>
      </c>
      <c r="M212" s="247">
        <v>248</v>
      </c>
      <c r="N212" s="247">
        <v>352.97292879256963</v>
      </c>
      <c r="O212" s="249">
        <v>0</v>
      </c>
      <c r="P212" s="250">
        <v>123.24444444444444</v>
      </c>
      <c r="Q212" s="249">
        <v>95.87203302373581</v>
      </c>
      <c r="R212" s="249">
        <v>98.366730279898221</v>
      </c>
      <c r="S212" s="249">
        <v>15.5</v>
      </c>
      <c r="T212" s="249">
        <v>22.060808049535602</v>
      </c>
      <c r="U212" s="251">
        <v>5680.704252761825</v>
      </c>
      <c r="V212" s="247">
        <v>674.89574723817532</v>
      </c>
      <c r="W212" s="252">
        <v>42.180984202385957</v>
      </c>
      <c r="X212" s="136">
        <v>0.11150146196793281</v>
      </c>
    </row>
    <row r="213" spans="1:24" ht="18.75" x14ac:dyDescent="0.25">
      <c r="A213" s="258">
        <v>45811</v>
      </c>
      <c r="B213" s="131" t="s">
        <v>108</v>
      </c>
      <c r="C213" s="131" t="s">
        <v>7</v>
      </c>
      <c r="D213" s="131">
        <v>15</v>
      </c>
      <c r="E213" s="131">
        <v>100</v>
      </c>
      <c r="F213" s="131" t="s">
        <v>314</v>
      </c>
      <c r="G213" s="247">
        <v>399.6</v>
      </c>
      <c r="H213" s="247">
        <v>5966</v>
      </c>
      <c r="I213" s="247">
        <v>0</v>
      </c>
      <c r="J213" s="247">
        <v>1848.6666666666665</v>
      </c>
      <c r="K213" s="247">
        <v>1438.0804953560371</v>
      </c>
      <c r="L213" s="247">
        <v>0</v>
      </c>
      <c r="M213" s="247">
        <v>0</v>
      </c>
      <c r="N213" s="247">
        <v>330.91212074303405</v>
      </c>
      <c r="O213" s="249">
        <v>0</v>
      </c>
      <c r="P213" s="250">
        <v>123.24444444444444</v>
      </c>
      <c r="Q213" s="249">
        <v>95.87203302373581</v>
      </c>
      <c r="R213" s="249">
        <v>0</v>
      </c>
      <c r="S213" s="249">
        <v>0</v>
      </c>
      <c r="T213" s="249">
        <v>22.060808049535602</v>
      </c>
      <c r="U213" s="251">
        <v>3617.6592827657378</v>
      </c>
      <c r="V213" s="247">
        <v>2348.3407172342622</v>
      </c>
      <c r="W213" s="252">
        <v>156.55604781561749</v>
      </c>
      <c r="X213" s="136">
        <v>0.39645323944515554</v>
      </c>
    </row>
    <row r="214" spans="1:24" ht="18.75" x14ac:dyDescent="0.25">
      <c r="A214" s="258">
        <v>45811</v>
      </c>
      <c r="B214" s="131" t="s">
        <v>108</v>
      </c>
      <c r="C214" s="131" t="s">
        <v>359</v>
      </c>
      <c r="D214" s="131">
        <v>1</v>
      </c>
      <c r="E214" s="131">
        <v>100</v>
      </c>
      <c r="F214" s="131" t="s">
        <v>340</v>
      </c>
      <c r="G214" s="247">
        <v>417.9</v>
      </c>
      <c r="H214" s="247">
        <v>417.9</v>
      </c>
      <c r="I214" s="247">
        <v>61.431299999999993</v>
      </c>
      <c r="J214" s="247">
        <v>106.84444444444443</v>
      </c>
      <c r="K214" s="247">
        <v>95.87203302373581</v>
      </c>
      <c r="L214" s="247">
        <v>98.366730279898221</v>
      </c>
      <c r="M214" s="247">
        <v>15.5</v>
      </c>
      <c r="N214" s="247">
        <v>22.060808049535602</v>
      </c>
      <c r="O214" s="249">
        <v>61.431299999999993</v>
      </c>
      <c r="P214" s="250">
        <v>106.84444444444443</v>
      </c>
      <c r="Q214" s="249">
        <v>95.87203302373581</v>
      </c>
      <c r="R214" s="249">
        <v>98.366730279898221</v>
      </c>
      <c r="S214" s="249">
        <v>15.5</v>
      </c>
      <c r="T214" s="249">
        <v>22.060808049535602</v>
      </c>
      <c r="U214" s="251">
        <v>400.07531579761405</v>
      </c>
      <c r="V214" s="247">
        <v>17.824684202385924</v>
      </c>
      <c r="W214" s="252">
        <v>17.824684202385924</v>
      </c>
      <c r="X214" s="136">
        <v>4.2652989237582976E-2</v>
      </c>
    </row>
    <row r="215" spans="1:24" ht="18.75" x14ac:dyDescent="0.25">
      <c r="A215" s="258">
        <v>45811</v>
      </c>
      <c r="B215" s="131" t="s">
        <v>108</v>
      </c>
      <c r="C215" s="131" t="s">
        <v>357</v>
      </c>
      <c r="D215" s="131">
        <v>1</v>
      </c>
      <c r="E215" s="131">
        <v>100</v>
      </c>
      <c r="F215" s="131" t="s">
        <v>100</v>
      </c>
      <c r="G215" s="247">
        <v>419.9</v>
      </c>
      <c r="H215" s="247">
        <v>419.9</v>
      </c>
      <c r="I215" s="247">
        <v>37.790999999999997</v>
      </c>
      <c r="J215" s="247">
        <v>104.84444444444443</v>
      </c>
      <c r="K215" s="247">
        <v>95.87203302373581</v>
      </c>
      <c r="L215" s="247">
        <v>98.366730279898221</v>
      </c>
      <c r="M215" s="247">
        <v>15.5</v>
      </c>
      <c r="N215" s="247">
        <v>22.060808049535602</v>
      </c>
      <c r="O215" s="249">
        <v>37.790999999999997</v>
      </c>
      <c r="P215" s="250">
        <v>104.84444444444443</v>
      </c>
      <c r="Q215" s="249">
        <v>95.87203302373581</v>
      </c>
      <c r="R215" s="249">
        <v>98.366730279898221</v>
      </c>
      <c r="S215" s="249">
        <v>15.5</v>
      </c>
      <c r="T215" s="249">
        <v>22.060808049535602</v>
      </c>
      <c r="U215" s="251">
        <v>374.43501579761403</v>
      </c>
      <c r="V215" s="247">
        <v>45.464984202385949</v>
      </c>
      <c r="W215" s="252">
        <v>45.464984202385949</v>
      </c>
      <c r="X215" s="136">
        <v>0.1082757423252821</v>
      </c>
    </row>
    <row r="216" spans="1:24" ht="18.75" x14ac:dyDescent="0.25">
      <c r="A216" s="258">
        <v>45811</v>
      </c>
      <c r="B216" s="131" t="s">
        <v>108</v>
      </c>
      <c r="C216" s="131" t="s">
        <v>356</v>
      </c>
      <c r="D216" s="131">
        <v>1</v>
      </c>
      <c r="E216" s="131">
        <v>100</v>
      </c>
      <c r="F216" s="131" t="s">
        <v>100</v>
      </c>
      <c r="G216" s="247">
        <v>419.9</v>
      </c>
      <c r="H216" s="247">
        <v>419.9</v>
      </c>
      <c r="I216" s="247">
        <v>37.790999999999997</v>
      </c>
      <c r="J216" s="247">
        <v>104.84444444444443</v>
      </c>
      <c r="K216" s="247">
        <v>95.87203302373581</v>
      </c>
      <c r="L216" s="247">
        <v>98.366730279898221</v>
      </c>
      <c r="M216" s="247">
        <v>15.5</v>
      </c>
      <c r="N216" s="247">
        <v>22.060808049535602</v>
      </c>
      <c r="O216" s="249">
        <v>37.790999999999997</v>
      </c>
      <c r="P216" s="250">
        <v>104.84444444444443</v>
      </c>
      <c r="Q216" s="249">
        <v>95.87203302373581</v>
      </c>
      <c r="R216" s="249">
        <v>98.366730279898221</v>
      </c>
      <c r="S216" s="249">
        <v>15.5</v>
      </c>
      <c r="T216" s="249">
        <v>22.060808049535602</v>
      </c>
      <c r="U216" s="251">
        <v>374.43501579761403</v>
      </c>
      <c r="V216" s="247">
        <v>45.464984202385949</v>
      </c>
      <c r="W216" s="252">
        <v>45.464984202385949</v>
      </c>
      <c r="X216" s="136">
        <v>0.1082757423252821</v>
      </c>
    </row>
    <row r="217" spans="1:24" ht="18.75" x14ac:dyDescent="0.25">
      <c r="A217" s="258">
        <v>45811</v>
      </c>
      <c r="B217" s="131" t="s">
        <v>108</v>
      </c>
      <c r="C217" s="131" t="s">
        <v>358</v>
      </c>
      <c r="D217" s="131">
        <v>1</v>
      </c>
      <c r="E217" s="131">
        <v>100</v>
      </c>
      <c r="F217" s="131" t="s">
        <v>100</v>
      </c>
      <c r="G217" s="247">
        <v>419.9</v>
      </c>
      <c r="H217" s="247">
        <v>419.9</v>
      </c>
      <c r="I217" s="247">
        <v>37.790999999999997</v>
      </c>
      <c r="J217" s="247">
        <v>98.844444444444434</v>
      </c>
      <c r="K217" s="247">
        <v>95.87203302373581</v>
      </c>
      <c r="L217" s="247">
        <v>98.366730279898221</v>
      </c>
      <c r="M217" s="247">
        <v>15.5</v>
      </c>
      <c r="N217" s="247">
        <v>22.060808049535602</v>
      </c>
      <c r="O217" s="249">
        <v>37.790999999999997</v>
      </c>
      <c r="P217" s="250">
        <v>98.844444444444434</v>
      </c>
      <c r="Q217" s="249">
        <v>95.87203302373581</v>
      </c>
      <c r="R217" s="249">
        <v>98.366730279898221</v>
      </c>
      <c r="S217" s="249">
        <v>15.5</v>
      </c>
      <c r="T217" s="249">
        <v>22.060808049535602</v>
      </c>
      <c r="U217" s="251">
        <v>368.43501579761403</v>
      </c>
      <c r="V217" s="247">
        <v>51.464984202385949</v>
      </c>
      <c r="W217" s="252">
        <v>51.464984202385949</v>
      </c>
      <c r="X217" s="136">
        <v>0.12256485878158122</v>
      </c>
    </row>
    <row r="218" spans="1:24" ht="18.75" x14ac:dyDescent="0.25">
      <c r="A218" s="258">
        <v>45811</v>
      </c>
      <c r="B218" s="131" t="s">
        <v>108</v>
      </c>
      <c r="C218" s="131" t="s">
        <v>358</v>
      </c>
      <c r="D218" s="131">
        <v>1</v>
      </c>
      <c r="E218" s="131">
        <v>100</v>
      </c>
      <c r="F218" s="131" t="s">
        <v>340</v>
      </c>
      <c r="G218" s="247">
        <v>419.9</v>
      </c>
      <c r="H218" s="247">
        <v>419.9</v>
      </c>
      <c r="I218" s="247">
        <v>61.72529999999999</v>
      </c>
      <c r="J218" s="247">
        <v>98.844444444444434</v>
      </c>
      <c r="K218" s="247">
        <v>95.87203302373581</v>
      </c>
      <c r="L218" s="247">
        <v>98.366730279898221</v>
      </c>
      <c r="M218" s="247">
        <v>15.5</v>
      </c>
      <c r="N218" s="247">
        <v>22.060808049535602</v>
      </c>
      <c r="O218" s="249">
        <v>61.72529999999999</v>
      </c>
      <c r="P218" s="250">
        <v>98.844444444444434</v>
      </c>
      <c r="Q218" s="249">
        <v>95.87203302373581</v>
      </c>
      <c r="R218" s="249">
        <v>98.366730279898221</v>
      </c>
      <c r="S218" s="249">
        <v>15.5</v>
      </c>
      <c r="T218" s="249">
        <v>22.060808049535602</v>
      </c>
      <c r="U218" s="251">
        <v>392.36931579761404</v>
      </c>
      <c r="V218" s="247">
        <v>27.530684202385942</v>
      </c>
      <c r="W218" s="252">
        <v>27.530684202385942</v>
      </c>
      <c r="X218" s="136">
        <v>6.5564858781581192E-2</v>
      </c>
    </row>
    <row r="219" spans="1:24" ht="18.75" x14ac:dyDescent="0.25">
      <c r="A219" s="258">
        <v>45811</v>
      </c>
      <c r="B219" s="131" t="s">
        <v>108</v>
      </c>
      <c r="C219" s="131" t="s">
        <v>9</v>
      </c>
      <c r="D219" s="131">
        <v>1</v>
      </c>
      <c r="E219" s="131">
        <v>100</v>
      </c>
      <c r="F219" s="131" t="s">
        <v>365</v>
      </c>
      <c r="G219" s="247">
        <v>419.9</v>
      </c>
      <c r="H219" s="247">
        <v>419.9</v>
      </c>
      <c r="I219" s="247">
        <v>0</v>
      </c>
      <c r="J219" s="247">
        <v>124.74444444444444</v>
      </c>
      <c r="K219" s="247">
        <v>95.87203302373581</v>
      </c>
      <c r="L219" s="247">
        <v>98.366730279898221</v>
      </c>
      <c r="M219" s="247">
        <v>15.5</v>
      </c>
      <c r="N219" s="247">
        <v>22.060808049535602</v>
      </c>
      <c r="O219" s="249">
        <v>0</v>
      </c>
      <c r="P219" s="250">
        <v>124.74444444444444</v>
      </c>
      <c r="Q219" s="249">
        <v>95.87203302373581</v>
      </c>
      <c r="R219" s="249">
        <v>98.366730279898221</v>
      </c>
      <c r="S219" s="249">
        <v>15.5</v>
      </c>
      <c r="T219" s="249">
        <v>22.060808049535602</v>
      </c>
      <c r="U219" s="251">
        <v>356.54401579761407</v>
      </c>
      <c r="V219" s="247">
        <v>63.355984202385912</v>
      </c>
      <c r="W219" s="252">
        <v>63.355984202385912</v>
      </c>
      <c r="X219" s="136">
        <v>0.15088350607855661</v>
      </c>
    </row>
    <row r="220" spans="1:24" ht="18.75" x14ac:dyDescent="0.25">
      <c r="A220" s="258">
        <v>45811</v>
      </c>
      <c r="B220" s="131" t="s">
        <v>108</v>
      </c>
      <c r="C220" s="131" t="s">
        <v>11</v>
      </c>
      <c r="D220" s="131">
        <v>1</v>
      </c>
      <c r="E220" s="131">
        <v>100</v>
      </c>
      <c r="F220" s="131" t="s">
        <v>365</v>
      </c>
      <c r="G220" s="247">
        <v>419.9</v>
      </c>
      <c r="H220" s="247">
        <v>419.9</v>
      </c>
      <c r="I220" s="247">
        <v>0</v>
      </c>
      <c r="J220" s="247">
        <v>126.24444444444444</v>
      </c>
      <c r="K220" s="247">
        <v>95.87203302373581</v>
      </c>
      <c r="L220" s="247">
        <v>98.366730279898221</v>
      </c>
      <c r="M220" s="247">
        <v>15.5</v>
      </c>
      <c r="N220" s="247">
        <v>22.060808049535602</v>
      </c>
      <c r="O220" s="249">
        <v>0</v>
      </c>
      <c r="P220" s="250">
        <v>126.24444444444444</v>
      </c>
      <c r="Q220" s="249">
        <v>95.87203302373581</v>
      </c>
      <c r="R220" s="249">
        <v>98.366730279898221</v>
      </c>
      <c r="S220" s="249">
        <v>15.5</v>
      </c>
      <c r="T220" s="249">
        <v>22.060808049535602</v>
      </c>
      <c r="U220" s="251">
        <v>358.04401579761407</v>
      </c>
      <c r="V220" s="247">
        <v>61.855984202385912</v>
      </c>
      <c r="W220" s="252">
        <v>61.855984202385912</v>
      </c>
      <c r="X220" s="136">
        <v>0.14731122696448182</v>
      </c>
    </row>
    <row r="221" spans="1:24" ht="18.75" x14ac:dyDescent="0.25">
      <c r="A221" s="258">
        <v>45811</v>
      </c>
      <c r="B221" s="131" t="s">
        <v>108</v>
      </c>
      <c r="C221" s="131" t="s">
        <v>11</v>
      </c>
      <c r="D221" s="131">
        <v>3</v>
      </c>
      <c r="E221" s="131">
        <v>100</v>
      </c>
      <c r="F221" s="131" t="s">
        <v>314</v>
      </c>
      <c r="G221" s="247">
        <v>419.9</v>
      </c>
      <c r="H221" s="247">
        <v>1259.7</v>
      </c>
      <c r="I221" s="247">
        <v>0</v>
      </c>
      <c r="J221" s="247">
        <v>378.73333333333335</v>
      </c>
      <c r="K221" s="247">
        <v>287.61609907120743</v>
      </c>
      <c r="L221" s="247">
        <v>0</v>
      </c>
      <c r="M221" s="247">
        <v>0</v>
      </c>
      <c r="N221" s="247">
        <v>66.182424148606799</v>
      </c>
      <c r="O221" s="249">
        <v>0</v>
      </c>
      <c r="P221" s="250">
        <v>126.24444444444444</v>
      </c>
      <c r="Q221" s="249">
        <v>95.87203302373581</v>
      </c>
      <c r="R221" s="249">
        <v>0</v>
      </c>
      <c r="S221" s="249">
        <v>0</v>
      </c>
      <c r="T221" s="249">
        <v>22.060808049535602</v>
      </c>
      <c r="U221" s="251">
        <v>732.53185655314758</v>
      </c>
      <c r="V221" s="247">
        <v>527.16814344685247</v>
      </c>
      <c r="W221" s="252">
        <v>175.72271448228415</v>
      </c>
      <c r="X221" s="136">
        <v>0.4184870552090596</v>
      </c>
    </row>
    <row r="222" spans="1:24" ht="18.75" x14ac:dyDescent="0.25">
      <c r="A222" s="258">
        <v>45811</v>
      </c>
      <c r="B222" s="131" t="s">
        <v>108</v>
      </c>
      <c r="C222" s="131" t="s">
        <v>135</v>
      </c>
      <c r="D222" s="131">
        <v>1</v>
      </c>
      <c r="E222" s="131">
        <v>100</v>
      </c>
      <c r="F222" s="131" t="s">
        <v>365</v>
      </c>
      <c r="G222" s="247">
        <v>419.9</v>
      </c>
      <c r="H222" s="247">
        <v>419.9</v>
      </c>
      <c r="I222" s="247">
        <v>0</v>
      </c>
      <c r="J222" s="247">
        <v>131.74444444444444</v>
      </c>
      <c r="K222" s="247">
        <v>95.87203302373581</v>
      </c>
      <c r="L222" s="247">
        <v>98.366730279898221</v>
      </c>
      <c r="M222" s="247">
        <v>15.5</v>
      </c>
      <c r="N222" s="247">
        <v>22.060808049535602</v>
      </c>
      <c r="O222" s="249">
        <v>0</v>
      </c>
      <c r="P222" s="250">
        <v>131.74444444444444</v>
      </c>
      <c r="Q222" s="249">
        <v>95.87203302373581</v>
      </c>
      <c r="R222" s="249">
        <v>98.366730279898221</v>
      </c>
      <c r="S222" s="249">
        <v>15.5</v>
      </c>
      <c r="T222" s="249">
        <v>22.060808049535602</v>
      </c>
      <c r="U222" s="251">
        <v>363.54401579761407</v>
      </c>
      <c r="V222" s="247">
        <v>56.355984202385912</v>
      </c>
      <c r="W222" s="252">
        <v>56.355984202385912</v>
      </c>
      <c r="X222" s="136">
        <v>0.13421287021287429</v>
      </c>
    </row>
    <row r="223" spans="1:24" ht="18.75" x14ac:dyDescent="0.25">
      <c r="A223" s="258">
        <v>45811</v>
      </c>
      <c r="B223" s="131" t="s">
        <v>108</v>
      </c>
      <c r="C223" s="131" t="s">
        <v>135</v>
      </c>
      <c r="D223" s="131">
        <v>5</v>
      </c>
      <c r="E223" s="131">
        <v>100</v>
      </c>
      <c r="F223" s="131" t="s">
        <v>314</v>
      </c>
      <c r="G223" s="247">
        <v>419.9</v>
      </c>
      <c r="H223" s="247">
        <v>2099.5</v>
      </c>
      <c r="I223" s="247">
        <v>0</v>
      </c>
      <c r="J223" s="247">
        <v>658.72222222222217</v>
      </c>
      <c r="K223" s="247">
        <v>479.36016511867905</v>
      </c>
      <c r="L223" s="247">
        <v>0</v>
      </c>
      <c r="M223" s="247">
        <v>0</v>
      </c>
      <c r="N223" s="247">
        <v>110.30404024767802</v>
      </c>
      <c r="O223" s="249">
        <v>0</v>
      </c>
      <c r="P223" s="250">
        <v>131.74444444444444</v>
      </c>
      <c r="Q223" s="249">
        <v>95.87203302373581</v>
      </c>
      <c r="R223" s="249">
        <v>0</v>
      </c>
      <c r="S223" s="249">
        <v>0</v>
      </c>
      <c r="T223" s="249">
        <v>22.060808049535602</v>
      </c>
      <c r="U223" s="251">
        <v>1248.3864275885794</v>
      </c>
      <c r="V223" s="247">
        <v>851.11357241142059</v>
      </c>
      <c r="W223" s="252">
        <v>170.22271448228412</v>
      </c>
      <c r="X223" s="136">
        <v>0.40538869845745201</v>
      </c>
    </row>
    <row r="224" spans="1:24" ht="18.75" x14ac:dyDescent="0.25">
      <c r="A224" s="258">
        <v>45811</v>
      </c>
      <c r="B224" s="131" t="s">
        <v>108</v>
      </c>
      <c r="C224" s="131" t="s">
        <v>355</v>
      </c>
      <c r="D224" s="131">
        <v>1</v>
      </c>
      <c r="E224" s="131">
        <v>100</v>
      </c>
      <c r="F224" s="131" t="s">
        <v>100</v>
      </c>
      <c r="G224" s="247">
        <v>431.9</v>
      </c>
      <c r="H224" s="247">
        <v>431.9</v>
      </c>
      <c r="I224" s="247">
        <v>38.870999999999995</v>
      </c>
      <c r="J224" s="247">
        <v>105.84444444444443</v>
      </c>
      <c r="K224" s="247">
        <v>95.87203302373581</v>
      </c>
      <c r="L224" s="247">
        <v>98.366730279898221</v>
      </c>
      <c r="M224" s="247">
        <v>15.5</v>
      </c>
      <c r="N224" s="247">
        <v>22.060808049535602</v>
      </c>
      <c r="O224" s="249">
        <v>38.870999999999995</v>
      </c>
      <c r="P224" s="250">
        <v>105.84444444444443</v>
      </c>
      <c r="Q224" s="249">
        <v>95.87203302373581</v>
      </c>
      <c r="R224" s="249">
        <v>98.366730279898221</v>
      </c>
      <c r="S224" s="249">
        <v>15.5</v>
      </c>
      <c r="T224" s="249">
        <v>22.060808049535602</v>
      </c>
      <c r="U224" s="251">
        <v>376.51501579761401</v>
      </c>
      <c r="V224" s="247">
        <v>55.384984202385965</v>
      </c>
      <c r="W224" s="252">
        <v>55.384984202385965</v>
      </c>
      <c r="X224" s="136">
        <v>0.12823566613194251</v>
      </c>
    </row>
    <row r="225" spans="1:24" ht="18.75" x14ac:dyDescent="0.25">
      <c r="A225" s="258">
        <v>45811</v>
      </c>
      <c r="B225" s="131" t="s">
        <v>108</v>
      </c>
      <c r="C225" s="131" t="s">
        <v>6</v>
      </c>
      <c r="D225" s="131">
        <v>2</v>
      </c>
      <c r="E225" s="131">
        <v>140</v>
      </c>
      <c r="F225" s="131" t="s">
        <v>314</v>
      </c>
      <c r="G225" s="247">
        <v>449</v>
      </c>
      <c r="H225" s="247">
        <v>898</v>
      </c>
      <c r="I225" s="247">
        <v>0</v>
      </c>
      <c r="J225" s="247">
        <v>287.88888888888886</v>
      </c>
      <c r="K225" s="247">
        <v>191.74406604747162</v>
      </c>
      <c r="L225" s="247">
        <v>0</v>
      </c>
      <c r="M225" s="247">
        <v>0</v>
      </c>
      <c r="N225" s="247">
        <v>44.121616099071204</v>
      </c>
      <c r="O225" s="249">
        <v>0</v>
      </c>
      <c r="P225" s="250">
        <v>143.94444444444443</v>
      </c>
      <c r="Q225" s="249">
        <v>95.87203302373581</v>
      </c>
      <c r="R225" s="249">
        <v>0</v>
      </c>
      <c r="S225" s="249">
        <v>0</v>
      </c>
      <c r="T225" s="249">
        <v>22.060808049535602</v>
      </c>
      <c r="U225" s="251">
        <v>523.7545710354317</v>
      </c>
      <c r="V225" s="247">
        <v>374.2454289645683</v>
      </c>
      <c r="W225" s="252">
        <v>187.12271448228415</v>
      </c>
      <c r="X225" s="136">
        <v>0.41675437523894021</v>
      </c>
    </row>
    <row r="226" spans="1:24" ht="18.75" x14ac:dyDescent="0.25">
      <c r="A226" s="258">
        <v>45811</v>
      </c>
      <c r="B226" s="131" t="s">
        <v>108</v>
      </c>
      <c r="C226" s="131" t="s">
        <v>7</v>
      </c>
      <c r="D226" s="131">
        <v>3</v>
      </c>
      <c r="E226" s="131">
        <v>140</v>
      </c>
      <c r="F226" s="131" t="s">
        <v>314</v>
      </c>
      <c r="G226" s="247">
        <v>449</v>
      </c>
      <c r="H226" s="247">
        <v>1347</v>
      </c>
      <c r="I226" s="247">
        <v>0</v>
      </c>
      <c r="J226" s="247">
        <v>427.33333333333326</v>
      </c>
      <c r="K226" s="247">
        <v>287.61609907120743</v>
      </c>
      <c r="L226" s="247">
        <v>0</v>
      </c>
      <c r="M226" s="247">
        <v>0</v>
      </c>
      <c r="N226" s="247">
        <v>66.182424148606799</v>
      </c>
      <c r="O226" s="249">
        <v>0</v>
      </c>
      <c r="P226" s="250">
        <v>142.44444444444443</v>
      </c>
      <c r="Q226" s="249">
        <v>95.87203302373581</v>
      </c>
      <c r="R226" s="249">
        <v>0</v>
      </c>
      <c r="S226" s="249">
        <v>0</v>
      </c>
      <c r="T226" s="249">
        <v>22.060808049535602</v>
      </c>
      <c r="U226" s="251">
        <v>781.1318565531476</v>
      </c>
      <c r="V226" s="247">
        <v>565.8681434468524</v>
      </c>
      <c r="W226" s="252">
        <v>188.62271448228412</v>
      </c>
      <c r="X226" s="136">
        <v>0.42009513247724756</v>
      </c>
    </row>
    <row r="227" spans="1:24" ht="18.75" x14ac:dyDescent="0.25">
      <c r="A227" s="258">
        <v>45811</v>
      </c>
      <c r="B227" s="131" t="s">
        <v>108</v>
      </c>
      <c r="C227" s="131" t="s">
        <v>358</v>
      </c>
      <c r="D227" s="131">
        <v>2</v>
      </c>
      <c r="E227" s="131">
        <v>100</v>
      </c>
      <c r="F227" s="131" t="s">
        <v>340</v>
      </c>
      <c r="G227" s="247">
        <v>449.9</v>
      </c>
      <c r="H227" s="247">
        <v>899.8</v>
      </c>
      <c r="I227" s="247">
        <v>132.27059999999997</v>
      </c>
      <c r="J227" s="247">
        <v>197.68888888888887</v>
      </c>
      <c r="K227" s="247">
        <v>191.74406604747162</v>
      </c>
      <c r="L227" s="247">
        <v>196.73346055979644</v>
      </c>
      <c r="M227" s="247">
        <v>31</v>
      </c>
      <c r="N227" s="247">
        <v>44.121616099071204</v>
      </c>
      <c r="O227" s="249">
        <v>66.135299999999987</v>
      </c>
      <c r="P227" s="250">
        <v>98.844444444444434</v>
      </c>
      <c r="Q227" s="249">
        <v>95.87203302373581</v>
      </c>
      <c r="R227" s="249">
        <v>98.366730279898221</v>
      </c>
      <c r="S227" s="249">
        <v>15.5</v>
      </c>
      <c r="T227" s="249">
        <v>22.060808049535602</v>
      </c>
      <c r="U227" s="251">
        <v>793.55863159522801</v>
      </c>
      <c r="V227" s="247">
        <v>106.24136840477195</v>
      </c>
      <c r="W227" s="252">
        <v>53.120684202385974</v>
      </c>
      <c r="X227" s="136">
        <v>0.11807220316156029</v>
      </c>
    </row>
    <row r="228" spans="1:24" ht="18.75" x14ac:dyDescent="0.25">
      <c r="A228" s="258">
        <v>45811</v>
      </c>
      <c r="B228" s="131" t="s">
        <v>108</v>
      </c>
      <c r="C228" s="131" t="s">
        <v>356</v>
      </c>
      <c r="D228" s="131">
        <v>2</v>
      </c>
      <c r="E228" s="131">
        <v>100</v>
      </c>
      <c r="F228" s="131" t="s">
        <v>340</v>
      </c>
      <c r="G228" s="247">
        <v>449.9</v>
      </c>
      <c r="H228" s="247">
        <v>899.8</v>
      </c>
      <c r="I228" s="247">
        <v>132.27059999999997</v>
      </c>
      <c r="J228" s="247">
        <v>209.68888888888887</v>
      </c>
      <c r="K228" s="247">
        <v>191.74406604747162</v>
      </c>
      <c r="L228" s="247">
        <v>196.73346055979644</v>
      </c>
      <c r="M228" s="247">
        <v>31</v>
      </c>
      <c r="N228" s="247">
        <v>44.121616099071204</v>
      </c>
      <c r="O228" s="249">
        <v>66.135299999999987</v>
      </c>
      <c r="P228" s="250">
        <v>104.84444444444443</v>
      </c>
      <c r="Q228" s="249">
        <v>95.87203302373581</v>
      </c>
      <c r="R228" s="249">
        <v>98.366730279898221</v>
      </c>
      <c r="S228" s="249">
        <v>15.5</v>
      </c>
      <c r="T228" s="249">
        <v>22.060808049535602</v>
      </c>
      <c r="U228" s="251">
        <v>805.55863159522801</v>
      </c>
      <c r="V228" s="247">
        <v>94.241368404771947</v>
      </c>
      <c r="W228" s="252">
        <v>47.120684202385974</v>
      </c>
      <c r="X228" s="136">
        <v>0.10473590620668143</v>
      </c>
    </row>
    <row r="229" spans="1:24" ht="18.75" x14ac:dyDescent="0.25">
      <c r="A229" s="258">
        <v>45811</v>
      </c>
      <c r="B229" s="131" t="s">
        <v>108</v>
      </c>
      <c r="C229" s="131" t="s">
        <v>355</v>
      </c>
      <c r="D229" s="131">
        <v>5</v>
      </c>
      <c r="E229" s="131">
        <v>100</v>
      </c>
      <c r="F229" s="131" t="s">
        <v>340</v>
      </c>
      <c r="G229" s="247">
        <v>449.9</v>
      </c>
      <c r="H229" s="247">
        <v>2249.5</v>
      </c>
      <c r="I229" s="247">
        <v>330.67650000000003</v>
      </c>
      <c r="J229" s="247">
        <v>529.22222222222217</v>
      </c>
      <c r="K229" s="247">
        <v>479.36016511867905</v>
      </c>
      <c r="L229" s="247">
        <v>491.83365139949109</v>
      </c>
      <c r="M229" s="247">
        <v>77.5</v>
      </c>
      <c r="N229" s="247">
        <v>110.30404024767802</v>
      </c>
      <c r="O229" s="249">
        <v>66.135300000000001</v>
      </c>
      <c r="P229" s="250">
        <v>105.84444444444443</v>
      </c>
      <c r="Q229" s="249">
        <v>95.87203302373581</v>
      </c>
      <c r="R229" s="249">
        <v>98.366730279898221</v>
      </c>
      <c r="S229" s="249">
        <v>15.5</v>
      </c>
      <c r="T229" s="249">
        <v>22.060808049535602</v>
      </c>
      <c r="U229" s="251">
        <v>2018.8965789880699</v>
      </c>
      <c r="V229" s="247">
        <v>230.6034210119301</v>
      </c>
      <c r="W229" s="252">
        <v>46.120684202386016</v>
      </c>
      <c r="X229" s="136">
        <v>0.10251319004753495</v>
      </c>
    </row>
    <row r="230" spans="1:24" ht="18.75" x14ac:dyDescent="0.25">
      <c r="A230" s="258">
        <v>45811</v>
      </c>
      <c r="B230" s="131" t="s">
        <v>108</v>
      </c>
      <c r="C230" s="131" t="s">
        <v>13</v>
      </c>
      <c r="D230" s="131">
        <v>1</v>
      </c>
      <c r="E230" s="131">
        <v>100</v>
      </c>
      <c r="F230" s="131" t="s">
        <v>365</v>
      </c>
      <c r="G230" s="247">
        <v>449.9</v>
      </c>
      <c r="H230" s="247">
        <v>449.9</v>
      </c>
      <c r="I230" s="247">
        <v>0</v>
      </c>
      <c r="J230" s="247">
        <v>129.64444444444445</v>
      </c>
      <c r="K230" s="247">
        <v>95.87203302373581</v>
      </c>
      <c r="L230" s="247">
        <v>98.366730279898221</v>
      </c>
      <c r="M230" s="247">
        <v>15.5</v>
      </c>
      <c r="N230" s="247">
        <v>22.060808049535602</v>
      </c>
      <c r="O230" s="249">
        <v>0</v>
      </c>
      <c r="P230" s="250">
        <v>129.64444444444445</v>
      </c>
      <c r="Q230" s="249">
        <v>95.87203302373581</v>
      </c>
      <c r="R230" s="249">
        <v>98.366730279898221</v>
      </c>
      <c r="S230" s="249">
        <v>15.5</v>
      </c>
      <c r="T230" s="249">
        <v>22.060808049535602</v>
      </c>
      <c r="U230" s="251">
        <v>361.44401579761404</v>
      </c>
      <c r="V230" s="247">
        <v>88.455984202385935</v>
      </c>
      <c r="W230" s="252">
        <v>88.455984202385935</v>
      </c>
      <c r="X230" s="136">
        <v>0.19661254545984871</v>
      </c>
    </row>
    <row r="231" spans="1:24" ht="18.75" x14ac:dyDescent="0.25">
      <c r="A231" s="258">
        <v>45811</v>
      </c>
      <c r="B231" s="131" t="s">
        <v>108</v>
      </c>
      <c r="C231" s="131" t="s">
        <v>7</v>
      </c>
      <c r="D231" s="131">
        <v>5</v>
      </c>
      <c r="E231" s="131">
        <v>140</v>
      </c>
      <c r="F231" s="131" t="s">
        <v>365</v>
      </c>
      <c r="G231" s="247">
        <v>449.9</v>
      </c>
      <c r="H231" s="247">
        <v>2248.5</v>
      </c>
      <c r="I231" s="247">
        <v>0</v>
      </c>
      <c r="J231" s="247">
        <v>712.22222222222217</v>
      </c>
      <c r="K231" s="247">
        <v>479.36016511867905</v>
      </c>
      <c r="L231" s="247">
        <v>491.83365139949109</v>
      </c>
      <c r="M231" s="247">
        <v>77.5</v>
      </c>
      <c r="N231" s="247">
        <v>110.30404024767802</v>
      </c>
      <c r="O231" s="249">
        <v>0</v>
      </c>
      <c r="P231" s="250">
        <v>142.44444444444443</v>
      </c>
      <c r="Q231" s="249">
        <v>95.87203302373581</v>
      </c>
      <c r="R231" s="249">
        <v>98.366730279898221</v>
      </c>
      <c r="S231" s="249">
        <v>15.5</v>
      </c>
      <c r="T231" s="249">
        <v>22.060808049535602</v>
      </c>
      <c r="U231" s="251">
        <v>1871.2200789880703</v>
      </c>
      <c r="V231" s="247">
        <v>377.27992101192967</v>
      </c>
      <c r="W231" s="252" t="s">
        <v>374</v>
      </c>
      <c r="X231" s="136">
        <v>0.16816177862277379</v>
      </c>
    </row>
    <row r="232" spans="1:24" ht="18.75" x14ac:dyDescent="0.25">
      <c r="A232" s="258">
        <v>45811</v>
      </c>
      <c r="B232" s="131" t="s">
        <v>108</v>
      </c>
      <c r="C232" s="131" t="s">
        <v>7</v>
      </c>
      <c r="D232" s="131">
        <v>2</v>
      </c>
      <c r="E232" s="131">
        <v>140</v>
      </c>
      <c r="F232" s="131" t="s">
        <v>314</v>
      </c>
      <c r="G232" s="247">
        <v>449.9</v>
      </c>
      <c r="H232" s="247">
        <v>899.8</v>
      </c>
      <c r="I232" s="247">
        <v>0</v>
      </c>
      <c r="J232" s="247">
        <v>284.88888888888886</v>
      </c>
      <c r="K232" s="247">
        <v>191.74406604747162</v>
      </c>
      <c r="L232" s="247">
        <v>0</v>
      </c>
      <c r="M232" s="247">
        <v>0</v>
      </c>
      <c r="N232" s="247">
        <v>44.121616099071204</v>
      </c>
      <c r="O232" s="249">
        <v>0</v>
      </c>
      <c r="P232" s="250">
        <v>142.44444444444443</v>
      </c>
      <c r="Q232" s="249">
        <v>95.87203302373581</v>
      </c>
      <c r="R232" s="249">
        <v>0</v>
      </c>
      <c r="S232" s="249">
        <v>0</v>
      </c>
      <c r="T232" s="249">
        <v>22.060808049535602</v>
      </c>
      <c r="U232" s="251">
        <v>520.7545710354317</v>
      </c>
      <c r="V232" s="247">
        <v>379.04542896456826</v>
      </c>
      <c r="W232" s="252">
        <v>189.52271448228413</v>
      </c>
      <c r="X232" s="136">
        <v>0.42125520000507699</v>
      </c>
    </row>
    <row r="233" spans="1:24" ht="18.75" x14ac:dyDescent="0.25">
      <c r="A233" s="258">
        <v>45811</v>
      </c>
      <c r="B233" s="131" t="s">
        <v>108</v>
      </c>
      <c r="C233" s="131" t="s">
        <v>355</v>
      </c>
      <c r="D233" s="131">
        <v>1</v>
      </c>
      <c r="E233" s="131">
        <v>100</v>
      </c>
      <c r="F233" s="131" t="s">
        <v>340</v>
      </c>
      <c r="G233" s="247">
        <v>452.9</v>
      </c>
      <c r="H233" s="247">
        <v>452.9</v>
      </c>
      <c r="I233" s="247">
        <v>66.576299999999989</v>
      </c>
      <c r="J233" s="247">
        <v>105.84444444444443</v>
      </c>
      <c r="K233" s="247">
        <v>95.87203302373581</v>
      </c>
      <c r="L233" s="247">
        <v>98.366730279898221</v>
      </c>
      <c r="M233" s="247">
        <v>15.5</v>
      </c>
      <c r="N233" s="247">
        <v>22.060808049535602</v>
      </c>
      <c r="O233" s="249">
        <v>66.576299999999989</v>
      </c>
      <c r="P233" s="250">
        <v>105.84444444444443</v>
      </c>
      <c r="Q233" s="249">
        <v>95.87203302373581</v>
      </c>
      <c r="R233" s="249">
        <v>98.366730279898221</v>
      </c>
      <c r="S233" s="249">
        <v>15.5</v>
      </c>
      <c r="T233" s="249">
        <v>22.060808049535602</v>
      </c>
      <c r="U233" s="251">
        <v>404.22031579761403</v>
      </c>
      <c r="V233" s="247">
        <v>48.679684202385943</v>
      </c>
      <c r="W233" s="252">
        <v>48.679684202385943</v>
      </c>
      <c r="X233" s="136">
        <v>0.10748439876879211</v>
      </c>
    </row>
    <row r="234" spans="1:24" ht="18.75" x14ac:dyDescent="0.25">
      <c r="A234" s="258">
        <v>45811</v>
      </c>
      <c r="B234" s="131" t="s">
        <v>108</v>
      </c>
      <c r="C234" s="131" t="s">
        <v>18</v>
      </c>
      <c r="D234" s="131">
        <v>1</v>
      </c>
      <c r="E234" s="131">
        <v>100</v>
      </c>
      <c r="F234" s="131" t="s">
        <v>314</v>
      </c>
      <c r="G234" s="247">
        <v>459</v>
      </c>
      <c r="H234" s="247">
        <v>459</v>
      </c>
      <c r="I234" s="247">
        <v>0</v>
      </c>
      <c r="J234" s="247">
        <v>147.97777777777776</v>
      </c>
      <c r="K234" s="247">
        <v>95.87203302373581</v>
      </c>
      <c r="L234" s="247">
        <v>0</v>
      </c>
      <c r="M234" s="247">
        <v>0</v>
      </c>
      <c r="N234" s="247">
        <v>22.060808049535602</v>
      </c>
      <c r="O234" s="249">
        <v>0</v>
      </c>
      <c r="P234" s="250">
        <v>147.97777777777776</v>
      </c>
      <c r="Q234" s="249">
        <v>95.87203302373581</v>
      </c>
      <c r="R234" s="249">
        <v>0</v>
      </c>
      <c r="S234" s="249">
        <v>0</v>
      </c>
      <c r="T234" s="249">
        <v>22.060808049535602</v>
      </c>
      <c r="U234" s="251">
        <v>265.91061885104915</v>
      </c>
      <c r="V234" s="247">
        <v>193.08938114895085</v>
      </c>
      <c r="W234" s="252">
        <v>193.08938114895085</v>
      </c>
      <c r="X234" s="136">
        <v>0.42067403300425021</v>
      </c>
    </row>
    <row r="235" spans="1:24" ht="18.75" x14ac:dyDescent="0.25">
      <c r="A235" s="258">
        <v>45811</v>
      </c>
      <c r="B235" s="131" t="s">
        <v>108</v>
      </c>
      <c r="C235" s="131" t="s">
        <v>5</v>
      </c>
      <c r="D235" s="131">
        <v>1</v>
      </c>
      <c r="E235" s="131">
        <v>100</v>
      </c>
      <c r="F235" s="131" t="s">
        <v>314</v>
      </c>
      <c r="G235" s="247">
        <v>459</v>
      </c>
      <c r="H235" s="247">
        <v>459</v>
      </c>
      <c r="I235" s="247">
        <v>0</v>
      </c>
      <c r="J235" s="247">
        <v>163.57222222222222</v>
      </c>
      <c r="K235" s="247">
        <v>95.87203302373581</v>
      </c>
      <c r="L235" s="247">
        <v>0</v>
      </c>
      <c r="M235" s="247">
        <v>0</v>
      </c>
      <c r="N235" s="247">
        <v>22.060808049535602</v>
      </c>
      <c r="O235" s="249">
        <v>0</v>
      </c>
      <c r="P235" s="250">
        <v>163.57222222222222</v>
      </c>
      <c r="Q235" s="249">
        <v>95.87203302373581</v>
      </c>
      <c r="R235" s="249">
        <v>0</v>
      </c>
      <c r="S235" s="249">
        <v>0</v>
      </c>
      <c r="T235" s="249">
        <v>22.060808049535602</v>
      </c>
      <c r="U235" s="251">
        <v>281.50506329549364</v>
      </c>
      <c r="V235" s="247">
        <v>177.49493670450636</v>
      </c>
      <c r="W235" s="252">
        <v>177.49493670450636</v>
      </c>
      <c r="X235" s="136">
        <v>0.38669920850654982</v>
      </c>
    </row>
    <row r="236" spans="1:24" ht="18.75" x14ac:dyDescent="0.25">
      <c r="A236" s="258">
        <v>45811</v>
      </c>
      <c r="B236" s="131" t="s">
        <v>108</v>
      </c>
      <c r="C236" s="131" t="s">
        <v>18</v>
      </c>
      <c r="D236" s="131">
        <v>4</v>
      </c>
      <c r="E236" s="131">
        <v>100</v>
      </c>
      <c r="F236" s="131" t="s">
        <v>314</v>
      </c>
      <c r="G236" s="247">
        <v>459.9</v>
      </c>
      <c r="H236" s="247">
        <v>1839.6</v>
      </c>
      <c r="I236" s="247">
        <v>0</v>
      </c>
      <c r="J236" s="247">
        <v>591.91111111111104</v>
      </c>
      <c r="K236" s="247">
        <v>383.48813209494324</v>
      </c>
      <c r="L236" s="247">
        <v>0</v>
      </c>
      <c r="M236" s="247">
        <v>0</v>
      </c>
      <c r="N236" s="247">
        <v>88.243232198142408</v>
      </c>
      <c r="O236" s="249">
        <v>0</v>
      </c>
      <c r="P236" s="250">
        <v>147.97777777777776</v>
      </c>
      <c r="Q236" s="249">
        <v>95.87203302373581</v>
      </c>
      <c r="R236" s="249">
        <v>0</v>
      </c>
      <c r="S236" s="249">
        <v>0</v>
      </c>
      <c r="T236" s="249">
        <v>22.060808049535602</v>
      </c>
      <c r="U236" s="251">
        <v>1063.6424754041966</v>
      </c>
      <c r="V236" s="247">
        <v>775.95752459580331</v>
      </c>
      <c r="W236" s="252">
        <v>193.98938114895083</v>
      </c>
      <c r="X236" s="136">
        <v>0.42180774331148257</v>
      </c>
    </row>
    <row r="237" spans="1:24" ht="18.75" x14ac:dyDescent="0.25">
      <c r="A237" s="258">
        <v>45811</v>
      </c>
      <c r="B237" s="131" t="s">
        <v>108</v>
      </c>
      <c r="C237" s="131" t="s">
        <v>5</v>
      </c>
      <c r="D237" s="131">
        <v>1</v>
      </c>
      <c r="E237" s="131">
        <v>100</v>
      </c>
      <c r="F237" s="131" t="s">
        <v>365</v>
      </c>
      <c r="G237" s="247">
        <v>459.9</v>
      </c>
      <c r="H237" s="247">
        <v>459.9</v>
      </c>
      <c r="I237" s="247">
        <v>0</v>
      </c>
      <c r="J237" s="247">
        <v>163.57222222222222</v>
      </c>
      <c r="K237" s="247">
        <v>95.87203302373581</v>
      </c>
      <c r="L237" s="247">
        <v>98.366730279898221</v>
      </c>
      <c r="M237" s="247">
        <v>15.5</v>
      </c>
      <c r="N237" s="247">
        <v>22.060808049535602</v>
      </c>
      <c r="O237" s="249">
        <v>0</v>
      </c>
      <c r="P237" s="250">
        <v>163.57222222222222</v>
      </c>
      <c r="Q237" s="249">
        <v>95.87203302373581</v>
      </c>
      <c r="R237" s="249">
        <v>98.366730279898221</v>
      </c>
      <c r="S237" s="249">
        <v>15.5</v>
      </c>
      <c r="T237" s="249">
        <v>22.060808049535602</v>
      </c>
      <c r="U237" s="251">
        <v>395.37179357539185</v>
      </c>
      <c r="V237" s="247">
        <v>64.528206424608129</v>
      </c>
      <c r="W237" s="252">
        <v>64.528206424608129</v>
      </c>
      <c r="X237" s="136">
        <v>0.14030921162123969</v>
      </c>
    </row>
    <row r="238" spans="1:24" ht="18.75" x14ac:dyDescent="0.25">
      <c r="A238" s="258">
        <v>45811</v>
      </c>
      <c r="B238" s="131" t="s">
        <v>108</v>
      </c>
      <c r="C238" s="131" t="s">
        <v>10</v>
      </c>
      <c r="D238" s="131">
        <v>1</v>
      </c>
      <c r="E238" s="131">
        <v>140</v>
      </c>
      <c r="F238" s="131" t="s">
        <v>365</v>
      </c>
      <c r="G238" s="247">
        <v>459.9</v>
      </c>
      <c r="H238" s="247">
        <v>459.9</v>
      </c>
      <c r="I238" s="247">
        <v>0</v>
      </c>
      <c r="J238" s="247">
        <v>142.44444444444443</v>
      </c>
      <c r="K238" s="247">
        <v>95.87203302373581</v>
      </c>
      <c r="L238" s="247">
        <v>98.366730279898221</v>
      </c>
      <c r="M238" s="247">
        <v>15.5</v>
      </c>
      <c r="N238" s="247">
        <v>22.060808049535602</v>
      </c>
      <c r="O238" s="249">
        <v>0</v>
      </c>
      <c r="P238" s="250">
        <v>142.44444444444443</v>
      </c>
      <c r="Q238" s="249">
        <v>95.87203302373581</v>
      </c>
      <c r="R238" s="249">
        <v>98.366730279898221</v>
      </c>
      <c r="S238" s="249">
        <v>15.5</v>
      </c>
      <c r="T238" s="249">
        <v>22.060808049535602</v>
      </c>
      <c r="U238" s="251">
        <v>374.24401579761405</v>
      </c>
      <c r="V238" s="247">
        <v>85.655984202385923</v>
      </c>
      <c r="W238" s="252">
        <v>85.655984202385923</v>
      </c>
      <c r="X238" s="136">
        <v>0.18624915025524227</v>
      </c>
    </row>
    <row r="239" spans="1:24" ht="18.75" x14ac:dyDescent="0.25">
      <c r="A239" s="258">
        <v>45811</v>
      </c>
      <c r="B239" s="131" t="s">
        <v>108</v>
      </c>
      <c r="C239" s="131" t="s">
        <v>135</v>
      </c>
      <c r="D239" s="131">
        <v>1</v>
      </c>
      <c r="E239" s="131">
        <v>100</v>
      </c>
      <c r="F239" s="131" t="s">
        <v>341</v>
      </c>
      <c r="G239" s="247">
        <v>463.66</v>
      </c>
      <c r="H239" s="247">
        <v>463.66</v>
      </c>
      <c r="I239" s="247">
        <v>59.812140000000007</v>
      </c>
      <c r="J239" s="247">
        <v>131.74444444444444</v>
      </c>
      <c r="K239" s="247">
        <v>95.87203302373581</v>
      </c>
      <c r="L239" s="247">
        <v>98.366730279898221</v>
      </c>
      <c r="M239" s="247">
        <v>15.5</v>
      </c>
      <c r="N239" s="247">
        <v>22.060808049535602</v>
      </c>
      <c r="O239" s="249">
        <v>59.812140000000007</v>
      </c>
      <c r="P239" s="250">
        <v>131.74444444444444</v>
      </c>
      <c r="Q239" s="249">
        <v>95.87203302373581</v>
      </c>
      <c r="R239" s="249">
        <v>98.366730279898221</v>
      </c>
      <c r="S239" s="249">
        <v>15.5</v>
      </c>
      <c r="T239" s="249">
        <v>22.060808049535602</v>
      </c>
      <c r="U239" s="251">
        <v>423.35615579761406</v>
      </c>
      <c r="V239" s="247">
        <v>40.30384420238596</v>
      </c>
      <c r="W239" s="252">
        <v>40.30384420238596</v>
      </c>
      <c r="X239" s="136">
        <v>8.6925428551925893E-2</v>
      </c>
    </row>
    <row r="240" spans="1:24" ht="18.75" x14ac:dyDescent="0.25">
      <c r="A240" s="258">
        <v>45811</v>
      </c>
      <c r="B240" s="131" t="s">
        <v>108</v>
      </c>
      <c r="C240" s="131" t="s">
        <v>135</v>
      </c>
      <c r="D240" s="131">
        <v>1</v>
      </c>
      <c r="E240" s="131">
        <v>140</v>
      </c>
      <c r="F240" s="131" t="s">
        <v>314</v>
      </c>
      <c r="G240" s="247">
        <v>479</v>
      </c>
      <c r="H240" s="247">
        <v>479</v>
      </c>
      <c r="I240" s="247">
        <v>0</v>
      </c>
      <c r="J240" s="247">
        <v>150.94444444444443</v>
      </c>
      <c r="K240" s="247">
        <v>95.87203302373581</v>
      </c>
      <c r="L240" s="247">
        <v>0</v>
      </c>
      <c r="M240" s="247">
        <v>0</v>
      </c>
      <c r="N240" s="247">
        <v>22.060808049535602</v>
      </c>
      <c r="O240" s="249">
        <v>0</v>
      </c>
      <c r="P240" s="250">
        <v>150.94444444444443</v>
      </c>
      <c r="Q240" s="249">
        <v>95.87203302373581</v>
      </c>
      <c r="R240" s="249">
        <v>0</v>
      </c>
      <c r="S240" s="249">
        <v>0</v>
      </c>
      <c r="T240" s="249">
        <v>22.060808049535602</v>
      </c>
      <c r="U240" s="251">
        <v>268.87728551771585</v>
      </c>
      <c r="V240" s="247">
        <v>210.12271448228415</v>
      </c>
      <c r="W240" s="252">
        <v>210.12271448228415</v>
      </c>
      <c r="X240" s="136">
        <v>0.43866955006739905</v>
      </c>
    </row>
    <row r="241" spans="1:24" ht="18.75" x14ac:dyDescent="0.25">
      <c r="A241" s="258">
        <v>45811</v>
      </c>
      <c r="B241" s="131" t="s">
        <v>108</v>
      </c>
      <c r="C241" s="131" t="s">
        <v>135</v>
      </c>
      <c r="D241" s="131">
        <v>1</v>
      </c>
      <c r="E241" s="131">
        <v>140</v>
      </c>
      <c r="F241" s="131" t="s">
        <v>365</v>
      </c>
      <c r="G241" s="247">
        <v>479.9</v>
      </c>
      <c r="H241" s="247">
        <v>479.9</v>
      </c>
      <c r="I241" s="247">
        <v>0</v>
      </c>
      <c r="J241" s="247">
        <v>150.94444444444443</v>
      </c>
      <c r="K241" s="247">
        <v>95.87203302373581</v>
      </c>
      <c r="L241" s="247">
        <v>98.366730279898221</v>
      </c>
      <c r="M241" s="247">
        <v>15.5</v>
      </c>
      <c r="N241" s="247">
        <v>22.060808049535602</v>
      </c>
      <c r="O241" s="249">
        <v>0</v>
      </c>
      <c r="P241" s="250">
        <v>150.94444444444443</v>
      </c>
      <c r="Q241" s="249">
        <v>95.87203302373581</v>
      </c>
      <c r="R241" s="249">
        <v>98.366730279898221</v>
      </c>
      <c r="S241" s="249">
        <v>15.5</v>
      </c>
      <c r="T241" s="249">
        <v>22.060808049535602</v>
      </c>
      <c r="U241" s="251">
        <v>382.74401579761405</v>
      </c>
      <c r="V241" s="247">
        <v>97.155984202385923</v>
      </c>
      <c r="W241" s="252">
        <v>97.155984202385923</v>
      </c>
      <c r="X241" s="136">
        <v>0.2024504776044716</v>
      </c>
    </row>
    <row r="242" spans="1:24" ht="18.75" x14ac:dyDescent="0.25">
      <c r="A242" s="258">
        <v>45811</v>
      </c>
      <c r="B242" s="131" t="s">
        <v>108</v>
      </c>
      <c r="C242" s="131" t="s">
        <v>135</v>
      </c>
      <c r="D242" s="131">
        <v>1</v>
      </c>
      <c r="E242" s="131">
        <v>140</v>
      </c>
      <c r="F242" s="131" t="s">
        <v>314</v>
      </c>
      <c r="G242" s="247">
        <v>479.9</v>
      </c>
      <c r="H242" s="247">
        <v>479.9</v>
      </c>
      <c r="I242" s="247">
        <v>0</v>
      </c>
      <c r="J242" s="247">
        <v>150.94444444444443</v>
      </c>
      <c r="K242" s="247">
        <v>95.87203302373581</v>
      </c>
      <c r="L242" s="247">
        <v>0</v>
      </c>
      <c r="M242" s="247">
        <v>0</v>
      </c>
      <c r="N242" s="247">
        <v>22.060808049535602</v>
      </c>
      <c r="O242" s="249">
        <v>0</v>
      </c>
      <c r="P242" s="250">
        <v>150.94444444444443</v>
      </c>
      <c r="Q242" s="249">
        <v>95.87203302373581</v>
      </c>
      <c r="R242" s="249">
        <v>0</v>
      </c>
      <c r="S242" s="249">
        <v>0</v>
      </c>
      <c r="T242" s="249">
        <v>22.060808049535602</v>
      </c>
      <c r="U242" s="251">
        <v>268.87728551771585</v>
      </c>
      <c r="V242" s="247">
        <v>211.02271448228413</v>
      </c>
      <c r="W242" s="252">
        <v>211.02271448228413</v>
      </c>
      <c r="X242" s="136">
        <v>0.43972226397642039</v>
      </c>
    </row>
    <row r="243" spans="1:24" ht="18.75" x14ac:dyDescent="0.25">
      <c r="A243" s="258">
        <v>45811</v>
      </c>
      <c r="B243" s="131" t="s">
        <v>108</v>
      </c>
      <c r="C243" s="131" t="s">
        <v>6</v>
      </c>
      <c r="D243" s="131">
        <v>3</v>
      </c>
      <c r="E243" s="131">
        <v>100</v>
      </c>
      <c r="F243" s="131" t="s">
        <v>216</v>
      </c>
      <c r="G243" s="247">
        <v>494.9</v>
      </c>
      <c r="H243" s="247">
        <v>1484.7</v>
      </c>
      <c r="I243" s="247">
        <v>191.52630000000002</v>
      </c>
      <c r="J243" s="247">
        <v>374.23333333333335</v>
      </c>
      <c r="K243" s="247">
        <v>287.61609907120743</v>
      </c>
      <c r="L243" s="247">
        <v>295.10019083969468</v>
      </c>
      <c r="M243" s="247">
        <v>46.5</v>
      </c>
      <c r="N243" s="247">
        <v>66.182424148606799</v>
      </c>
      <c r="O243" s="249">
        <v>63.842100000000009</v>
      </c>
      <c r="P243" s="250">
        <v>124.74444444444444</v>
      </c>
      <c r="Q243" s="249">
        <v>95.87203302373581</v>
      </c>
      <c r="R243" s="249">
        <v>98.366730279898221</v>
      </c>
      <c r="S243" s="249">
        <v>15.5</v>
      </c>
      <c r="T243" s="249">
        <v>22.060808049535602</v>
      </c>
      <c r="U243" s="251">
        <v>1261.1583473928422</v>
      </c>
      <c r="V243" s="247">
        <v>223.54165260715786</v>
      </c>
      <c r="W243" s="252">
        <v>74.513884202385952</v>
      </c>
      <c r="X243" s="136">
        <v>0.15056351627073328</v>
      </c>
    </row>
    <row r="244" spans="1:24" ht="18.75" x14ac:dyDescent="0.25">
      <c r="A244" s="258">
        <v>45811</v>
      </c>
      <c r="B244" s="131" t="s">
        <v>108</v>
      </c>
      <c r="C244" s="131" t="s">
        <v>7</v>
      </c>
      <c r="D244" s="131">
        <v>24</v>
      </c>
      <c r="E244" s="131">
        <v>100</v>
      </c>
      <c r="F244" s="131" t="s">
        <v>216</v>
      </c>
      <c r="G244" s="247">
        <v>494.9</v>
      </c>
      <c r="H244" s="247">
        <v>11877.6</v>
      </c>
      <c r="I244" s="247">
        <v>1532.2104000000002</v>
      </c>
      <c r="J244" s="247">
        <v>2957.8666666666668</v>
      </c>
      <c r="K244" s="247">
        <v>2300.9287925696594</v>
      </c>
      <c r="L244" s="247">
        <v>2360.8015267175574</v>
      </c>
      <c r="M244" s="247">
        <v>372</v>
      </c>
      <c r="N244" s="247">
        <v>529.45939318885439</v>
      </c>
      <c r="O244" s="249">
        <v>63.842100000000009</v>
      </c>
      <c r="P244" s="250">
        <v>123.24444444444444</v>
      </c>
      <c r="Q244" s="249">
        <v>95.87203302373581</v>
      </c>
      <c r="R244" s="249">
        <v>98.366730279898221</v>
      </c>
      <c r="S244" s="249">
        <v>15.5</v>
      </c>
      <c r="T244" s="249">
        <v>22.060808049535602</v>
      </c>
      <c r="U244" s="251">
        <v>10053.266779142738</v>
      </c>
      <c r="V244" s="247">
        <v>1824.3332208572629</v>
      </c>
      <c r="W244" s="252">
        <v>76.013884202385952</v>
      </c>
      <c r="X244" s="136">
        <v>0.15359443160716488</v>
      </c>
    </row>
    <row r="245" spans="1:24" ht="18.75" x14ac:dyDescent="0.25">
      <c r="A245" s="258">
        <v>45811</v>
      </c>
      <c r="B245" s="131" t="s">
        <v>108</v>
      </c>
      <c r="C245" s="131" t="s">
        <v>6</v>
      </c>
      <c r="D245" s="131">
        <v>1</v>
      </c>
      <c r="E245" s="131">
        <v>200</v>
      </c>
      <c r="F245" s="131" t="s">
        <v>314</v>
      </c>
      <c r="G245" s="247">
        <v>499</v>
      </c>
      <c r="H245" s="247">
        <v>499</v>
      </c>
      <c r="I245" s="247">
        <v>0</v>
      </c>
      <c r="J245" s="247">
        <v>186.28888888888886</v>
      </c>
      <c r="K245" s="247">
        <v>95.87203302373581</v>
      </c>
      <c r="L245" s="247">
        <v>0</v>
      </c>
      <c r="M245" s="247">
        <v>0</v>
      </c>
      <c r="N245" s="247">
        <v>22.060808049535602</v>
      </c>
      <c r="O245" s="249">
        <v>0</v>
      </c>
      <c r="P245" s="250">
        <v>186.28888888888886</v>
      </c>
      <c r="Q245" s="249">
        <v>95.87203302373581</v>
      </c>
      <c r="R245" s="249">
        <v>0</v>
      </c>
      <c r="S245" s="249">
        <v>0</v>
      </c>
      <c r="T245" s="249">
        <v>22.060808049535602</v>
      </c>
      <c r="U245" s="251">
        <v>304.22172996216023</v>
      </c>
      <c r="V245" s="247">
        <v>194.77827003783977</v>
      </c>
      <c r="W245" s="252">
        <v>194.77827003783977</v>
      </c>
      <c r="X245" s="136">
        <v>0.39033721450468895</v>
      </c>
    </row>
    <row r="246" spans="1:24" ht="18.75" x14ac:dyDescent="0.25">
      <c r="A246" s="258">
        <v>45811</v>
      </c>
      <c r="B246" s="131" t="s">
        <v>108</v>
      </c>
      <c r="C246" s="131" t="s">
        <v>18</v>
      </c>
      <c r="D246" s="131">
        <v>2</v>
      </c>
      <c r="E246" s="131">
        <v>140</v>
      </c>
      <c r="F246" s="131" t="s">
        <v>314</v>
      </c>
      <c r="G246" s="247">
        <v>499</v>
      </c>
      <c r="H246" s="247">
        <v>998</v>
      </c>
      <c r="I246" s="247">
        <v>0</v>
      </c>
      <c r="J246" s="247">
        <v>334.3555555555555</v>
      </c>
      <c r="K246" s="247">
        <v>191.74406604747162</v>
      </c>
      <c r="L246" s="247">
        <v>0</v>
      </c>
      <c r="M246" s="247">
        <v>0</v>
      </c>
      <c r="N246" s="247">
        <v>44.121616099071204</v>
      </c>
      <c r="O246" s="249">
        <v>0</v>
      </c>
      <c r="P246" s="250">
        <v>167.17777777777775</v>
      </c>
      <c r="Q246" s="249">
        <v>95.87203302373581</v>
      </c>
      <c r="R246" s="249">
        <v>0</v>
      </c>
      <c r="S246" s="249">
        <v>0</v>
      </c>
      <c r="T246" s="249">
        <v>22.060808049535602</v>
      </c>
      <c r="U246" s="251">
        <v>570.22123770209828</v>
      </c>
      <c r="V246" s="247">
        <v>427.77876229790172</v>
      </c>
      <c r="W246" s="252">
        <v>213.88938114895086</v>
      </c>
      <c r="X246" s="136">
        <v>0.428636034366635</v>
      </c>
    </row>
    <row r="247" spans="1:24" ht="18.75" x14ac:dyDescent="0.25">
      <c r="A247" s="258">
        <v>45811</v>
      </c>
      <c r="B247" s="131" t="s">
        <v>108</v>
      </c>
      <c r="C247" s="131" t="s">
        <v>7</v>
      </c>
      <c r="D247" s="131">
        <v>1</v>
      </c>
      <c r="E247" s="131">
        <v>200</v>
      </c>
      <c r="F247" s="131" t="s">
        <v>314</v>
      </c>
      <c r="G247" s="247">
        <v>499</v>
      </c>
      <c r="H247" s="247">
        <v>499</v>
      </c>
      <c r="I247" s="247">
        <v>0</v>
      </c>
      <c r="J247" s="247">
        <v>184.78888888888886</v>
      </c>
      <c r="K247" s="247">
        <v>95.87203302373581</v>
      </c>
      <c r="L247" s="247">
        <v>0</v>
      </c>
      <c r="M247" s="247">
        <v>0</v>
      </c>
      <c r="N247" s="247">
        <v>22.060808049535602</v>
      </c>
      <c r="O247" s="249">
        <v>0</v>
      </c>
      <c r="P247" s="250">
        <v>184.78888888888886</v>
      </c>
      <c r="Q247" s="249">
        <v>95.87203302373581</v>
      </c>
      <c r="R247" s="249">
        <v>0</v>
      </c>
      <c r="S247" s="249">
        <v>0</v>
      </c>
      <c r="T247" s="249">
        <v>22.060808049535602</v>
      </c>
      <c r="U247" s="251">
        <v>302.72172996216023</v>
      </c>
      <c r="V247" s="247">
        <v>196.27827003783977</v>
      </c>
      <c r="W247" s="252">
        <v>196.27827003783977</v>
      </c>
      <c r="X247" s="136">
        <v>0.39334322652873704</v>
      </c>
    </row>
    <row r="248" spans="1:24" ht="18.75" x14ac:dyDescent="0.25">
      <c r="A248" s="258">
        <v>45811</v>
      </c>
      <c r="B248" s="131" t="s">
        <v>108</v>
      </c>
      <c r="C248" s="131" t="s">
        <v>7</v>
      </c>
      <c r="D248" s="131">
        <v>9</v>
      </c>
      <c r="E248" s="131">
        <v>200</v>
      </c>
      <c r="F248" s="131" t="s">
        <v>365</v>
      </c>
      <c r="G248" s="247">
        <v>499.9</v>
      </c>
      <c r="H248" s="247">
        <v>4499.1000000000004</v>
      </c>
      <c r="I248" s="247">
        <v>0</v>
      </c>
      <c r="J248" s="247">
        <v>1663.0999999999997</v>
      </c>
      <c r="K248" s="247">
        <v>862.84829721362235</v>
      </c>
      <c r="L248" s="247">
        <v>885.30057251908397</v>
      </c>
      <c r="M248" s="247">
        <v>139.5</v>
      </c>
      <c r="N248" s="247">
        <v>198.54727244582043</v>
      </c>
      <c r="O248" s="249">
        <v>0</v>
      </c>
      <c r="P248" s="250">
        <v>184.78888888888886</v>
      </c>
      <c r="Q248" s="249">
        <v>95.87203302373581</v>
      </c>
      <c r="R248" s="249">
        <v>98.366730279898221</v>
      </c>
      <c r="S248" s="249">
        <v>15.5</v>
      </c>
      <c r="T248" s="249">
        <v>22.060808049535602</v>
      </c>
      <c r="U248" s="251">
        <v>3749.2961421785258</v>
      </c>
      <c r="V248" s="247">
        <v>749.80385782147459</v>
      </c>
      <c r="W248" s="252">
        <v>83.311539757941617</v>
      </c>
      <c r="X248" s="136">
        <v>0.16665641079804272</v>
      </c>
    </row>
    <row r="249" spans="1:24" ht="18.75" x14ac:dyDescent="0.25">
      <c r="A249" s="258">
        <v>45811</v>
      </c>
      <c r="B249" s="131" t="s">
        <v>108</v>
      </c>
      <c r="C249" s="131" t="s">
        <v>135</v>
      </c>
      <c r="D249" s="131">
        <v>1</v>
      </c>
      <c r="E249" s="131">
        <v>100</v>
      </c>
      <c r="F249" s="131" t="s">
        <v>216</v>
      </c>
      <c r="G249" s="247">
        <v>506.9</v>
      </c>
      <c r="H249" s="247">
        <v>506.9</v>
      </c>
      <c r="I249" s="247">
        <v>65.390100000000004</v>
      </c>
      <c r="J249" s="247">
        <v>131.74444444444444</v>
      </c>
      <c r="K249" s="247">
        <v>95.87203302373581</v>
      </c>
      <c r="L249" s="247">
        <v>98.366730279898221</v>
      </c>
      <c r="M249" s="247">
        <v>15.5</v>
      </c>
      <c r="N249" s="247">
        <v>22.060808049535602</v>
      </c>
      <c r="O249" s="249">
        <v>65.390100000000004</v>
      </c>
      <c r="P249" s="250">
        <v>131.74444444444444</v>
      </c>
      <c r="Q249" s="249">
        <v>95.87203302373581</v>
      </c>
      <c r="R249" s="249">
        <v>98.366730279898221</v>
      </c>
      <c r="S249" s="249">
        <v>15.5</v>
      </c>
      <c r="T249" s="249">
        <v>22.060808049535602</v>
      </c>
      <c r="U249" s="251">
        <v>428.93411579761403</v>
      </c>
      <c r="V249" s="247">
        <v>77.965884202385951</v>
      </c>
      <c r="W249" s="252">
        <v>77.965884202385951</v>
      </c>
      <c r="X249" s="136">
        <v>0.15380920142510546</v>
      </c>
    </row>
    <row r="250" spans="1:24" ht="18.75" x14ac:dyDescent="0.25">
      <c r="A250" s="258">
        <v>45811</v>
      </c>
      <c r="B250" s="131" t="s">
        <v>108</v>
      </c>
      <c r="C250" s="131" t="s">
        <v>11</v>
      </c>
      <c r="D250" s="131">
        <v>1</v>
      </c>
      <c r="E250" s="131">
        <v>100</v>
      </c>
      <c r="F250" s="131" t="s">
        <v>216</v>
      </c>
      <c r="G250" s="247">
        <v>506.9</v>
      </c>
      <c r="H250" s="247">
        <v>506.9</v>
      </c>
      <c r="I250" s="247">
        <v>65.390100000000004</v>
      </c>
      <c r="J250" s="247">
        <v>126.24444444444444</v>
      </c>
      <c r="K250" s="247">
        <v>95.87203302373581</v>
      </c>
      <c r="L250" s="247">
        <v>98.366730279898221</v>
      </c>
      <c r="M250" s="247">
        <v>15.5</v>
      </c>
      <c r="N250" s="247">
        <v>22.060808049535602</v>
      </c>
      <c r="O250" s="249">
        <v>65.390100000000004</v>
      </c>
      <c r="P250" s="250">
        <v>126.24444444444444</v>
      </c>
      <c r="Q250" s="249">
        <v>95.87203302373581</v>
      </c>
      <c r="R250" s="249">
        <v>98.366730279898221</v>
      </c>
      <c r="S250" s="249">
        <v>15.5</v>
      </c>
      <c r="T250" s="249">
        <v>22.060808049535602</v>
      </c>
      <c r="U250" s="251">
        <v>423.43411579761403</v>
      </c>
      <c r="V250" s="247">
        <v>83.465884202385951</v>
      </c>
      <c r="W250" s="252">
        <v>83.465884202385951</v>
      </c>
      <c r="X250" s="136">
        <v>0.16465946774982435</v>
      </c>
    </row>
    <row r="251" spans="1:24" ht="18.75" x14ac:dyDescent="0.25">
      <c r="A251" s="258">
        <v>45811</v>
      </c>
      <c r="B251" s="131" t="s">
        <v>108</v>
      </c>
      <c r="C251" s="131" t="s">
        <v>5</v>
      </c>
      <c r="D251" s="131">
        <v>2</v>
      </c>
      <c r="E251" s="131">
        <v>140</v>
      </c>
      <c r="F251" s="131" t="s">
        <v>314</v>
      </c>
      <c r="G251" s="247">
        <v>519.9</v>
      </c>
      <c r="H251" s="247">
        <v>1039.8</v>
      </c>
      <c r="I251" s="247">
        <v>0</v>
      </c>
      <c r="J251" s="247">
        <v>365.54444444444442</v>
      </c>
      <c r="K251" s="247">
        <v>191.74406604747162</v>
      </c>
      <c r="L251" s="247">
        <v>0</v>
      </c>
      <c r="M251" s="247">
        <v>0</v>
      </c>
      <c r="N251" s="247">
        <v>44.121616099071204</v>
      </c>
      <c r="O251" s="249">
        <v>0</v>
      </c>
      <c r="P251" s="250">
        <v>182.77222222222221</v>
      </c>
      <c r="Q251" s="249">
        <v>95.87203302373581</v>
      </c>
      <c r="R251" s="249">
        <v>0</v>
      </c>
      <c r="S251" s="249">
        <v>0</v>
      </c>
      <c r="T251" s="249">
        <v>22.060808049535602</v>
      </c>
      <c r="U251" s="251">
        <v>601.41012659098715</v>
      </c>
      <c r="V251" s="247">
        <v>438.38987340901281</v>
      </c>
      <c r="W251" s="252">
        <v>219.1949367045064</v>
      </c>
      <c r="X251" s="136">
        <v>0.42160980324005848</v>
      </c>
    </row>
    <row r="252" spans="1:24" ht="18.75" x14ac:dyDescent="0.25">
      <c r="A252" s="258">
        <v>45811</v>
      </c>
      <c r="B252" s="131" t="s">
        <v>108</v>
      </c>
      <c r="C252" s="131" t="s">
        <v>6</v>
      </c>
      <c r="D252" s="131">
        <v>2</v>
      </c>
      <c r="E252" s="131">
        <v>100</v>
      </c>
      <c r="F252" s="131" t="s">
        <v>340</v>
      </c>
      <c r="G252" s="247">
        <v>524.9</v>
      </c>
      <c r="H252" s="247">
        <v>1049.8</v>
      </c>
      <c r="I252" s="247">
        <v>154.32059999999998</v>
      </c>
      <c r="J252" s="247">
        <v>249.48888888888888</v>
      </c>
      <c r="K252" s="247">
        <v>191.74406604747162</v>
      </c>
      <c r="L252" s="247">
        <v>196.73346055979644</v>
      </c>
      <c r="M252" s="247">
        <v>31</v>
      </c>
      <c r="N252" s="247">
        <v>44.121616099071204</v>
      </c>
      <c r="O252" s="249">
        <v>77.160299999999992</v>
      </c>
      <c r="P252" s="250">
        <v>124.74444444444444</v>
      </c>
      <c r="Q252" s="249">
        <v>95.87203302373581</v>
      </c>
      <c r="R252" s="249">
        <v>98.366730279898221</v>
      </c>
      <c r="S252" s="249">
        <v>15.5</v>
      </c>
      <c r="T252" s="249">
        <v>22.060808049535602</v>
      </c>
      <c r="U252" s="251">
        <v>867.40863159522803</v>
      </c>
      <c r="V252" s="247">
        <v>182.39136840477192</v>
      </c>
      <c r="W252" s="252">
        <v>91.195684202385962</v>
      </c>
      <c r="X252" s="136">
        <v>0.17373915832041525</v>
      </c>
    </row>
    <row r="253" spans="1:24" ht="18.75" x14ac:dyDescent="0.25">
      <c r="A253" s="258">
        <v>45811</v>
      </c>
      <c r="B253" s="131" t="s">
        <v>108</v>
      </c>
      <c r="C253" s="131" t="s">
        <v>6</v>
      </c>
      <c r="D253" s="131">
        <v>1</v>
      </c>
      <c r="E253" s="131">
        <v>100</v>
      </c>
      <c r="F253" s="131" t="s">
        <v>340</v>
      </c>
      <c r="G253" s="247">
        <v>524.9</v>
      </c>
      <c r="H253" s="247">
        <v>524.9</v>
      </c>
      <c r="I253" s="247">
        <v>77.160299999999992</v>
      </c>
      <c r="J253" s="247">
        <v>124.74444444444444</v>
      </c>
      <c r="K253" s="247">
        <v>95.87203302373581</v>
      </c>
      <c r="L253" s="247">
        <v>98.366730279898221</v>
      </c>
      <c r="M253" s="247">
        <v>15.5</v>
      </c>
      <c r="N253" s="247">
        <v>22.060808049535602</v>
      </c>
      <c r="O253" s="249">
        <v>77.160299999999992</v>
      </c>
      <c r="P253" s="250">
        <v>124.74444444444444</v>
      </c>
      <c r="Q253" s="249">
        <v>95.87203302373581</v>
      </c>
      <c r="R253" s="249">
        <v>98.366730279898221</v>
      </c>
      <c r="S253" s="249">
        <v>15.5</v>
      </c>
      <c r="T253" s="249">
        <v>22.060808049535602</v>
      </c>
      <c r="U253" s="251">
        <v>433.70431579761402</v>
      </c>
      <c r="V253" s="247">
        <v>91.195684202385962</v>
      </c>
      <c r="W253" s="252">
        <v>91.195684202385962</v>
      </c>
      <c r="X253" s="136">
        <v>0.17373915832041525</v>
      </c>
    </row>
    <row r="254" spans="1:24" ht="18.75" x14ac:dyDescent="0.25">
      <c r="A254" s="258">
        <v>45811</v>
      </c>
      <c r="B254" s="131" t="s">
        <v>108</v>
      </c>
      <c r="C254" s="131" t="s">
        <v>7</v>
      </c>
      <c r="D254" s="131">
        <v>20</v>
      </c>
      <c r="E254" s="131">
        <v>100</v>
      </c>
      <c r="F254" s="131" t="s">
        <v>340</v>
      </c>
      <c r="G254" s="247">
        <v>524.9</v>
      </c>
      <c r="H254" s="247">
        <v>10498</v>
      </c>
      <c r="I254" s="247">
        <v>1543.2059999999999</v>
      </c>
      <c r="J254" s="247">
        <v>2464.8888888888887</v>
      </c>
      <c r="K254" s="247">
        <v>1917.4406604747162</v>
      </c>
      <c r="L254" s="247">
        <v>1967.3346055979644</v>
      </c>
      <c r="M254" s="247">
        <v>310</v>
      </c>
      <c r="N254" s="247">
        <v>441.21616099071207</v>
      </c>
      <c r="O254" s="249">
        <v>77.160299999999992</v>
      </c>
      <c r="P254" s="250">
        <v>123.24444444444444</v>
      </c>
      <c r="Q254" s="249">
        <v>95.87203302373581</v>
      </c>
      <c r="R254" s="249">
        <v>98.366730279898221</v>
      </c>
      <c r="S254" s="249">
        <v>15.5</v>
      </c>
      <c r="T254" s="249">
        <v>22.060808049535602</v>
      </c>
      <c r="U254" s="251">
        <v>8644.0863159522796</v>
      </c>
      <c r="V254" s="247">
        <v>1853.9136840477204</v>
      </c>
      <c r="W254" s="252">
        <v>92.695684202386019</v>
      </c>
      <c r="X254" s="136">
        <v>0.17659684549892554</v>
      </c>
    </row>
    <row r="255" spans="1:24" ht="18.75" x14ac:dyDescent="0.25">
      <c r="A255" s="258">
        <v>45811</v>
      </c>
      <c r="B255" s="131" t="s">
        <v>108</v>
      </c>
      <c r="C255" s="131" t="s">
        <v>7</v>
      </c>
      <c r="D255" s="131">
        <v>10</v>
      </c>
      <c r="E255" s="131">
        <v>100</v>
      </c>
      <c r="F255" s="131" t="s">
        <v>340</v>
      </c>
      <c r="G255" s="247">
        <v>524.9</v>
      </c>
      <c r="H255" s="247">
        <v>5249</v>
      </c>
      <c r="I255" s="247">
        <v>771.60299999999995</v>
      </c>
      <c r="J255" s="247">
        <v>1232.4444444444443</v>
      </c>
      <c r="K255" s="247">
        <v>958.7203302373581</v>
      </c>
      <c r="L255" s="247">
        <v>983.66730279898218</v>
      </c>
      <c r="M255" s="247">
        <v>155</v>
      </c>
      <c r="N255" s="247">
        <v>220.60808049535603</v>
      </c>
      <c r="O255" s="249">
        <v>77.160299999999992</v>
      </c>
      <c r="P255" s="250">
        <v>123.24444444444444</v>
      </c>
      <c r="Q255" s="249">
        <v>95.87203302373581</v>
      </c>
      <c r="R255" s="249">
        <v>98.366730279898221</v>
      </c>
      <c r="S255" s="249">
        <v>15.5</v>
      </c>
      <c r="T255" s="249">
        <v>22.060808049535602</v>
      </c>
      <c r="U255" s="251">
        <v>4322.0431579761398</v>
      </c>
      <c r="V255" s="247">
        <v>926.95684202386019</v>
      </c>
      <c r="W255" s="252">
        <v>92.695684202386019</v>
      </c>
      <c r="X255" s="136">
        <v>0.17659684549892554</v>
      </c>
    </row>
    <row r="256" spans="1:24" ht="18.75" x14ac:dyDescent="0.25">
      <c r="A256" s="258">
        <v>45811</v>
      </c>
      <c r="B256" s="131" t="s">
        <v>108</v>
      </c>
      <c r="C256" s="131" t="s">
        <v>10</v>
      </c>
      <c r="D256" s="131">
        <v>1</v>
      </c>
      <c r="E256" s="131">
        <v>100</v>
      </c>
      <c r="F256" s="131" t="s">
        <v>100</v>
      </c>
      <c r="G256" s="247">
        <v>529.9</v>
      </c>
      <c r="H256" s="247">
        <v>529.9</v>
      </c>
      <c r="I256" s="247">
        <v>47.690999999999995</v>
      </c>
      <c r="J256" s="247">
        <v>123.24444444444444</v>
      </c>
      <c r="K256" s="247">
        <v>95.87203302373581</v>
      </c>
      <c r="L256" s="247">
        <v>98.366730279898221</v>
      </c>
      <c r="M256" s="247">
        <v>15.5</v>
      </c>
      <c r="N256" s="247">
        <v>22.060808049535602</v>
      </c>
      <c r="O256" s="249">
        <v>47.690999999999995</v>
      </c>
      <c r="P256" s="250">
        <v>123.24444444444444</v>
      </c>
      <c r="Q256" s="249">
        <v>95.87203302373581</v>
      </c>
      <c r="R256" s="249">
        <v>98.366730279898221</v>
      </c>
      <c r="S256" s="249">
        <v>15.5</v>
      </c>
      <c r="T256" s="249">
        <v>22.060808049535602</v>
      </c>
      <c r="U256" s="251">
        <v>402.73501579761404</v>
      </c>
      <c r="V256" s="247">
        <v>127.16498420238594</v>
      </c>
      <c r="W256" s="252">
        <v>127.16498420238594</v>
      </c>
      <c r="X256" s="136">
        <v>0.23997921155385157</v>
      </c>
    </row>
    <row r="257" spans="1:24" ht="18.75" x14ac:dyDescent="0.25">
      <c r="A257" s="258">
        <v>45811</v>
      </c>
      <c r="B257" s="131" t="s">
        <v>108</v>
      </c>
      <c r="C257" s="131" t="s">
        <v>6</v>
      </c>
      <c r="D257" s="131">
        <v>1</v>
      </c>
      <c r="E257" s="131">
        <v>100</v>
      </c>
      <c r="F257" s="131" t="s">
        <v>100</v>
      </c>
      <c r="G257" s="247">
        <v>529.9</v>
      </c>
      <c r="H257" s="247">
        <v>529.9</v>
      </c>
      <c r="I257" s="247">
        <v>47.690999999999995</v>
      </c>
      <c r="J257" s="247">
        <v>124.74444444444444</v>
      </c>
      <c r="K257" s="247">
        <v>95.87203302373581</v>
      </c>
      <c r="L257" s="247">
        <v>98.366730279898221</v>
      </c>
      <c r="M257" s="247">
        <v>15.5</v>
      </c>
      <c r="N257" s="247">
        <v>22.060808049535602</v>
      </c>
      <c r="O257" s="249">
        <v>47.690999999999995</v>
      </c>
      <c r="P257" s="250">
        <v>124.74444444444444</v>
      </c>
      <c r="Q257" s="249">
        <v>95.87203302373581</v>
      </c>
      <c r="R257" s="249">
        <v>98.366730279898221</v>
      </c>
      <c r="S257" s="249">
        <v>15.5</v>
      </c>
      <c r="T257" s="249">
        <v>22.060808049535602</v>
      </c>
      <c r="U257" s="251">
        <v>404.23501579761404</v>
      </c>
      <c r="V257" s="247">
        <v>125.66498420238594</v>
      </c>
      <c r="W257" s="252">
        <v>125.66498420238594</v>
      </c>
      <c r="X257" s="136">
        <v>0.23714848877596895</v>
      </c>
    </row>
    <row r="258" spans="1:24" ht="18.75" x14ac:dyDescent="0.25">
      <c r="A258" s="258">
        <v>45811</v>
      </c>
      <c r="B258" s="131" t="s">
        <v>108</v>
      </c>
      <c r="C258" s="131" t="s">
        <v>7</v>
      </c>
      <c r="D258" s="131">
        <v>1</v>
      </c>
      <c r="E258" s="131">
        <v>100</v>
      </c>
      <c r="F258" s="131" t="s">
        <v>100</v>
      </c>
      <c r="G258" s="247">
        <v>529.9</v>
      </c>
      <c r="H258" s="247">
        <v>529.9</v>
      </c>
      <c r="I258" s="247">
        <v>47.690999999999995</v>
      </c>
      <c r="J258" s="247">
        <v>123.24444444444444</v>
      </c>
      <c r="K258" s="247">
        <v>95.87203302373581</v>
      </c>
      <c r="L258" s="247">
        <v>98.366730279898221</v>
      </c>
      <c r="M258" s="247">
        <v>15.5</v>
      </c>
      <c r="N258" s="247">
        <v>22.060808049535602</v>
      </c>
      <c r="O258" s="249">
        <v>47.690999999999995</v>
      </c>
      <c r="P258" s="250">
        <v>123.24444444444444</v>
      </c>
      <c r="Q258" s="249">
        <v>95.87203302373581</v>
      </c>
      <c r="R258" s="249">
        <v>98.366730279898221</v>
      </c>
      <c r="S258" s="249">
        <v>15.5</v>
      </c>
      <c r="T258" s="249">
        <v>22.060808049535602</v>
      </c>
      <c r="U258" s="251">
        <v>402.73501579761404</v>
      </c>
      <c r="V258" s="247">
        <v>127.16498420238594</v>
      </c>
      <c r="W258" s="252">
        <v>127.16498420238594</v>
      </c>
      <c r="X258" s="136">
        <v>0.23997921155385157</v>
      </c>
    </row>
    <row r="259" spans="1:24" ht="18.75" x14ac:dyDescent="0.25">
      <c r="A259" s="258">
        <v>45811</v>
      </c>
      <c r="B259" s="131" t="s">
        <v>108</v>
      </c>
      <c r="C259" s="131" t="s">
        <v>9</v>
      </c>
      <c r="D259" s="131">
        <v>1</v>
      </c>
      <c r="E259" s="131">
        <v>100</v>
      </c>
      <c r="F259" s="131" t="s">
        <v>100</v>
      </c>
      <c r="G259" s="247">
        <v>529.9</v>
      </c>
      <c r="H259" s="247">
        <v>529.9</v>
      </c>
      <c r="I259" s="247">
        <v>47.690999999999995</v>
      </c>
      <c r="J259" s="247">
        <v>124.74444444444444</v>
      </c>
      <c r="K259" s="247">
        <v>95.87203302373581</v>
      </c>
      <c r="L259" s="247">
        <v>98.366730279898221</v>
      </c>
      <c r="M259" s="247">
        <v>15.5</v>
      </c>
      <c r="N259" s="247">
        <v>22.060808049535602</v>
      </c>
      <c r="O259" s="249">
        <v>47.690999999999995</v>
      </c>
      <c r="P259" s="250">
        <v>124.74444444444444</v>
      </c>
      <c r="Q259" s="249">
        <v>95.87203302373581</v>
      </c>
      <c r="R259" s="249">
        <v>98.366730279898221</v>
      </c>
      <c r="S259" s="249">
        <v>15.5</v>
      </c>
      <c r="T259" s="249">
        <v>22.060808049535602</v>
      </c>
      <c r="U259" s="251">
        <v>404.23501579761404</v>
      </c>
      <c r="V259" s="247">
        <v>125.66498420238594</v>
      </c>
      <c r="W259" s="252">
        <v>125.66498420238594</v>
      </c>
      <c r="X259" s="136">
        <v>0.23714848877596895</v>
      </c>
    </row>
    <row r="260" spans="1:24" ht="18.75" x14ac:dyDescent="0.25">
      <c r="A260" s="258">
        <v>45811</v>
      </c>
      <c r="B260" s="131" t="s">
        <v>108</v>
      </c>
      <c r="C260" s="131" t="s">
        <v>6</v>
      </c>
      <c r="D260" s="131">
        <v>1</v>
      </c>
      <c r="E260" s="131">
        <v>100</v>
      </c>
      <c r="F260" s="131" t="s">
        <v>100</v>
      </c>
      <c r="G260" s="247">
        <v>529.9</v>
      </c>
      <c r="H260" s="247">
        <v>529.9</v>
      </c>
      <c r="I260" s="247">
        <v>47.690999999999995</v>
      </c>
      <c r="J260" s="247">
        <v>124.74444444444444</v>
      </c>
      <c r="K260" s="247">
        <v>95.87203302373581</v>
      </c>
      <c r="L260" s="247">
        <v>98.366730279898221</v>
      </c>
      <c r="M260" s="247">
        <v>15.5</v>
      </c>
      <c r="N260" s="247">
        <v>22.060808049535602</v>
      </c>
      <c r="O260" s="249">
        <v>47.690999999999995</v>
      </c>
      <c r="P260" s="250">
        <v>124.74444444444444</v>
      </c>
      <c r="Q260" s="249">
        <v>95.87203302373581</v>
      </c>
      <c r="R260" s="249">
        <v>98.366730279898221</v>
      </c>
      <c r="S260" s="249">
        <v>15.5</v>
      </c>
      <c r="T260" s="249">
        <v>22.060808049535602</v>
      </c>
      <c r="U260" s="251">
        <v>404.23501579761404</v>
      </c>
      <c r="V260" s="247">
        <v>125.66498420238594</v>
      </c>
      <c r="W260" s="252">
        <v>125.66498420238594</v>
      </c>
      <c r="X260" s="136">
        <v>0.23714848877596895</v>
      </c>
    </row>
    <row r="261" spans="1:24" ht="18.75" x14ac:dyDescent="0.25">
      <c r="A261" s="258">
        <v>45811</v>
      </c>
      <c r="B261" s="131" t="s">
        <v>108</v>
      </c>
      <c r="C261" s="131" t="s">
        <v>7</v>
      </c>
      <c r="D261" s="131">
        <v>18</v>
      </c>
      <c r="E261" s="131">
        <v>100</v>
      </c>
      <c r="F261" s="131" t="s">
        <v>100</v>
      </c>
      <c r="G261" s="247">
        <v>529.9</v>
      </c>
      <c r="H261" s="247">
        <v>9538.2000000000007</v>
      </c>
      <c r="I261" s="247">
        <v>858.4380000000001</v>
      </c>
      <c r="J261" s="247">
        <v>2218.4</v>
      </c>
      <c r="K261" s="247">
        <v>1725.6965944272447</v>
      </c>
      <c r="L261" s="247">
        <v>1770.6011450381679</v>
      </c>
      <c r="M261" s="247">
        <v>279</v>
      </c>
      <c r="N261" s="247">
        <v>397.09454489164085</v>
      </c>
      <c r="O261" s="249">
        <v>47.691000000000003</v>
      </c>
      <c r="P261" s="250">
        <v>123.24444444444444</v>
      </c>
      <c r="Q261" s="249">
        <v>95.87203302373581</v>
      </c>
      <c r="R261" s="249">
        <v>98.366730279898221</v>
      </c>
      <c r="S261" s="249">
        <v>15.5</v>
      </c>
      <c r="T261" s="249">
        <v>22.060808049535602</v>
      </c>
      <c r="U261" s="251">
        <v>7249.2302843570524</v>
      </c>
      <c r="V261" s="247">
        <v>2288.9697156429484</v>
      </c>
      <c r="W261" s="252">
        <v>127.16498420238602</v>
      </c>
      <c r="X261" s="136">
        <v>0.23997921155385157</v>
      </c>
    </row>
    <row r="262" spans="1:24" ht="18.75" x14ac:dyDescent="0.25">
      <c r="A262" s="258">
        <v>45811</v>
      </c>
      <c r="B262" s="131" t="s">
        <v>108</v>
      </c>
      <c r="C262" s="131" t="s">
        <v>7</v>
      </c>
      <c r="D262" s="131">
        <v>1</v>
      </c>
      <c r="E262" s="131">
        <v>100</v>
      </c>
      <c r="F262" s="131" t="s">
        <v>340</v>
      </c>
      <c r="G262" s="247">
        <v>531.9</v>
      </c>
      <c r="H262" s="247">
        <v>531.9</v>
      </c>
      <c r="I262" s="247">
        <v>78.189299999999989</v>
      </c>
      <c r="J262" s="247">
        <v>123.24444444444444</v>
      </c>
      <c r="K262" s="247">
        <v>95.87203302373581</v>
      </c>
      <c r="L262" s="247">
        <v>98.366730279898221</v>
      </c>
      <c r="M262" s="247">
        <v>15.5</v>
      </c>
      <c r="N262" s="247">
        <v>22.060808049535602</v>
      </c>
      <c r="O262" s="249">
        <v>78.189299999999989</v>
      </c>
      <c r="P262" s="250">
        <v>123.24444444444444</v>
      </c>
      <c r="Q262" s="249">
        <v>95.87203302373581</v>
      </c>
      <c r="R262" s="249">
        <v>98.366730279898221</v>
      </c>
      <c r="S262" s="249">
        <v>15.5</v>
      </c>
      <c r="T262" s="249">
        <v>22.060808049535602</v>
      </c>
      <c r="U262" s="251">
        <v>433.23331579761401</v>
      </c>
      <c r="V262" s="247">
        <v>98.666684202385966</v>
      </c>
      <c r="W262" s="252">
        <v>98.666684202385966</v>
      </c>
      <c r="X262" s="136">
        <v>0.18549856026017292</v>
      </c>
    </row>
    <row r="263" spans="1:24" ht="18.75" x14ac:dyDescent="0.25">
      <c r="A263" s="258">
        <v>45811</v>
      </c>
      <c r="B263" s="131" t="s">
        <v>108</v>
      </c>
      <c r="C263" s="131" t="s">
        <v>9</v>
      </c>
      <c r="D263" s="131">
        <v>1</v>
      </c>
      <c r="E263" s="131">
        <v>100</v>
      </c>
      <c r="F263" s="131" t="s">
        <v>340</v>
      </c>
      <c r="G263" s="247">
        <v>534.9</v>
      </c>
      <c r="H263" s="247">
        <v>534.9</v>
      </c>
      <c r="I263" s="247">
        <v>78.630299999999991</v>
      </c>
      <c r="J263" s="247">
        <v>124.74444444444444</v>
      </c>
      <c r="K263" s="247">
        <v>95.87203302373581</v>
      </c>
      <c r="L263" s="247">
        <v>98.366730279898221</v>
      </c>
      <c r="M263" s="247">
        <v>15.5</v>
      </c>
      <c r="N263" s="247">
        <v>22.060808049535602</v>
      </c>
      <c r="O263" s="249">
        <v>78.630299999999991</v>
      </c>
      <c r="P263" s="250">
        <v>124.74444444444444</v>
      </c>
      <c r="Q263" s="249">
        <v>95.87203302373581</v>
      </c>
      <c r="R263" s="249">
        <v>98.366730279898221</v>
      </c>
      <c r="S263" s="249">
        <v>15.5</v>
      </c>
      <c r="T263" s="249">
        <v>22.060808049535602</v>
      </c>
      <c r="U263" s="251">
        <v>435.17431579761404</v>
      </c>
      <c r="V263" s="247">
        <v>99.725684202385935</v>
      </c>
      <c r="W263" s="252">
        <v>99.725684202385935</v>
      </c>
      <c r="X263" s="136">
        <v>0.18643799626544388</v>
      </c>
    </row>
    <row r="264" spans="1:24" ht="18.75" x14ac:dyDescent="0.25">
      <c r="A264" s="258">
        <v>45811</v>
      </c>
      <c r="B264" s="131" t="s">
        <v>108</v>
      </c>
      <c r="C264" s="131" t="s">
        <v>135</v>
      </c>
      <c r="D264" s="131">
        <v>3</v>
      </c>
      <c r="E264" s="131">
        <v>100</v>
      </c>
      <c r="F264" s="131" t="s">
        <v>340</v>
      </c>
      <c r="G264" s="247">
        <v>534.9</v>
      </c>
      <c r="H264" s="247">
        <v>1604.7</v>
      </c>
      <c r="I264" s="247">
        <v>235.89089999999999</v>
      </c>
      <c r="J264" s="247">
        <v>395.23333333333335</v>
      </c>
      <c r="K264" s="247">
        <v>287.61609907120743</v>
      </c>
      <c r="L264" s="247">
        <v>295.10019083969468</v>
      </c>
      <c r="M264" s="247">
        <v>46.5</v>
      </c>
      <c r="N264" s="247">
        <v>66.182424148606799</v>
      </c>
      <c r="O264" s="249">
        <v>78.630299999999991</v>
      </c>
      <c r="P264" s="250">
        <v>131.74444444444444</v>
      </c>
      <c r="Q264" s="249">
        <v>95.87203302373581</v>
      </c>
      <c r="R264" s="249">
        <v>98.366730279898221</v>
      </c>
      <c r="S264" s="249">
        <v>15.5</v>
      </c>
      <c r="T264" s="249">
        <v>22.060808049535602</v>
      </c>
      <c r="U264" s="251">
        <v>1326.5229473928421</v>
      </c>
      <c r="V264" s="247">
        <v>278.17705260715798</v>
      </c>
      <c r="W264" s="252">
        <v>92.725684202385992</v>
      </c>
      <c r="X264" s="136">
        <v>0.17335143803025974</v>
      </c>
    </row>
    <row r="265" spans="1:24" ht="18.75" x14ac:dyDescent="0.25">
      <c r="A265" s="258">
        <v>45811</v>
      </c>
      <c r="B265" s="131" t="s">
        <v>108</v>
      </c>
      <c r="C265" s="131" t="s">
        <v>11</v>
      </c>
      <c r="D265" s="131">
        <v>5</v>
      </c>
      <c r="E265" s="131">
        <v>100</v>
      </c>
      <c r="F265" s="131" t="s">
        <v>340</v>
      </c>
      <c r="G265" s="247">
        <v>534.9</v>
      </c>
      <c r="H265" s="247">
        <v>2674.5</v>
      </c>
      <c r="I265" s="247">
        <v>393.15150000000006</v>
      </c>
      <c r="J265" s="247">
        <v>631.22222222222217</v>
      </c>
      <c r="K265" s="247">
        <v>479.36016511867905</v>
      </c>
      <c r="L265" s="247">
        <v>491.83365139949109</v>
      </c>
      <c r="M265" s="247">
        <v>77.5</v>
      </c>
      <c r="N265" s="247">
        <v>110.30404024767802</v>
      </c>
      <c r="O265" s="249">
        <v>78.630300000000005</v>
      </c>
      <c r="P265" s="250">
        <v>126.24444444444444</v>
      </c>
      <c r="Q265" s="249">
        <v>95.87203302373581</v>
      </c>
      <c r="R265" s="249">
        <v>98.366730279898221</v>
      </c>
      <c r="S265" s="249">
        <v>15.5</v>
      </c>
      <c r="T265" s="249">
        <v>22.060808049535602</v>
      </c>
      <c r="U265" s="251">
        <v>2183.3715789880703</v>
      </c>
      <c r="V265" s="247">
        <v>491.12842101192973</v>
      </c>
      <c r="W265" s="252">
        <v>98.225684202385949</v>
      </c>
      <c r="X265" s="136">
        <v>0.18363373378647585</v>
      </c>
    </row>
    <row r="266" spans="1:24" ht="18.75" x14ac:dyDescent="0.25">
      <c r="A266" s="258">
        <v>45811</v>
      </c>
      <c r="B266" s="131" t="s">
        <v>108</v>
      </c>
      <c r="C266" s="131" t="s">
        <v>10</v>
      </c>
      <c r="D266" s="131">
        <v>1</v>
      </c>
      <c r="E266" s="131">
        <v>100</v>
      </c>
      <c r="F266" s="131" t="s">
        <v>340</v>
      </c>
      <c r="G266" s="247">
        <v>534.9</v>
      </c>
      <c r="H266" s="247">
        <v>534.9</v>
      </c>
      <c r="I266" s="247">
        <v>78.630299999999991</v>
      </c>
      <c r="J266" s="247">
        <v>123.24444444444444</v>
      </c>
      <c r="K266" s="247">
        <v>95.87203302373581</v>
      </c>
      <c r="L266" s="247">
        <v>98.366730279898221</v>
      </c>
      <c r="M266" s="247">
        <v>15.5</v>
      </c>
      <c r="N266" s="247">
        <v>22.060808049535602</v>
      </c>
      <c r="O266" s="249">
        <v>78.630299999999991</v>
      </c>
      <c r="P266" s="250">
        <v>123.24444444444444</v>
      </c>
      <c r="Q266" s="249">
        <v>95.87203302373581</v>
      </c>
      <c r="R266" s="249">
        <v>98.366730279898221</v>
      </c>
      <c r="S266" s="249">
        <v>15.5</v>
      </c>
      <c r="T266" s="249">
        <v>22.060808049535602</v>
      </c>
      <c r="U266" s="251">
        <v>433.67431579761404</v>
      </c>
      <c r="V266" s="247">
        <v>101.22568420238593</v>
      </c>
      <c r="W266" s="252">
        <v>101.22568420238593</v>
      </c>
      <c r="X266" s="136">
        <v>0.18924225874441192</v>
      </c>
    </row>
    <row r="267" spans="1:24" ht="18.75" x14ac:dyDescent="0.25">
      <c r="A267" s="258">
        <v>45811</v>
      </c>
      <c r="B267" s="131" t="s">
        <v>108</v>
      </c>
      <c r="C267" s="131" t="s">
        <v>7</v>
      </c>
      <c r="D267" s="131">
        <v>1</v>
      </c>
      <c r="E267" s="131">
        <v>100</v>
      </c>
      <c r="F267" s="131" t="s">
        <v>340</v>
      </c>
      <c r="G267" s="247">
        <v>534.9</v>
      </c>
      <c r="H267" s="247">
        <v>534.9</v>
      </c>
      <c r="I267" s="247">
        <v>78.630299999999991</v>
      </c>
      <c r="J267" s="247">
        <v>123.24444444444444</v>
      </c>
      <c r="K267" s="247">
        <v>95.87203302373581</v>
      </c>
      <c r="L267" s="247">
        <v>98.366730279898221</v>
      </c>
      <c r="M267" s="247">
        <v>15.5</v>
      </c>
      <c r="N267" s="247">
        <v>22.060808049535602</v>
      </c>
      <c r="O267" s="249">
        <v>78.630299999999991</v>
      </c>
      <c r="P267" s="250">
        <v>123.24444444444444</v>
      </c>
      <c r="Q267" s="249">
        <v>95.87203302373581</v>
      </c>
      <c r="R267" s="249">
        <v>98.366730279898221</v>
      </c>
      <c r="S267" s="249">
        <v>15.5</v>
      </c>
      <c r="T267" s="249">
        <v>22.060808049535602</v>
      </c>
      <c r="U267" s="251">
        <v>433.67431579761404</v>
      </c>
      <c r="V267" s="247">
        <v>101.22568420238593</v>
      </c>
      <c r="W267" s="252">
        <v>101.22568420238593</v>
      </c>
      <c r="X267" s="136">
        <v>0.18924225874441192</v>
      </c>
    </row>
    <row r="268" spans="1:24" ht="18.75" x14ac:dyDescent="0.25">
      <c r="A268" s="258">
        <v>45811</v>
      </c>
      <c r="B268" s="131" t="s">
        <v>108</v>
      </c>
      <c r="C268" s="131" t="s">
        <v>135</v>
      </c>
      <c r="D268" s="131">
        <v>1</v>
      </c>
      <c r="E268" s="131">
        <v>100</v>
      </c>
      <c r="F268" s="131" t="s">
        <v>340</v>
      </c>
      <c r="G268" s="247">
        <v>534.9</v>
      </c>
      <c r="H268" s="247">
        <v>534.9</v>
      </c>
      <c r="I268" s="247">
        <v>78.630299999999991</v>
      </c>
      <c r="J268" s="247">
        <v>131.74444444444444</v>
      </c>
      <c r="K268" s="247">
        <v>95.87203302373581</v>
      </c>
      <c r="L268" s="247">
        <v>98.366730279898221</v>
      </c>
      <c r="M268" s="247">
        <v>15.5</v>
      </c>
      <c r="N268" s="247">
        <v>22.060808049535602</v>
      </c>
      <c r="O268" s="249">
        <v>78.630299999999991</v>
      </c>
      <c r="P268" s="250">
        <v>131.74444444444444</v>
      </c>
      <c r="Q268" s="249">
        <v>95.87203302373581</v>
      </c>
      <c r="R268" s="249">
        <v>98.366730279898221</v>
      </c>
      <c r="S268" s="249">
        <v>15.5</v>
      </c>
      <c r="T268" s="249">
        <v>22.060808049535602</v>
      </c>
      <c r="U268" s="251">
        <v>442.17431579761404</v>
      </c>
      <c r="V268" s="247">
        <v>92.725684202385935</v>
      </c>
      <c r="W268" s="252">
        <v>92.725684202385935</v>
      </c>
      <c r="X268" s="136">
        <v>0.17335143803025974</v>
      </c>
    </row>
    <row r="269" spans="1:24" ht="18.75" x14ac:dyDescent="0.25">
      <c r="A269" s="258">
        <v>45811</v>
      </c>
      <c r="B269" s="131" t="s">
        <v>108</v>
      </c>
      <c r="C269" s="131" t="s">
        <v>11</v>
      </c>
      <c r="D269" s="131">
        <v>1</v>
      </c>
      <c r="E269" s="131">
        <v>100</v>
      </c>
      <c r="F269" s="131" t="s">
        <v>100</v>
      </c>
      <c r="G269" s="247">
        <v>539.9</v>
      </c>
      <c r="H269" s="247">
        <v>539.9</v>
      </c>
      <c r="I269" s="247">
        <v>48.590999999999994</v>
      </c>
      <c r="J269" s="247">
        <v>126.24444444444444</v>
      </c>
      <c r="K269" s="247">
        <v>95.87203302373581</v>
      </c>
      <c r="L269" s="247">
        <v>98.366730279898221</v>
      </c>
      <c r="M269" s="247">
        <v>15.5</v>
      </c>
      <c r="N269" s="247">
        <v>22.060808049535602</v>
      </c>
      <c r="O269" s="249">
        <v>48.590999999999994</v>
      </c>
      <c r="P269" s="250">
        <v>126.24444444444444</v>
      </c>
      <c r="Q269" s="249">
        <v>95.87203302373581</v>
      </c>
      <c r="R269" s="249">
        <v>98.366730279898221</v>
      </c>
      <c r="S269" s="249">
        <v>15.5</v>
      </c>
      <c r="T269" s="249">
        <v>22.060808049535602</v>
      </c>
      <c r="U269" s="251">
        <v>406.63501579761402</v>
      </c>
      <c r="V269" s="247">
        <v>133.26498420238596</v>
      </c>
      <c r="W269" s="252">
        <v>133.26498420238596</v>
      </c>
      <c r="X269" s="136">
        <v>0.24683271754470451</v>
      </c>
    </row>
    <row r="270" spans="1:24" ht="18.75" x14ac:dyDescent="0.25">
      <c r="A270" s="258">
        <v>45811</v>
      </c>
      <c r="B270" s="131" t="s">
        <v>108</v>
      </c>
      <c r="C270" s="131" t="s">
        <v>135</v>
      </c>
      <c r="D270" s="131">
        <v>1</v>
      </c>
      <c r="E270" s="131">
        <v>100</v>
      </c>
      <c r="F270" s="131" t="s">
        <v>100</v>
      </c>
      <c r="G270" s="247">
        <v>539.9</v>
      </c>
      <c r="H270" s="247">
        <v>539.9</v>
      </c>
      <c r="I270" s="247">
        <v>48.590999999999994</v>
      </c>
      <c r="J270" s="247">
        <v>131.74444444444444</v>
      </c>
      <c r="K270" s="247">
        <v>95.87203302373581</v>
      </c>
      <c r="L270" s="247">
        <v>98.366730279898221</v>
      </c>
      <c r="M270" s="247">
        <v>15.5</v>
      </c>
      <c r="N270" s="247">
        <v>22.060808049535602</v>
      </c>
      <c r="O270" s="249">
        <v>48.590999999999994</v>
      </c>
      <c r="P270" s="250">
        <v>131.74444444444444</v>
      </c>
      <c r="Q270" s="249">
        <v>95.87203302373581</v>
      </c>
      <c r="R270" s="249">
        <v>98.366730279898221</v>
      </c>
      <c r="S270" s="249">
        <v>15.5</v>
      </c>
      <c r="T270" s="249">
        <v>22.060808049535602</v>
      </c>
      <c r="U270" s="251">
        <v>412.13501579761402</v>
      </c>
      <c r="V270" s="247">
        <v>127.76498420238596</v>
      </c>
      <c r="W270" s="252">
        <v>127.76498420238596</v>
      </c>
      <c r="X270" s="136">
        <v>0.23664564586476378</v>
      </c>
    </row>
    <row r="271" spans="1:24" ht="18.75" x14ac:dyDescent="0.25">
      <c r="A271" s="258">
        <v>45811</v>
      </c>
      <c r="B271" s="131" t="s">
        <v>108</v>
      </c>
      <c r="C271" s="131" t="s">
        <v>6</v>
      </c>
      <c r="D271" s="131">
        <v>1</v>
      </c>
      <c r="E271" s="131">
        <v>100</v>
      </c>
      <c r="F271" s="131" t="s">
        <v>100</v>
      </c>
      <c r="G271" s="247">
        <v>541.9</v>
      </c>
      <c r="H271" s="247">
        <v>541.9</v>
      </c>
      <c r="I271" s="247">
        <v>48.770999999999994</v>
      </c>
      <c r="J271" s="247">
        <v>124.74444444444444</v>
      </c>
      <c r="K271" s="247">
        <v>95.87203302373581</v>
      </c>
      <c r="L271" s="247">
        <v>98.366730279898221</v>
      </c>
      <c r="M271" s="247">
        <v>15.5</v>
      </c>
      <c r="N271" s="247">
        <v>22.060808049535602</v>
      </c>
      <c r="O271" s="249">
        <v>48.770999999999994</v>
      </c>
      <c r="P271" s="250">
        <v>124.74444444444444</v>
      </c>
      <c r="Q271" s="249">
        <v>95.87203302373581</v>
      </c>
      <c r="R271" s="249">
        <v>98.366730279898221</v>
      </c>
      <c r="S271" s="249">
        <v>15.5</v>
      </c>
      <c r="T271" s="249">
        <v>22.060808049535602</v>
      </c>
      <c r="U271" s="251">
        <v>405.31501579761402</v>
      </c>
      <c r="V271" s="247">
        <v>136.58498420238595</v>
      </c>
      <c r="W271" s="252">
        <v>136.58498420238595</v>
      </c>
      <c r="X271" s="136">
        <v>0.25204831925149651</v>
      </c>
    </row>
    <row r="272" spans="1:24" ht="18.75" x14ac:dyDescent="0.25">
      <c r="A272" s="258">
        <v>45811</v>
      </c>
      <c r="B272" s="131" t="s">
        <v>108</v>
      </c>
      <c r="C272" s="131" t="s">
        <v>7</v>
      </c>
      <c r="D272" s="131">
        <v>1</v>
      </c>
      <c r="E272" s="131">
        <v>100</v>
      </c>
      <c r="F272" s="131" t="s">
        <v>100</v>
      </c>
      <c r="G272" s="247">
        <v>541.9</v>
      </c>
      <c r="H272" s="247">
        <v>541.9</v>
      </c>
      <c r="I272" s="247">
        <v>48.770999999999994</v>
      </c>
      <c r="J272" s="247">
        <v>123.24444444444444</v>
      </c>
      <c r="K272" s="247">
        <v>95.87203302373581</v>
      </c>
      <c r="L272" s="247">
        <v>98.366730279898221</v>
      </c>
      <c r="M272" s="247">
        <v>15.5</v>
      </c>
      <c r="N272" s="247">
        <v>22.060808049535602</v>
      </c>
      <c r="O272" s="249">
        <v>48.770999999999994</v>
      </c>
      <c r="P272" s="250">
        <v>123.24444444444444</v>
      </c>
      <c r="Q272" s="249">
        <v>95.87203302373581</v>
      </c>
      <c r="R272" s="249">
        <v>98.366730279898221</v>
      </c>
      <c r="S272" s="249">
        <v>15.5</v>
      </c>
      <c r="T272" s="249">
        <v>22.060808049535602</v>
      </c>
      <c r="U272" s="251">
        <v>403.81501579761402</v>
      </c>
      <c r="V272" s="247">
        <v>138.08498420238595</v>
      </c>
      <c r="W272" s="252">
        <v>138.08498420238595</v>
      </c>
      <c r="X272" s="136">
        <v>0.25481635763496208</v>
      </c>
    </row>
    <row r="273" spans="1:24" ht="18.75" x14ac:dyDescent="0.25">
      <c r="A273" s="258">
        <v>45811</v>
      </c>
      <c r="B273" s="131" t="s">
        <v>108</v>
      </c>
      <c r="C273" s="131" t="s">
        <v>7</v>
      </c>
      <c r="D273" s="131">
        <v>1</v>
      </c>
      <c r="E273" s="131">
        <v>100</v>
      </c>
      <c r="F273" s="131" t="s">
        <v>340</v>
      </c>
      <c r="G273" s="247">
        <v>544.4</v>
      </c>
      <c r="H273" s="247">
        <v>544.4</v>
      </c>
      <c r="I273" s="247">
        <v>80.026799999999994</v>
      </c>
      <c r="J273" s="247">
        <v>123.24444444444444</v>
      </c>
      <c r="K273" s="247">
        <v>95.87203302373581</v>
      </c>
      <c r="L273" s="247">
        <v>98.366730279898221</v>
      </c>
      <c r="M273" s="247">
        <v>15.5</v>
      </c>
      <c r="N273" s="247">
        <v>22.060808049535602</v>
      </c>
      <c r="O273" s="249">
        <v>80.026799999999994</v>
      </c>
      <c r="P273" s="250">
        <v>123.24444444444444</v>
      </c>
      <c r="Q273" s="249">
        <v>95.87203302373581</v>
      </c>
      <c r="R273" s="249">
        <v>98.366730279898221</v>
      </c>
      <c r="S273" s="249">
        <v>15.5</v>
      </c>
      <c r="T273" s="249">
        <v>22.060808049535602</v>
      </c>
      <c r="U273" s="251">
        <v>435.07081579761405</v>
      </c>
      <c r="V273" s="247">
        <v>109.32918420238593</v>
      </c>
      <c r="W273" s="252">
        <v>109.32918420238593</v>
      </c>
      <c r="X273" s="136">
        <v>0.20082509956353037</v>
      </c>
    </row>
    <row r="274" spans="1:24" ht="18.75" x14ac:dyDescent="0.25">
      <c r="A274" s="258">
        <v>45811</v>
      </c>
      <c r="B274" s="131" t="s">
        <v>108</v>
      </c>
      <c r="C274" s="131" t="s">
        <v>6</v>
      </c>
      <c r="D274" s="131">
        <v>1</v>
      </c>
      <c r="E274" s="131">
        <v>100</v>
      </c>
      <c r="F274" s="131" t="s">
        <v>340</v>
      </c>
      <c r="G274" s="247">
        <v>546.9</v>
      </c>
      <c r="H274" s="247">
        <v>546.9</v>
      </c>
      <c r="I274" s="247">
        <v>80.394299999999987</v>
      </c>
      <c r="J274" s="247">
        <v>124.74444444444444</v>
      </c>
      <c r="K274" s="247">
        <v>95.87203302373581</v>
      </c>
      <c r="L274" s="247">
        <v>98.366730279898221</v>
      </c>
      <c r="M274" s="247">
        <v>15.5</v>
      </c>
      <c r="N274" s="247">
        <v>22.060808049535602</v>
      </c>
      <c r="O274" s="249">
        <v>80.394299999999987</v>
      </c>
      <c r="P274" s="250">
        <v>124.74444444444444</v>
      </c>
      <c r="Q274" s="249">
        <v>95.87203302373581</v>
      </c>
      <c r="R274" s="249">
        <v>98.366730279898221</v>
      </c>
      <c r="S274" s="249">
        <v>15.5</v>
      </c>
      <c r="T274" s="249">
        <v>22.060808049535602</v>
      </c>
      <c r="U274" s="251">
        <v>436.938315797614</v>
      </c>
      <c r="V274" s="247">
        <v>109.96168420238598</v>
      </c>
      <c r="W274" s="252">
        <v>109.96168420238598</v>
      </c>
      <c r="X274" s="136">
        <v>0.20106360249110622</v>
      </c>
    </row>
    <row r="275" spans="1:24" ht="18.75" x14ac:dyDescent="0.25">
      <c r="A275" s="258">
        <v>45811</v>
      </c>
      <c r="B275" s="131" t="s">
        <v>108</v>
      </c>
      <c r="C275" s="131" t="s">
        <v>135</v>
      </c>
      <c r="D275" s="131">
        <v>1</v>
      </c>
      <c r="E275" s="131">
        <v>100</v>
      </c>
      <c r="F275" s="131" t="s">
        <v>340</v>
      </c>
      <c r="G275" s="247">
        <v>546.9</v>
      </c>
      <c r="H275" s="247">
        <v>546.9</v>
      </c>
      <c r="I275" s="247">
        <v>80.394299999999987</v>
      </c>
      <c r="J275" s="247">
        <v>131.74444444444444</v>
      </c>
      <c r="K275" s="247">
        <v>95.87203302373581</v>
      </c>
      <c r="L275" s="247">
        <v>98.366730279898221</v>
      </c>
      <c r="M275" s="247">
        <v>15.5</v>
      </c>
      <c r="N275" s="247">
        <v>22.060808049535602</v>
      </c>
      <c r="O275" s="249">
        <v>80.394299999999987</v>
      </c>
      <c r="P275" s="250">
        <v>131.74444444444444</v>
      </c>
      <c r="Q275" s="249">
        <v>95.87203302373581</v>
      </c>
      <c r="R275" s="249">
        <v>98.366730279898221</v>
      </c>
      <c r="S275" s="249">
        <v>15.5</v>
      </c>
      <c r="T275" s="249">
        <v>22.060808049535602</v>
      </c>
      <c r="U275" s="251">
        <v>443.938315797614</v>
      </c>
      <c r="V275" s="247">
        <v>102.96168420238598</v>
      </c>
      <c r="W275" s="252">
        <v>102.96168420238598</v>
      </c>
      <c r="X275" s="136">
        <v>0.18826418760721519</v>
      </c>
    </row>
    <row r="276" spans="1:24" ht="18.75" x14ac:dyDescent="0.25">
      <c r="A276" s="258">
        <v>45811</v>
      </c>
      <c r="B276" s="131" t="s">
        <v>108</v>
      </c>
      <c r="C276" s="131" t="s">
        <v>13</v>
      </c>
      <c r="D276" s="131">
        <v>1</v>
      </c>
      <c r="E276" s="131">
        <v>100</v>
      </c>
      <c r="F276" s="131" t="s">
        <v>340</v>
      </c>
      <c r="G276" s="247">
        <v>549.9</v>
      </c>
      <c r="H276" s="247">
        <v>549.9</v>
      </c>
      <c r="I276" s="247">
        <v>80.835299999999989</v>
      </c>
      <c r="J276" s="247">
        <v>129.64444444444445</v>
      </c>
      <c r="K276" s="247">
        <v>95.87203302373581</v>
      </c>
      <c r="L276" s="247">
        <v>98.366730279898221</v>
      </c>
      <c r="M276" s="247">
        <v>15.5</v>
      </c>
      <c r="N276" s="247">
        <v>22.060808049535602</v>
      </c>
      <c r="O276" s="249">
        <v>80.835299999999989</v>
      </c>
      <c r="P276" s="250">
        <v>129.64444444444445</v>
      </c>
      <c r="Q276" s="249">
        <v>95.87203302373581</v>
      </c>
      <c r="R276" s="249">
        <v>98.366730279898221</v>
      </c>
      <c r="S276" s="249">
        <v>15.5</v>
      </c>
      <c r="T276" s="249">
        <v>22.060808049535602</v>
      </c>
      <c r="U276" s="251">
        <v>442.279315797614</v>
      </c>
      <c r="V276" s="247">
        <v>107.62068420238597</v>
      </c>
      <c r="W276" s="252">
        <v>107.62068420238597</v>
      </c>
      <c r="X276" s="136">
        <v>0.1957095548324895</v>
      </c>
    </row>
    <row r="277" spans="1:24" ht="18.75" x14ac:dyDescent="0.25">
      <c r="A277" s="258">
        <v>45811</v>
      </c>
      <c r="B277" s="131" t="s">
        <v>108</v>
      </c>
      <c r="C277" s="131" t="s">
        <v>7</v>
      </c>
      <c r="D277" s="131">
        <v>3</v>
      </c>
      <c r="E277" s="131">
        <v>280</v>
      </c>
      <c r="F277" s="131" t="s">
        <v>314</v>
      </c>
      <c r="G277" s="247">
        <v>549.9</v>
      </c>
      <c r="H277" s="247">
        <v>1649.7</v>
      </c>
      <c r="I277" s="247">
        <v>0</v>
      </c>
      <c r="J277" s="247">
        <v>669.56666666666649</v>
      </c>
      <c r="K277" s="247">
        <v>287.61609907120743</v>
      </c>
      <c r="L277" s="247">
        <v>0</v>
      </c>
      <c r="M277" s="247">
        <v>0</v>
      </c>
      <c r="N277" s="247">
        <v>66.182424148606799</v>
      </c>
      <c r="O277" s="249">
        <v>0</v>
      </c>
      <c r="P277" s="250">
        <v>223.18888888888884</v>
      </c>
      <c r="Q277" s="249">
        <v>95.87203302373581</v>
      </c>
      <c r="R277" s="249">
        <v>0</v>
      </c>
      <c r="S277" s="249">
        <v>0</v>
      </c>
      <c r="T277" s="249">
        <v>22.060808049535602</v>
      </c>
      <c r="U277" s="251">
        <v>1023.3651898864806</v>
      </c>
      <c r="V277" s="247">
        <v>626.33481011351944</v>
      </c>
      <c r="W277" s="252">
        <v>208.7782700378398</v>
      </c>
      <c r="X277" s="136">
        <v>0.37966588477512236</v>
      </c>
    </row>
    <row r="278" spans="1:24" ht="18.75" x14ac:dyDescent="0.25">
      <c r="A278" s="258">
        <v>45811</v>
      </c>
      <c r="B278" s="131" t="s">
        <v>108</v>
      </c>
      <c r="C278" s="131" t="s">
        <v>18</v>
      </c>
      <c r="D278" s="131">
        <v>4</v>
      </c>
      <c r="E278" s="131">
        <v>100</v>
      </c>
      <c r="F278" s="131" t="s">
        <v>216</v>
      </c>
      <c r="G278" s="247">
        <v>553.9</v>
      </c>
      <c r="H278" s="247">
        <v>2215.6</v>
      </c>
      <c r="I278" s="247">
        <v>285.81239999999997</v>
      </c>
      <c r="J278" s="247">
        <v>591.91111111111104</v>
      </c>
      <c r="K278" s="247">
        <v>383.48813209494324</v>
      </c>
      <c r="L278" s="247">
        <v>393.46692111959288</v>
      </c>
      <c r="M278" s="247">
        <v>62</v>
      </c>
      <c r="N278" s="247">
        <v>88.243232198142408</v>
      </c>
      <c r="O278" s="249">
        <v>71.453099999999992</v>
      </c>
      <c r="P278" s="250">
        <v>147.97777777777776</v>
      </c>
      <c r="Q278" s="249">
        <v>95.87203302373581</v>
      </c>
      <c r="R278" s="249">
        <v>98.366730279898221</v>
      </c>
      <c r="S278" s="249">
        <v>15.5</v>
      </c>
      <c r="T278" s="249">
        <v>22.060808049535602</v>
      </c>
      <c r="U278" s="251">
        <v>1804.9217965237895</v>
      </c>
      <c r="V278" s="247">
        <v>410.67820347621046</v>
      </c>
      <c r="W278" s="252">
        <v>102.66955086905261</v>
      </c>
      <c r="X278" s="136">
        <v>0.18535755708440624</v>
      </c>
    </row>
    <row r="279" spans="1:24" ht="18.75" x14ac:dyDescent="0.25">
      <c r="A279" s="258">
        <v>45811</v>
      </c>
      <c r="B279" s="131" t="s">
        <v>108</v>
      </c>
      <c r="C279" s="131" t="s">
        <v>135</v>
      </c>
      <c r="D279" s="131">
        <v>1</v>
      </c>
      <c r="E279" s="131">
        <v>100</v>
      </c>
      <c r="F279" s="131" t="s">
        <v>100</v>
      </c>
      <c r="G279" s="247">
        <v>557.9</v>
      </c>
      <c r="H279" s="247">
        <v>557.9</v>
      </c>
      <c r="I279" s="247">
        <v>50.210999999999999</v>
      </c>
      <c r="J279" s="247">
        <v>131.74444444444444</v>
      </c>
      <c r="K279" s="247">
        <v>95.87203302373581</v>
      </c>
      <c r="L279" s="247">
        <v>98.366730279898221</v>
      </c>
      <c r="M279" s="247">
        <v>15.5</v>
      </c>
      <c r="N279" s="247">
        <v>22.060808049535602</v>
      </c>
      <c r="O279" s="249">
        <v>50.210999999999999</v>
      </c>
      <c r="P279" s="250">
        <v>131.74444444444444</v>
      </c>
      <c r="Q279" s="249">
        <v>95.87203302373581</v>
      </c>
      <c r="R279" s="249">
        <v>98.366730279898221</v>
      </c>
      <c r="S279" s="249">
        <v>15.5</v>
      </c>
      <c r="T279" s="249">
        <v>22.060808049535602</v>
      </c>
      <c r="U279" s="251">
        <v>413.75501579761402</v>
      </c>
      <c r="V279" s="247">
        <v>144.14498420238596</v>
      </c>
      <c r="W279" s="252">
        <v>144.14498420238596</v>
      </c>
      <c r="X279" s="136">
        <v>0.25837064743213112</v>
      </c>
    </row>
    <row r="280" spans="1:24" ht="18.75" x14ac:dyDescent="0.25">
      <c r="A280" s="258">
        <v>45811</v>
      </c>
      <c r="B280" s="131" t="s">
        <v>108</v>
      </c>
      <c r="C280" s="131" t="s">
        <v>5</v>
      </c>
      <c r="D280" s="131">
        <v>4</v>
      </c>
      <c r="E280" s="131">
        <v>100</v>
      </c>
      <c r="F280" s="131" t="s">
        <v>216</v>
      </c>
      <c r="G280" s="247">
        <v>562.9</v>
      </c>
      <c r="H280" s="247">
        <v>2251.6</v>
      </c>
      <c r="I280" s="247">
        <v>290.45639999999997</v>
      </c>
      <c r="J280" s="247">
        <v>654.28888888888889</v>
      </c>
      <c r="K280" s="247">
        <v>383.48813209494324</v>
      </c>
      <c r="L280" s="247">
        <v>393.46692111959288</v>
      </c>
      <c r="M280" s="247">
        <v>62</v>
      </c>
      <c r="N280" s="247">
        <v>88.243232198142408</v>
      </c>
      <c r="O280" s="249">
        <v>72.614099999999993</v>
      </c>
      <c r="P280" s="250">
        <v>163.57222222222222</v>
      </c>
      <c r="Q280" s="249">
        <v>95.87203302373581</v>
      </c>
      <c r="R280" s="249">
        <v>98.366730279898221</v>
      </c>
      <c r="S280" s="249">
        <v>15.5</v>
      </c>
      <c r="T280" s="249">
        <v>22.060808049535602</v>
      </c>
      <c r="U280" s="251">
        <v>1871.9435743015672</v>
      </c>
      <c r="V280" s="247">
        <v>379.65642569843271</v>
      </c>
      <c r="W280" s="252">
        <v>94.914106424608178</v>
      </c>
      <c r="X280" s="136">
        <v>0.16861628428603337</v>
      </c>
    </row>
    <row r="281" spans="1:24" ht="18.75" x14ac:dyDescent="0.25">
      <c r="A281" s="258">
        <v>45811</v>
      </c>
      <c r="B281" s="131" t="s">
        <v>108</v>
      </c>
      <c r="C281" s="131" t="s">
        <v>7</v>
      </c>
      <c r="D281" s="131">
        <v>6</v>
      </c>
      <c r="E281" s="131">
        <v>140</v>
      </c>
      <c r="F281" s="131" t="s">
        <v>100</v>
      </c>
      <c r="G281" s="247">
        <v>564.91</v>
      </c>
      <c r="H281" s="247">
        <v>3389.46</v>
      </c>
      <c r="I281" s="247">
        <v>305.0514</v>
      </c>
      <c r="J281" s="247">
        <v>854.66666666666652</v>
      </c>
      <c r="K281" s="247">
        <v>575.23219814241486</v>
      </c>
      <c r="L281" s="247">
        <v>590.20038167938935</v>
      </c>
      <c r="M281" s="247">
        <v>93</v>
      </c>
      <c r="N281" s="247">
        <v>132.3648482972136</v>
      </c>
      <c r="O281" s="249">
        <v>50.841900000000003</v>
      </c>
      <c r="P281" s="250">
        <v>142.44444444444443</v>
      </c>
      <c r="Q281" s="249">
        <v>95.87203302373581</v>
      </c>
      <c r="R281" s="249">
        <v>98.366730279898221</v>
      </c>
      <c r="S281" s="249">
        <v>15.5</v>
      </c>
      <c r="T281" s="249">
        <v>22.060808049535602</v>
      </c>
      <c r="U281" s="251">
        <v>2550.515494785684</v>
      </c>
      <c r="V281" s="247">
        <v>838.944505214316</v>
      </c>
      <c r="W281" s="252">
        <v>139.82408420238599</v>
      </c>
      <c r="X281" s="136">
        <v>0.24751568250232067</v>
      </c>
    </row>
    <row r="282" spans="1:24" ht="18.75" x14ac:dyDescent="0.25">
      <c r="A282" s="258">
        <v>45811</v>
      </c>
      <c r="B282" s="131" t="s">
        <v>108</v>
      </c>
      <c r="C282" s="131" t="s">
        <v>135</v>
      </c>
      <c r="D282" s="131">
        <v>2</v>
      </c>
      <c r="E282" s="131">
        <v>140</v>
      </c>
      <c r="F282" s="131" t="s">
        <v>100</v>
      </c>
      <c r="G282" s="247">
        <v>564.91</v>
      </c>
      <c r="H282" s="247">
        <v>1129.82</v>
      </c>
      <c r="I282" s="247">
        <v>101.68379999999999</v>
      </c>
      <c r="J282" s="247">
        <v>301.88888888888886</v>
      </c>
      <c r="K282" s="247">
        <v>191.74406604747162</v>
      </c>
      <c r="L282" s="247">
        <v>196.73346055979644</v>
      </c>
      <c r="M282" s="247">
        <v>31</v>
      </c>
      <c r="N282" s="247">
        <v>44.121616099071204</v>
      </c>
      <c r="O282" s="249">
        <v>50.841899999999995</v>
      </c>
      <c r="P282" s="250">
        <v>150.94444444444443</v>
      </c>
      <c r="Q282" s="249">
        <v>95.87203302373581</v>
      </c>
      <c r="R282" s="249">
        <v>98.366730279898221</v>
      </c>
      <c r="S282" s="249">
        <v>15.5</v>
      </c>
      <c r="T282" s="249">
        <v>22.060808049535602</v>
      </c>
      <c r="U282" s="251">
        <v>867.17183159522801</v>
      </c>
      <c r="V282" s="247">
        <v>262.64816840477192</v>
      </c>
      <c r="W282" s="252">
        <v>131.32408420238596</v>
      </c>
      <c r="X282" s="136">
        <v>0.23246903790406609</v>
      </c>
    </row>
    <row r="283" spans="1:24" ht="18.75" x14ac:dyDescent="0.25">
      <c r="A283" s="258">
        <v>45811</v>
      </c>
      <c r="B283" s="131" t="s">
        <v>108</v>
      </c>
      <c r="C283" s="131" t="s">
        <v>6</v>
      </c>
      <c r="D283" s="131">
        <v>1</v>
      </c>
      <c r="E283" s="131">
        <v>140</v>
      </c>
      <c r="F283" s="131" t="s">
        <v>100</v>
      </c>
      <c r="G283" s="247">
        <v>564.91</v>
      </c>
      <c r="H283" s="247">
        <v>564.91</v>
      </c>
      <c r="I283" s="247">
        <v>50.841899999999995</v>
      </c>
      <c r="J283" s="247">
        <v>143.94444444444443</v>
      </c>
      <c r="K283" s="247">
        <v>95.87203302373581</v>
      </c>
      <c r="L283" s="247">
        <v>98.366730279898221</v>
      </c>
      <c r="M283" s="247">
        <v>15.5</v>
      </c>
      <c r="N283" s="247">
        <v>22.060808049535602</v>
      </c>
      <c r="O283" s="249">
        <v>50.841899999999995</v>
      </c>
      <c r="P283" s="250">
        <v>143.94444444444443</v>
      </c>
      <c r="Q283" s="249">
        <v>95.87203302373581</v>
      </c>
      <c r="R283" s="249">
        <v>98.366730279898221</v>
      </c>
      <c r="S283" s="249">
        <v>15.5</v>
      </c>
      <c r="T283" s="249">
        <v>22.060808049535602</v>
      </c>
      <c r="U283" s="251">
        <v>426.58591579761401</v>
      </c>
      <c r="V283" s="247">
        <v>138.32408420238596</v>
      </c>
      <c r="W283" s="252">
        <v>138.32408420238596</v>
      </c>
      <c r="X283" s="136">
        <v>0.24486039227909928</v>
      </c>
    </row>
    <row r="284" spans="1:24" ht="18.75" x14ac:dyDescent="0.25">
      <c r="A284" s="258">
        <v>45811</v>
      </c>
      <c r="B284" s="131" t="s">
        <v>108</v>
      </c>
      <c r="C284" s="131" t="s">
        <v>6</v>
      </c>
      <c r="D284" s="131">
        <v>1</v>
      </c>
      <c r="E284" s="131">
        <v>140</v>
      </c>
      <c r="F284" s="131" t="s">
        <v>216</v>
      </c>
      <c r="G284" s="247">
        <v>567.9</v>
      </c>
      <c r="H284" s="247">
        <v>567.9</v>
      </c>
      <c r="I284" s="247">
        <v>73.259100000000004</v>
      </c>
      <c r="J284" s="247">
        <v>143.94444444444443</v>
      </c>
      <c r="K284" s="247">
        <v>95.87203302373581</v>
      </c>
      <c r="L284" s="247">
        <v>98.366730279898221</v>
      </c>
      <c r="M284" s="247">
        <v>15.5</v>
      </c>
      <c r="N284" s="247">
        <v>22.060808049535602</v>
      </c>
      <c r="O284" s="249">
        <v>73.259100000000004</v>
      </c>
      <c r="P284" s="250">
        <v>143.94444444444443</v>
      </c>
      <c r="Q284" s="249">
        <v>95.87203302373581</v>
      </c>
      <c r="R284" s="249">
        <v>98.366730279898221</v>
      </c>
      <c r="S284" s="249">
        <v>15.5</v>
      </c>
      <c r="T284" s="249">
        <v>22.060808049535602</v>
      </c>
      <c r="U284" s="251">
        <v>449.00311579761404</v>
      </c>
      <c r="V284" s="247">
        <v>118.89688420238593</v>
      </c>
      <c r="W284" s="252">
        <v>118.89688420238593</v>
      </c>
      <c r="X284" s="136">
        <v>0.20936235992672292</v>
      </c>
    </row>
    <row r="285" spans="1:24" ht="18.75" x14ac:dyDescent="0.25">
      <c r="A285" s="258">
        <v>45811</v>
      </c>
      <c r="B285" s="131" t="s">
        <v>108</v>
      </c>
      <c r="C285" s="131" t="s">
        <v>7</v>
      </c>
      <c r="D285" s="131">
        <v>1</v>
      </c>
      <c r="E285" s="131">
        <v>140</v>
      </c>
      <c r="F285" s="131" t="s">
        <v>216</v>
      </c>
      <c r="G285" s="247">
        <v>567.9</v>
      </c>
      <c r="H285" s="247">
        <v>567.9</v>
      </c>
      <c r="I285" s="247">
        <v>73.259100000000004</v>
      </c>
      <c r="J285" s="247">
        <v>142.44444444444443</v>
      </c>
      <c r="K285" s="247">
        <v>95.87203302373581</v>
      </c>
      <c r="L285" s="247">
        <v>98.366730279898221</v>
      </c>
      <c r="M285" s="247">
        <v>15.5</v>
      </c>
      <c r="N285" s="247">
        <v>22.060808049535602</v>
      </c>
      <c r="O285" s="249">
        <v>73.259100000000004</v>
      </c>
      <c r="P285" s="250">
        <v>142.44444444444443</v>
      </c>
      <c r="Q285" s="249">
        <v>95.87203302373581</v>
      </c>
      <c r="R285" s="249">
        <v>98.366730279898221</v>
      </c>
      <c r="S285" s="249">
        <v>15.5</v>
      </c>
      <c r="T285" s="249">
        <v>22.060808049535602</v>
      </c>
      <c r="U285" s="251">
        <v>447.50311579761404</v>
      </c>
      <c r="V285" s="247">
        <v>120.39688420238593</v>
      </c>
      <c r="W285" s="252">
        <v>120.39688420238593</v>
      </c>
      <c r="X285" s="136">
        <v>0.21200367001652745</v>
      </c>
    </row>
    <row r="286" spans="1:24" ht="18.75" x14ac:dyDescent="0.25">
      <c r="A286" s="258">
        <v>45811</v>
      </c>
      <c r="B286" s="131" t="s">
        <v>108</v>
      </c>
      <c r="C286" s="131" t="s">
        <v>135</v>
      </c>
      <c r="D286" s="131">
        <v>1</v>
      </c>
      <c r="E286" s="131">
        <v>100</v>
      </c>
      <c r="F286" s="131" t="s">
        <v>340</v>
      </c>
      <c r="G286" s="247">
        <v>569.9</v>
      </c>
      <c r="H286" s="247">
        <v>569.9</v>
      </c>
      <c r="I286" s="247">
        <v>83.775299999999987</v>
      </c>
      <c r="J286" s="247">
        <v>131.74444444444444</v>
      </c>
      <c r="K286" s="247">
        <v>95.87203302373581</v>
      </c>
      <c r="L286" s="247">
        <v>98.366730279898221</v>
      </c>
      <c r="M286" s="247">
        <v>15.5</v>
      </c>
      <c r="N286" s="247">
        <v>22.060808049535602</v>
      </c>
      <c r="O286" s="249">
        <v>83.775299999999987</v>
      </c>
      <c r="P286" s="250">
        <v>131.74444444444444</v>
      </c>
      <c r="Q286" s="249">
        <v>95.87203302373581</v>
      </c>
      <c r="R286" s="249">
        <v>98.366730279898221</v>
      </c>
      <c r="S286" s="249">
        <v>15.5</v>
      </c>
      <c r="T286" s="249">
        <v>22.060808049535602</v>
      </c>
      <c r="U286" s="251">
        <v>447.31931579761402</v>
      </c>
      <c r="V286" s="247">
        <v>122.58068420238595</v>
      </c>
      <c r="W286" s="252">
        <v>122.58068420238595</v>
      </c>
      <c r="X286" s="136">
        <v>0.21509156729669407</v>
      </c>
    </row>
    <row r="287" spans="1:24" ht="18.75" x14ac:dyDescent="0.25">
      <c r="A287" s="258">
        <v>45811</v>
      </c>
      <c r="B287" s="131" t="s">
        <v>108</v>
      </c>
      <c r="C287" s="131" t="s">
        <v>5</v>
      </c>
      <c r="D287" s="131">
        <v>1</v>
      </c>
      <c r="E287" s="131">
        <v>200</v>
      </c>
      <c r="F287" s="131" t="s">
        <v>365</v>
      </c>
      <c r="G287" s="247">
        <v>569.9</v>
      </c>
      <c r="H287" s="247">
        <v>569.9</v>
      </c>
      <c r="I287" s="247">
        <v>0</v>
      </c>
      <c r="J287" s="247">
        <v>235.74444444444444</v>
      </c>
      <c r="K287" s="247">
        <v>95.87203302373581</v>
      </c>
      <c r="L287" s="247">
        <v>98.366730279898221</v>
      </c>
      <c r="M287" s="247">
        <v>15.5</v>
      </c>
      <c r="N287" s="247">
        <v>22.060808049535602</v>
      </c>
      <c r="O287" s="249">
        <v>0</v>
      </c>
      <c r="P287" s="250">
        <v>235.74444444444444</v>
      </c>
      <c r="Q287" s="249">
        <v>95.87203302373581</v>
      </c>
      <c r="R287" s="249">
        <v>98.366730279898221</v>
      </c>
      <c r="S287" s="249">
        <v>15.5</v>
      </c>
      <c r="T287" s="249">
        <v>22.060808049535602</v>
      </c>
      <c r="U287" s="251">
        <v>467.54401579761407</v>
      </c>
      <c r="V287" s="247">
        <v>102.35598420238591</v>
      </c>
      <c r="W287" s="252">
        <v>102.35598420238591</v>
      </c>
      <c r="X287" s="136">
        <v>0.17960341147988404</v>
      </c>
    </row>
    <row r="288" spans="1:24" ht="18.75" x14ac:dyDescent="0.25">
      <c r="A288" s="258">
        <v>45811</v>
      </c>
      <c r="B288" s="131" t="s">
        <v>108</v>
      </c>
      <c r="C288" s="131" t="s">
        <v>135</v>
      </c>
      <c r="D288" s="131">
        <v>2</v>
      </c>
      <c r="E288" s="131">
        <v>140</v>
      </c>
      <c r="F288" s="131" t="s">
        <v>216</v>
      </c>
      <c r="G288" s="247">
        <v>576.9</v>
      </c>
      <c r="H288" s="247">
        <v>1153.8</v>
      </c>
      <c r="I288" s="247">
        <v>148.84020000000001</v>
      </c>
      <c r="J288" s="247">
        <v>301.88888888888886</v>
      </c>
      <c r="K288" s="247">
        <v>191.74406604747162</v>
      </c>
      <c r="L288" s="247">
        <v>196.73346055979644</v>
      </c>
      <c r="M288" s="247">
        <v>31</v>
      </c>
      <c r="N288" s="247">
        <v>44.121616099071204</v>
      </c>
      <c r="O288" s="249">
        <v>74.420100000000005</v>
      </c>
      <c r="P288" s="250">
        <v>150.94444444444443</v>
      </c>
      <c r="Q288" s="249">
        <v>95.87203302373581</v>
      </c>
      <c r="R288" s="249">
        <v>98.366730279898221</v>
      </c>
      <c r="S288" s="249">
        <v>15.5</v>
      </c>
      <c r="T288" s="249">
        <v>22.060808049535602</v>
      </c>
      <c r="U288" s="251">
        <v>914.32823159522809</v>
      </c>
      <c r="V288" s="247">
        <v>239.47176840477186</v>
      </c>
      <c r="W288" s="252">
        <v>119.73588420238593</v>
      </c>
      <c r="X288" s="136">
        <v>0.20755050130418778</v>
      </c>
    </row>
    <row r="289" spans="1:24" ht="18.75" x14ac:dyDescent="0.25">
      <c r="A289" s="258">
        <v>45811</v>
      </c>
      <c r="B289" s="131" t="s">
        <v>108</v>
      </c>
      <c r="C289" s="131" t="s">
        <v>11</v>
      </c>
      <c r="D289" s="131">
        <v>1</v>
      </c>
      <c r="E289" s="131">
        <v>140</v>
      </c>
      <c r="F289" s="131" t="s">
        <v>216</v>
      </c>
      <c r="G289" s="247">
        <v>576.9</v>
      </c>
      <c r="H289" s="247">
        <v>576.9</v>
      </c>
      <c r="I289" s="247">
        <v>74.420100000000005</v>
      </c>
      <c r="J289" s="247">
        <v>145.44444444444443</v>
      </c>
      <c r="K289" s="247">
        <v>95.87203302373581</v>
      </c>
      <c r="L289" s="247">
        <v>98.366730279898221</v>
      </c>
      <c r="M289" s="247">
        <v>15.5</v>
      </c>
      <c r="N289" s="247">
        <v>22.060808049535602</v>
      </c>
      <c r="O289" s="249">
        <v>74.420100000000005</v>
      </c>
      <c r="P289" s="250">
        <v>145.44444444444443</v>
      </c>
      <c r="Q289" s="249">
        <v>95.87203302373581</v>
      </c>
      <c r="R289" s="249">
        <v>98.366730279898221</v>
      </c>
      <c r="S289" s="249">
        <v>15.5</v>
      </c>
      <c r="T289" s="249">
        <v>22.060808049535602</v>
      </c>
      <c r="U289" s="251">
        <v>451.66411579761404</v>
      </c>
      <c r="V289" s="247">
        <v>125.23588420238593</v>
      </c>
      <c r="W289" s="252">
        <v>125.23588420238593</v>
      </c>
      <c r="X289" s="136">
        <v>0.21708421598610841</v>
      </c>
    </row>
    <row r="290" spans="1:24" ht="18.75" x14ac:dyDescent="0.25">
      <c r="A290" s="258">
        <v>45811</v>
      </c>
      <c r="B290" s="131" t="s">
        <v>108</v>
      </c>
      <c r="C290" s="131" t="s">
        <v>7</v>
      </c>
      <c r="D290" s="131">
        <v>1</v>
      </c>
      <c r="E290" s="131">
        <v>140</v>
      </c>
      <c r="F290" s="131" t="s">
        <v>100</v>
      </c>
      <c r="G290" s="247">
        <v>576.91</v>
      </c>
      <c r="H290" s="247">
        <v>576.91</v>
      </c>
      <c r="I290" s="247">
        <v>51.921899999999994</v>
      </c>
      <c r="J290" s="247">
        <v>142.44444444444443</v>
      </c>
      <c r="K290" s="247">
        <v>95.87203302373581</v>
      </c>
      <c r="L290" s="247">
        <v>98.366730279898221</v>
      </c>
      <c r="M290" s="247">
        <v>15.5</v>
      </c>
      <c r="N290" s="247">
        <v>22.060808049535602</v>
      </c>
      <c r="O290" s="249">
        <v>51.921899999999994</v>
      </c>
      <c r="P290" s="250">
        <v>142.44444444444443</v>
      </c>
      <c r="Q290" s="249">
        <v>95.87203302373581</v>
      </c>
      <c r="R290" s="249">
        <v>98.366730279898221</v>
      </c>
      <c r="S290" s="249">
        <v>15.5</v>
      </c>
      <c r="T290" s="249">
        <v>22.060808049535602</v>
      </c>
      <c r="U290" s="251">
        <v>426.16591579761405</v>
      </c>
      <c r="V290" s="247">
        <v>150.74408420238592</v>
      </c>
      <c r="W290" s="252">
        <v>150.74408420238592</v>
      </c>
      <c r="X290" s="136">
        <v>0.26129566865262505</v>
      </c>
    </row>
    <row r="291" spans="1:24" ht="18.75" x14ac:dyDescent="0.25">
      <c r="A291" s="258">
        <v>45811</v>
      </c>
      <c r="B291" s="131" t="s">
        <v>108</v>
      </c>
      <c r="C291" s="131" t="s">
        <v>135</v>
      </c>
      <c r="D291" s="131">
        <v>1</v>
      </c>
      <c r="E291" s="131">
        <v>140</v>
      </c>
      <c r="F291" s="131" t="s">
        <v>100</v>
      </c>
      <c r="G291" s="247">
        <v>576.91</v>
      </c>
      <c r="H291" s="247">
        <v>576.91</v>
      </c>
      <c r="I291" s="247">
        <v>51.921899999999994</v>
      </c>
      <c r="J291" s="247">
        <v>150.94444444444443</v>
      </c>
      <c r="K291" s="247">
        <v>95.87203302373581</v>
      </c>
      <c r="L291" s="247">
        <v>98.366730279898221</v>
      </c>
      <c r="M291" s="247">
        <v>15.5</v>
      </c>
      <c r="N291" s="247">
        <v>22.060808049535602</v>
      </c>
      <c r="O291" s="249">
        <v>51.921899999999994</v>
      </c>
      <c r="P291" s="250">
        <v>150.94444444444443</v>
      </c>
      <c r="Q291" s="249">
        <v>95.87203302373581</v>
      </c>
      <c r="R291" s="249">
        <v>98.366730279898221</v>
      </c>
      <c r="S291" s="249">
        <v>15.5</v>
      </c>
      <c r="T291" s="249">
        <v>22.060808049535602</v>
      </c>
      <c r="U291" s="251">
        <v>434.66591579761405</v>
      </c>
      <c r="V291" s="247">
        <v>142.24408420238592</v>
      </c>
      <c r="W291" s="252">
        <v>142.24408420238592</v>
      </c>
      <c r="X291" s="136">
        <v>0.24656200135616635</v>
      </c>
    </row>
    <row r="292" spans="1:24" ht="18.75" x14ac:dyDescent="0.25">
      <c r="A292" s="258">
        <v>45811</v>
      </c>
      <c r="B292" s="131" t="s">
        <v>108</v>
      </c>
      <c r="C292" s="131" t="s">
        <v>7</v>
      </c>
      <c r="D292" s="131">
        <v>1</v>
      </c>
      <c r="E292" s="131">
        <v>100</v>
      </c>
      <c r="F292" s="131" t="s">
        <v>340</v>
      </c>
      <c r="G292" s="247">
        <v>579.9</v>
      </c>
      <c r="H292" s="247">
        <v>579.9</v>
      </c>
      <c r="I292" s="247">
        <v>85.245299999999986</v>
      </c>
      <c r="J292" s="247">
        <v>123.24444444444444</v>
      </c>
      <c r="K292" s="247">
        <v>95.87203302373581</v>
      </c>
      <c r="L292" s="247">
        <v>98.366730279898221</v>
      </c>
      <c r="M292" s="247">
        <v>15.5</v>
      </c>
      <c r="N292" s="247">
        <v>22.060808049535602</v>
      </c>
      <c r="O292" s="249">
        <v>85.245299999999986</v>
      </c>
      <c r="P292" s="250">
        <v>123.24444444444444</v>
      </c>
      <c r="Q292" s="249">
        <v>95.87203302373581</v>
      </c>
      <c r="R292" s="249">
        <v>98.366730279898221</v>
      </c>
      <c r="S292" s="249">
        <v>15.5</v>
      </c>
      <c r="T292" s="249">
        <v>22.060808049535602</v>
      </c>
      <c r="U292" s="251">
        <v>440.28931579761399</v>
      </c>
      <c r="V292" s="247">
        <v>139.61068420238598</v>
      </c>
      <c r="W292" s="252">
        <v>139.61068420238598</v>
      </c>
      <c r="X292" s="136">
        <v>0.24074958476010688</v>
      </c>
    </row>
    <row r="293" spans="1:24" ht="18.75" x14ac:dyDescent="0.25">
      <c r="A293" s="258">
        <v>45811</v>
      </c>
      <c r="B293" s="131" t="s">
        <v>108</v>
      </c>
      <c r="C293" s="131" t="s">
        <v>135</v>
      </c>
      <c r="D293" s="131">
        <v>1</v>
      </c>
      <c r="E293" s="131">
        <v>100</v>
      </c>
      <c r="F293" s="131" t="s">
        <v>100</v>
      </c>
      <c r="G293" s="247">
        <v>581.9</v>
      </c>
      <c r="H293" s="247">
        <v>581.9</v>
      </c>
      <c r="I293" s="247">
        <v>52.370999999999995</v>
      </c>
      <c r="J293" s="247">
        <v>131.74444444444444</v>
      </c>
      <c r="K293" s="247">
        <v>95.87203302373581</v>
      </c>
      <c r="L293" s="247">
        <v>98.366730279898221</v>
      </c>
      <c r="M293" s="247">
        <v>15.5</v>
      </c>
      <c r="N293" s="247">
        <v>22.060808049535602</v>
      </c>
      <c r="O293" s="249">
        <v>52.370999999999995</v>
      </c>
      <c r="P293" s="250">
        <v>131.74444444444444</v>
      </c>
      <c r="Q293" s="249">
        <v>95.87203302373581</v>
      </c>
      <c r="R293" s="249">
        <v>98.366730279898221</v>
      </c>
      <c r="S293" s="249">
        <v>15.5</v>
      </c>
      <c r="T293" s="249">
        <v>22.060808049535602</v>
      </c>
      <c r="U293" s="251">
        <v>415.91501579761405</v>
      </c>
      <c r="V293" s="247">
        <v>165.98498420238593</v>
      </c>
      <c r="W293" s="252">
        <v>165.98498420238593</v>
      </c>
      <c r="X293" s="136">
        <v>0.28524657879770743</v>
      </c>
    </row>
    <row r="294" spans="1:24" ht="18.75" x14ac:dyDescent="0.25">
      <c r="A294" s="258">
        <v>45811</v>
      </c>
      <c r="B294" s="131" t="s">
        <v>108</v>
      </c>
      <c r="C294" s="131" t="s">
        <v>7</v>
      </c>
      <c r="D294" s="131">
        <v>1</v>
      </c>
      <c r="E294" s="131">
        <v>100</v>
      </c>
      <c r="F294" s="131" t="s">
        <v>100</v>
      </c>
      <c r="G294" s="247">
        <v>583.9</v>
      </c>
      <c r="H294" s="247">
        <v>583.9</v>
      </c>
      <c r="I294" s="247">
        <v>52.550999999999995</v>
      </c>
      <c r="J294" s="247">
        <v>123.24444444444444</v>
      </c>
      <c r="K294" s="247">
        <v>95.87203302373581</v>
      </c>
      <c r="L294" s="247">
        <v>98.366730279898221</v>
      </c>
      <c r="M294" s="247">
        <v>15.5</v>
      </c>
      <c r="N294" s="247">
        <v>22.060808049535602</v>
      </c>
      <c r="O294" s="249">
        <v>52.550999999999995</v>
      </c>
      <c r="P294" s="250">
        <v>123.24444444444444</v>
      </c>
      <c r="Q294" s="249">
        <v>95.87203302373581</v>
      </c>
      <c r="R294" s="249">
        <v>98.366730279898221</v>
      </c>
      <c r="S294" s="249">
        <v>15.5</v>
      </c>
      <c r="T294" s="249">
        <v>22.060808049535602</v>
      </c>
      <c r="U294" s="251">
        <v>407.595015797614</v>
      </c>
      <c r="V294" s="247">
        <v>176.30498420238598</v>
      </c>
      <c r="W294" s="252">
        <v>176.30498420238598</v>
      </c>
      <c r="X294" s="136">
        <v>0.30194379894226064</v>
      </c>
    </row>
    <row r="295" spans="1:24" ht="18.75" x14ac:dyDescent="0.25">
      <c r="A295" s="258">
        <v>45811</v>
      </c>
      <c r="B295" s="131" t="s">
        <v>108</v>
      </c>
      <c r="C295" s="131" t="s">
        <v>18</v>
      </c>
      <c r="D295" s="131">
        <v>3</v>
      </c>
      <c r="E295" s="131">
        <v>100</v>
      </c>
      <c r="F295" s="131" t="s">
        <v>340</v>
      </c>
      <c r="G295" s="247">
        <v>589.9</v>
      </c>
      <c r="H295" s="247">
        <v>1769.7</v>
      </c>
      <c r="I295" s="247">
        <v>260.14589999999998</v>
      </c>
      <c r="J295" s="247">
        <v>443.93333333333328</v>
      </c>
      <c r="K295" s="247">
        <v>287.61609907120743</v>
      </c>
      <c r="L295" s="247">
        <v>295.10019083969468</v>
      </c>
      <c r="M295" s="247">
        <v>46.5</v>
      </c>
      <c r="N295" s="247">
        <v>66.182424148606799</v>
      </c>
      <c r="O295" s="249">
        <v>86.715299999999999</v>
      </c>
      <c r="P295" s="250">
        <v>147.97777777777776</v>
      </c>
      <c r="Q295" s="249">
        <v>95.87203302373581</v>
      </c>
      <c r="R295" s="249">
        <v>98.366730279898221</v>
      </c>
      <c r="S295" s="249">
        <v>15.5</v>
      </c>
      <c r="T295" s="249">
        <v>22.060808049535602</v>
      </c>
      <c r="U295" s="251">
        <v>1399.477947392842</v>
      </c>
      <c r="V295" s="247">
        <v>370.22205260715805</v>
      </c>
      <c r="W295" s="252">
        <v>123.40735086905268</v>
      </c>
      <c r="X295" s="136">
        <v>0.20920045917791602</v>
      </c>
    </row>
    <row r="296" spans="1:24" ht="18.75" x14ac:dyDescent="0.25">
      <c r="A296" s="258">
        <v>45811</v>
      </c>
      <c r="B296" s="131" t="s">
        <v>108</v>
      </c>
      <c r="C296" s="131" t="s">
        <v>18</v>
      </c>
      <c r="D296" s="131">
        <v>1</v>
      </c>
      <c r="E296" s="131">
        <v>100</v>
      </c>
      <c r="F296" s="131" t="s">
        <v>340</v>
      </c>
      <c r="G296" s="247">
        <v>589.9</v>
      </c>
      <c r="H296" s="247">
        <v>589.9</v>
      </c>
      <c r="I296" s="247">
        <v>86.715299999999985</v>
      </c>
      <c r="J296" s="247">
        <v>147.97777777777776</v>
      </c>
      <c r="K296" s="247">
        <v>95.87203302373581</v>
      </c>
      <c r="L296" s="247">
        <v>98.366730279898221</v>
      </c>
      <c r="M296" s="247">
        <v>15.5</v>
      </c>
      <c r="N296" s="247">
        <v>22.060808049535602</v>
      </c>
      <c r="O296" s="249">
        <v>86.715299999999985</v>
      </c>
      <c r="P296" s="250">
        <v>147.97777777777776</v>
      </c>
      <c r="Q296" s="249">
        <v>95.87203302373581</v>
      </c>
      <c r="R296" s="249">
        <v>98.366730279898221</v>
      </c>
      <c r="S296" s="249">
        <v>15.5</v>
      </c>
      <c r="T296" s="249">
        <v>22.060808049535602</v>
      </c>
      <c r="U296" s="251">
        <v>466.49264913094737</v>
      </c>
      <c r="V296" s="247">
        <v>123.40735086905261</v>
      </c>
      <c r="W296" s="252">
        <v>123.40735086905261</v>
      </c>
      <c r="X296" s="136">
        <v>0.20920045917791594</v>
      </c>
    </row>
    <row r="297" spans="1:24" ht="18.75" x14ac:dyDescent="0.25">
      <c r="A297" s="258">
        <v>45811</v>
      </c>
      <c r="B297" s="131" t="s">
        <v>108</v>
      </c>
      <c r="C297" s="131" t="s">
        <v>6</v>
      </c>
      <c r="D297" s="131">
        <v>1</v>
      </c>
      <c r="E297" s="131">
        <v>100</v>
      </c>
      <c r="F297" s="131" t="s">
        <v>340</v>
      </c>
      <c r="G297" s="247">
        <v>601.9</v>
      </c>
      <c r="H297" s="247">
        <v>601.9</v>
      </c>
      <c r="I297" s="247">
        <v>88.479299999999995</v>
      </c>
      <c r="J297" s="247">
        <v>124.74444444444444</v>
      </c>
      <c r="K297" s="247">
        <v>95.87203302373581</v>
      </c>
      <c r="L297" s="247">
        <v>98.366730279898221</v>
      </c>
      <c r="M297" s="247">
        <v>15.5</v>
      </c>
      <c r="N297" s="247">
        <v>22.060808049535602</v>
      </c>
      <c r="O297" s="249">
        <v>88.479299999999995</v>
      </c>
      <c r="P297" s="250">
        <v>124.74444444444444</v>
      </c>
      <c r="Q297" s="249">
        <v>95.87203302373581</v>
      </c>
      <c r="R297" s="249">
        <v>98.366730279898221</v>
      </c>
      <c r="S297" s="249">
        <v>15.5</v>
      </c>
      <c r="T297" s="249">
        <v>22.060808049535602</v>
      </c>
      <c r="U297" s="251">
        <v>445.02331579761403</v>
      </c>
      <c r="V297" s="247">
        <v>156.87668420238595</v>
      </c>
      <c r="W297" s="252">
        <v>156.87668420238595</v>
      </c>
      <c r="X297" s="136">
        <v>0.26063579365739481</v>
      </c>
    </row>
    <row r="298" spans="1:24" ht="18.75" x14ac:dyDescent="0.25">
      <c r="A298" s="258">
        <v>45811</v>
      </c>
      <c r="B298" s="131" t="s">
        <v>108</v>
      </c>
      <c r="C298" s="131" t="s">
        <v>135</v>
      </c>
      <c r="D298" s="131">
        <v>2</v>
      </c>
      <c r="E298" s="131">
        <v>140</v>
      </c>
      <c r="F298" s="131" t="s">
        <v>340</v>
      </c>
      <c r="G298" s="247">
        <v>604.9</v>
      </c>
      <c r="H298" s="247">
        <v>1209.8</v>
      </c>
      <c r="I298" s="247">
        <v>177.84059999999999</v>
      </c>
      <c r="J298" s="247">
        <v>301.88888888888886</v>
      </c>
      <c r="K298" s="247">
        <v>191.74406604747162</v>
      </c>
      <c r="L298" s="247">
        <v>196.73346055979644</v>
      </c>
      <c r="M298" s="247">
        <v>31</v>
      </c>
      <c r="N298" s="247">
        <v>44.121616099071204</v>
      </c>
      <c r="O298" s="249">
        <v>88.920299999999997</v>
      </c>
      <c r="P298" s="250">
        <v>150.94444444444443</v>
      </c>
      <c r="Q298" s="249">
        <v>95.87203302373581</v>
      </c>
      <c r="R298" s="249">
        <v>98.366730279898221</v>
      </c>
      <c r="S298" s="249">
        <v>15.5</v>
      </c>
      <c r="T298" s="249">
        <v>22.060808049535602</v>
      </c>
      <c r="U298" s="251">
        <v>943.32863159522799</v>
      </c>
      <c r="V298" s="247">
        <v>266.47136840477197</v>
      </c>
      <c r="W298" s="252">
        <v>133.23568420238598</v>
      </c>
      <c r="X298" s="136">
        <v>0.22026067813256073</v>
      </c>
    </row>
    <row r="299" spans="1:24" ht="18.75" x14ac:dyDescent="0.25">
      <c r="A299" s="258">
        <v>45811</v>
      </c>
      <c r="B299" s="131" t="s">
        <v>108</v>
      </c>
      <c r="C299" s="131" t="s">
        <v>9</v>
      </c>
      <c r="D299" s="131">
        <v>1</v>
      </c>
      <c r="E299" s="131">
        <v>140</v>
      </c>
      <c r="F299" s="131" t="s">
        <v>340</v>
      </c>
      <c r="G299" s="247">
        <v>604.9</v>
      </c>
      <c r="H299" s="247">
        <v>604.9</v>
      </c>
      <c r="I299" s="247">
        <v>88.920299999999997</v>
      </c>
      <c r="J299" s="247">
        <v>143.94444444444443</v>
      </c>
      <c r="K299" s="247">
        <v>95.87203302373581</v>
      </c>
      <c r="L299" s="247">
        <v>98.366730279898221</v>
      </c>
      <c r="M299" s="247">
        <v>15.5</v>
      </c>
      <c r="N299" s="247">
        <v>22.060808049535602</v>
      </c>
      <c r="O299" s="249">
        <v>88.920299999999997</v>
      </c>
      <c r="P299" s="250">
        <v>143.94444444444443</v>
      </c>
      <c r="Q299" s="249">
        <v>95.87203302373581</v>
      </c>
      <c r="R299" s="249">
        <v>98.366730279898221</v>
      </c>
      <c r="S299" s="249">
        <v>15.5</v>
      </c>
      <c r="T299" s="249">
        <v>22.060808049535602</v>
      </c>
      <c r="U299" s="251">
        <v>464.66431579761399</v>
      </c>
      <c r="V299" s="247">
        <v>140.23568420238598</v>
      </c>
      <c r="W299" s="252">
        <v>140.23568420238598</v>
      </c>
      <c r="X299" s="136">
        <v>0.23183283882027772</v>
      </c>
    </row>
    <row r="300" spans="1:24" ht="18.75" x14ac:dyDescent="0.25">
      <c r="A300" s="258">
        <v>45811</v>
      </c>
      <c r="B300" s="131" t="s">
        <v>108</v>
      </c>
      <c r="C300" s="131" t="s">
        <v>7</v>
      </c>
      <c r="D300" s="131">
        <v>6</v>
      </c>
      <c r="E300" s="131">
        <v>140</v>
      </c>
      <c r="F300" s="131" t="s">
        <v>340</v>
      </c>
      <c r="G300" s="247">
        <v>604.9</v>
      </c>
      <c r="H300" s="247">
        <v>3629.4</v>
      </c>
      <c r="I300" s="247">
        <v>533.52179999999998</v>
      </c>
      <c r="J300" s="247">
        <v>854.66666666666652</v>
      </c>
      <c r="K300" s="247">
        <v>575.23219814241486</v>
      </c>
      <c r="L300" s="247">
        <v>590.20038167938935</v>
      </c>
      <c r="M300" s="247">
        <v>93</v>
      </c>
      <c r="N300" s="247">
        <v>132.3648482972136</v>
      </c>
      <c r="O300" s="249">
        <v>88.920299999999997</v>
      </c>
      <c r="P300" s="250">
        <v>142.44444444444443</v>
      </c>
      <c r="Q300" s="249">
        <v>95.87203302373581</v>
      </c>
      <c r="R300" s="249">
        <v>98.366730279898221</v>
      </c>
      <c r="S300" s="249">
        <v>15.5</v>
      </c>
      <c r="T300" s="249">
        <v>22.060808049535602</v>
      </c>
      <c r="U300" s="251">
        <v>2778.9858947856837</v>
      </c>
      <c r="V300" s="247">
        <v>850.41410521431635</v>
      </c>
      <c r="W300" s="252">
        <v>141.73568420238607</v>
      </c>
      <c r="X300" s="136">
        <v>0.2343125875390743</v>
      </c>
    </row>
    <row r="301" spans="1:24" ht="18.75" x14ac:dyDescent="0.25">
      <c r="A301" s="258">
        <v>45811</v>
      </c>
      <c r="B301" s="131" t="s">
        <v>108</v>
      </c>
      <c r="C301" s="131" t="s">
        <v>5</v>
      </c>
      <c r="D301" s="131">
        <v>1</v>
      </c>
      <c r="E301" s="131">
        <v>100</v>
      </c>
      <c r="F301" s="131" t="s">
        <v>100</v>
      </c>
      <c r="G301" s="247">
        <v>604.9</v>
      </c>
      <c r="H301" s="247">
        <v>604.9</v>
      </c>
      <c r="I301" s="247">
        <v>54.440999999999995</v>
      </c>
      <c r="J301" s="247">
        <v>163.57222222222222</v>
      </c>
      <c r="K301" s="247">
        <v>95.87203302373581</v>
      </c>
      <c r="L301" s="247">
        <v>98.366730279898221</v>
      </c>
      <c r="M301" s="247">
        <v>15.5</v>
      </c>
      <c r="N301" s="247">
        <v>22.060808049535602</v>
      </c>
      <c r="O301" s="249">
        <v>54.440999999999995</v>
      </c>
      <c r="P301" s="250">
        <v>163.57222222222222</v>
      </c>
      <c r="Q301" s="249">
        <v>95.87203302373581</v>
      </c>
      <c r="R301" s="249">
        <v>98.366730279898221</v>
      </c>
      <c r="S301" s="249">
        <v>15.5</v>
      </c>
      <c r="T301" s="249">
        <v>22.060808049535602</v>
      </c>
      <c r="U301" s="251">
        <v>449.81279357539182</v>
      </c>
      <c r="V301" s="247">
        <v>155.08720642460815</v>
      </c>
      <c r="W301" s="252">
        <v>155.08720642460815</v>
      </c>
      <c r="X301" s="136">
        <v>0.25638486762209978</v>
      </c>
    </row>
    <row r="302" spans="1:24" ht="18.75" x14ac:dyDescent="0.25">
      <c r="A302" s="258">
        <v>45811</v>
      </c>
      <c r="B302" s="131" t="s">
        <v>108</v>
      </c>
      <c r="C302" s="131" t="s">
        <v>5</v>
      </c>
      <c r="D302" s="131">
        <v>4</v>
      </c>
      <c r="E302" s="131">
        <v>100</v>
      </c>
      <c r="F302" s="131" t="s">
        <v>340</v>
      </c>
      <c r="G302" s="247">
        <v>609.9</v>
      </c>
      <c r="H302" s="247">
        <v>2439.6</v>
      </c>
      <c r="I302" s="247">
        <v>358.62119999999999</v>
      </c>
      <c r="J302" s="247">
        <v>654.28888888888889</v>
      </c>
      <c r="K302" s="247">
        <v>383.48813209494324</v>
      </c>
      <c r="L302" s="247">
        <v>393.46692111959288</v>
      </c>
      <c r="M302" s="247">
        <v>62</v>
      </c>
      <c r="N302" s="247">
        <v>88.243232198142408</v>
      </c>
      <c r="O302" s="249">
        <v>89.655299999999997</v>
      </c>
      <c r="P302" s="250">
        <v>163.57222222222222</v>
      </c>
      <c r="Q302" s="249">
        <v>95.87203302373581</v>
      </c>
      <c r="R302" s="249">
        <v>98.366730279898221</v>
      </c>
      <c r="S302" s="249">
        <v>15.5</v>
      </c>
      <c r="T302" s="249">
        <v>22.060808049535602</v>
      </c>
      <c r="U302" s="251">
        <v>1940.1083743015672</v>
      </c>
      <c r="V302" s="247">
        <v>499.4916256984327</v>
      </c>
      <c r="W302" s="252">
        <v>124.87290642460817</v>
      </c>
      <c r="X302" s="136">
        <v>0.20474324713003472</v>
      </c>
    </row>
    <row r="303" spans="1:24" ht="18.75" x14ac:dyDescent="0.25">
      <c r="A303" s="258">
        <v>45811</v>
      </c>
      <c r="B303" s="131" t="s">
        <v>108</v>
      </c>
      <c r="C303" s="131" t="s">
        <v>11</v>
      </c>
      <c r="D303" s="131">
        <v>1</v>
      </c>
      <c r="E303" s="131">
        <v>140</v>
      </c>
      <c r="F303" s="131" t="s">
        <v>340</v>
      </c>
      <c r="G303" s="247">
        <v>614.9</v>
      </c>
      <c r="H303" s="247">
        <v>614.9</v>
      </c>
      <c r="I303" s="247">
        <v>90.390299999999996</v>
      </c>
      <c r="J303" s="247">
        <v>145.44444444444443</v>
      </c>
      <c r="K303" s="247">
        <v>95.87203302373581</v>
      </c>
      <c r="L303" s="247">
        <v>98.366730279898221</v>
      </c>
      <c r="M303" s="247">
        <v>15.5</v>
      </c>
      <c r="N303" s="247">
        <v>22.060808049535602</v>
      </c>
      <c r="O303" s="249">
        <v>90.390299999999996</v>
      </c>
      <c r="P303" s="250">
        <v>145.44444444444443</v>
      </c>
      <c r="Q303" s="249">
        <v>95.87203302373581</v>
      </c>
      <c r="R303" s="249">
        <v>98.366730279898221</v>
      </c>
      <c r="S303" s="249">
        <v>15.5</v>
      </c>
      <c r="T303" s="249">
        <v>22.060808049535602</v>
      </c>
      <c r="U303" s="251">
        <v>467.63431579761402</v>
      </c>
      <c r="V303" s="247">
        <v>147.26568420238596</v>
      </c>
      <c r="W303" s="252">
        <v>147.26568420238596</v>
      </c>
      <c r="X303" s="136">
        <v>0.2394953394086615</v>
      </c>
    </row>
    <row r="304" spans="1:24" ht="18.75" x14ac:dyDescent="0.25">
      <c r="A304" s="258">
        <v>45811</v>
      </c>
      <c r="B304" s="131" t="s">
        <v>108</v>
      </c>
      <c r="C304" s="131" t="s">
        <v>5</v>
      </c>
      <c r="D304" s="131">
        <v>1</v>
      </c>
      <c r="E304" s="131">
        <v>100</v>
      </c>
      <c r="F304" s="131" t="s">
        <v>100</v>
      </c>
      <c r="G304" s="247">
        <v>616.9</v>
      </c>
      <c r="H304" s="247">
        <v>616.9</v>
      </c>
      <c r="I304" s="247">
        <v>55.520999999999994</v>
      </c>
      <c r="J304" s="247">
        <v>163.57222222222222</v>
      </c>
      <c r="K304" s="247">
        <v>95.87203302373581</v>
      </c>
      <c r="L304" s="247">
        <v>98.366730279898221</v>
      </c>
      <c r="M304" s="247">
        <v>15.5</v>
      </c>
      <c r="N304" s="247">
        <v>22.060808049535602</v>
      </c>
      <c r="O304" s="249">
        <v>55.520999999999994</v>
      </c>
      <c r="P304" s="250">
        <v>163.57222222222222</v>
      </c>
      <c r="Q304" s="249">
        <v>95.87203302373581</v>
      </c>
      <c r="R304" s="249">
        <v>98.366730279898221</v>
      </c>
      <c r="S304" s="249">
        <v>15.5</v>
      </c>
      <c r="T304" s="249">
        <v>22.060808049535602</v>
      </c>
      <c r="U304" s="251">
        <v>450.89279357539181</v>
      </c>
      <c r="V304" s="247">
        <v>166.00720642460817</v>
      </c>
      <c r="W304" s="252">
        <v>166.00720642460817</v>
      </c>
      <c r="X304" s="136">
        <v>0.26909905401946538</v>
      </c>
    </row>
    <row r="305" spans="1:24" ht="18.75" x14ac:dyDescent="0.25">
      <c r="A305" s="258">
        <v>45811</v>
      </c>
      <c r="B305" s="131" t="s">
        <v>108</v>
      </c>
      <c r="C305" s="131" t="s">
        <v>5</v>
      </c>
      <c r="D305" s="131">
        <v>1</v>
      </c>
      <c r="E305" s="131">
        <v>100</v>
      </c>
      <c r="F305" s="131" t="s">
        <v>340</v>
      </c>
      <c r="G305" s="247">
        <v>616.9</v>
      </c>
      <c r="H305" s="247">
        <v>616.9</v>
      </c>
      <c r="I305" s="247">
        <v>90.684299999999993</v>
      </c>
      <c r="J305" s="247">
        <v>163.57222222222222</v>
      </c>
      <c r="K305" s="247">
        <v>95.87203302373581</v>
      </c>
      <c r="L305" s="247">
        <v>98.366730279898221</v>
      </c>
      <c r="M305" s="247">
        <v>15.5</v>
      </c>
      <c r="N305" s="247">
        <v>22.060808049535602</v>
      </c>
      <c r="O305" s="249">
        <v>90.684299999999993</v>
      </c>
      <c r="P305" s="250">
        <v>163.57222222222222</v>
      </c>
      <c r="Q305" s="249">
        <v>95.87203302373581</v>
      </c>
      <c r="R305" s="249">
        <v>98.366730279898221</v>
      </c>
      <c r="S305" s="249">
        <v>15.5</v>
      </c>
      <c r="T305" s="249">
        <v>22.060808049535602</v>
      </c>
      <c r="U305" s="251">
        <v>486.0560935753918</v>
      </c>
      <c r="V305" s="247">
        <v>130.84390642460818</v>
      </c>
      <c r="W305" s="252">
        <v>130.84390642460818</v>
      </c>
      <c r="X305" s="136">
        <v>0.21209905401946536</v>
      </c>
    </row>
    <row r="306" spans="1:24" ht="18.75" x14ac:dyDescent="0.25">
      <c r="A306" s="258">
        <v>45811</v>
      </c>
      <c r="B306" s="131" t="s">
        <v>108</v>
      </c>
      <c r="C306" s="131" t="s">
        <v>18</v>
      </c>
      <c r="D306" s="131">
        <v>1</v>
      </c>
      <c r="E306" s="131">
        <v>140</v>
      </c>
      <c r="F306" s="131" t="s">
        <v>216</v>
      </c>
      <c r="G306" s="247">
        <v>618.9</v>
      </c>
      <c r="H306" s="247">
        <v>618.9</v>
      </c>
      <c r="I306" s="247">
        <v>79.838099999999997</v>
      </c>
      <c r="J306" s="247">
        <v>167.17777777777775</v>
      </c>
      <c r="K306" s="247">
        <v>95.87203302373581</v>
      </c>
      <c r="L306" s="247">
        <v>98.366730279898221</v>
      </c>
      <c r="M306" s="247">
        <v>15.5</v>
      </c>
      <c r="N306" s="247">
        <v>22.060808049535602</v>
      </c>
      <c r="O306" s="249">
        <v>79.838099999999997</v>
      </c>
      <c r="P306" s="250">
        <v>167.17777777777775</v>
      </c>
      <c r="Q306" s="249">
        <v>95.87203302373581</v>
      </c>
      <c r="R306" s="249">
        <v>98.366730279898221</v>
      </c>
      <c r="S306" s="249">
        <v>15.5</v>
      </c>
      <c r="T306" s="249">
        <v>22.060808049535602</v>
      </c>
      <c r="U306" s="251">
        <v>478.81544913094734</v>
      </c>
      <c r="V306" s="247">
        <v>140.08455086905263</v>
      </c>
      <c r="W306" s="252">
        <v>140.08455086905263</v>
      </c>
      <c r="X306" s="136">
        <v>0.22634440276143583</v>
      </c>
    </row>
    <row r="307" spans="1:24" ht="18.75" x14ac:dyDescent="0.25">
      <c r="A307" s="258">
        <v>45811</v>
      </c>
      <c r="B307" s="131" t="s">
        <v>108</v>
      </c>
      <c r="C307" s="131" t="s">
        <v>7</v>
      </c>
      <c r="D307" s="131">
        <v>1</v>
      </c>
      <c r="E307" s="131">
        <v>140</v>
      </c>
      <c r="F307" s="131" t="s">
        <v>100</v>
      </c>
      <c r="G307" s="247">
        <v>628.79999999999995</v>
      </c>
      <c r="H307" s="247">
        <v>628.79999999999995</v>
      </c>
      <c r="I307" s="247">
        <v>56.591999999999992</v>
      </c>
      <c r="J307" s="247">
        <v>142.44444444444443</v>
      </c>
      <c r="K307" s="247">
        <v>95.87203302373581</v>
      </c>
      <c r="L307" s="247">
        <v>98.366730279898221</v>
      </c>
      <c r="M307" s="247">
        <v>15.5</v>
      </c>
      <c r="N307" s="247">
        <v>22.060808049535602</v>
      </c>
      <c r="O307" s="249">
        <v>56.591999999999992</v>
      </c>
      <c r="P307" s="250">
        <v>142.44444444444443</v>
      </c>
      <c r="Q307" s="249">
        <v>95.87203302373581</v>
      </c>
      <c r="R307" s="249">
        <v>98.366730279898221</v>
      </c>
      <c r="S307" s="249">
        <v>15.5</v>
      </c>
      <c r="T307" s="249">
        <v>22.060808049535602</v>
      </c>
      <c r="U307" s="251">
        <v>430.83601579761398</v>
      </c>
      <c r="V307" s="247">
        <v>197.96398420238597</v>
      </c>
      <c r="W307" s="252">
        <v>197.96398420238597</v>
      </c>
      <c r="X307" s="136">
        <v>0.31482821915137721</v>
      </c>
    </row>
    <row r="308" spans="1:24" ht="18.75" x14ac:dyDescent="0.25">
      <c r="A308" s="258">
        <v>45811</v>
      </c>
      <c r="B308" s="131" t="s">
        <v>108</v>
      </c>
      <c r="C308" s="131" t="s">
        <v>7</v>
      </c>
      <c r="D308" s="131">
        <v>2</v>
      </c>
      <c r="E308" s="131">
        <v>200</v>
      </c>
      <c r="F308" s="131" t="s">
        <v>100</v>
      </c>
      <c r="G308" s="247">
        <v>629.79999999999995</v>
      </c>
      <c r="H308" s="247">
        <v>1259.5999999999999</v>
      </c>
      <c r="I308" s="247">
        <v>113.36399999999999</v>
      </c>
      <c r="J308" s="247">
        <v>369.57777777777773</v>
      </c>
      <c r="K308" s="247">
        <v>191.74406604747162</v>
      </c>
      <c r="L308" s="247">
        <v>196.73346055979644</v>
      </c>
      <c r="M308" s="247">
        <v>31</v>
      </c>
      <c r="N308" s="247">
        <v>44.121616099071204</v>
      </c>
      <c r="O308" s="249">
        <v>56.681999999999995</v>
      </c>
      <c r="P308" s="250">
        <v>184.78888888888886</v>
      </c>
      <c r="Q308" s="249">
        <v>95.87203302373581</v>
      </c>
      <c r="R308" s="249">
        <v>98.366730279898221</v>
      </c>
      <c r="S308" s="249">
        <v>15.5</v>
      </c>
      <c r="T308" s="249">
        <v>22.060808049535602</v>
      </c>
      <c r="U308" s="251">
        <v>946.5409204841169</v>
      </c>
      <c r="V308" s="247">
        <v>313.05907951588301</v>
      </c>
      <c r="W308" s="252">
        <v>156.52953975794151</v>
      </c>
      <c r="X308" s="136">
        <v>0.2485384880246769</v>
      </c>
    </row>
    <row r="309" spans="1:24" ht="18.75" x14ac:dyDescent="0.25">
      <c r="A309" s="258">
        <v>45811</v>
      </c>
      <c r="B309" s="131" t="s">
        <v>108</v>
      </c>
      <c r="C309" s="131" t="s">
        <v>5</v>
      </c>
      <c r="D309" s="131">
        <v>1</v>
      </c>
      <c r="E309" s="131">
        <v>100</v>
      </c>
      <c r="F309" s="131" t="s">
        <v>340</v>
      </c>
      <c r="G309" s="247">
        <v>630.9</v>
      </c>
      <c r="H309" s="247">
        <v>630.9</v>
      </c>
      <c r="I309" s="247">
        <v>92.742299999999986</v>
      </c>
      <c r="J309" s="247">
        <v>163.57222222222222</v>
      </c>
      <c r="K309" s="247">
        <v>95.87203302373581</v>
      </c>
      <c r="L309" s="247">
        <v>98.366730279898221</v>
      </c>
      <c r="M309" s="247">
        <v>15.5</v>
      </c>
      <c r="N309" s="247">
        <v>22.060808049535602</v>
      </c>
      <c r="O309" s="249">
        <v>92.742299999999986</v>
      </c>
      <c r="P309" s="250">
        <v>163.57222222222222</v>
      </c>
      <c r="Q309" s="249">
        <v>95.87203302373581</v>
      </c>
      <c r="R309" s="249">
        <v>98.366730279898221</v>
      </c>
      <c r="S309" s="249">
        <v>15.5</v>
      </c>
      <c r="T309" s="249">
        <v>22.060808049535602</v>
      </c>
      <c r="U309" s="251">
        <v>488.11409357539179</v>
      </c>
      <c r="V309" s="247">
        <v>142.78590642460819</v>
      </c>
      <c r="W309" s="252">
        <v>142.78590642460819</v>
      </c>
      <c r="X309" s="136">
        <v>0.2263209802260393</v>
      </c>
    </row>
    <row r="310" spans="1:24" ht="18.75" x14ac:dyDescent="0.25">
      <c r="A310" s="258">
        <v>45811</v>
      </c>
      <c r="B310" s="131" t="s">
        <v>108</v>
      </c>
      <c r="C310" s="131" t="s">
        <v>135</v>
      </c>
      <c r="D310" s="131">
        <v>1</v>
      </c>
      <c r="E310" s="131">
        <v>140</v>
      </c>
      <c r="F310" s="131" t="s">
        <v>340</v>
      </c>
      <c r="G310" s="247">
        <v>634.9</v>
      </c>
      <c r="H310" s="247">
        <v>634.9</v>
      </c>
      <c r="I310" s="247">
        <v>93.330299999999994</v>
      </c>
      <c r="J310" s="247">
        <v>150.94444444444443</v>
      </c>
      <c r="K310" s="247">
        <v>95.87203302373581</v>
      </c>
      <c r="L310" s="247">
        <v>98.366730279898221</v>
      </c>
      <c r="M310" s="247">
        <v>15.5</v>
      </c>
      <c r="N310" s="247">
        <v>22.060808049535602</v>
      </c>
      <c r="O310" s="249">
        <v>93.330299999999994</v>
      </c>
      <c r="P310" s="250">
        <v>150.94444444444443</v>
      </c>
      <c r="Q310" s="249">
        <v>95.87203302373581</v>
      </c>
      <c r="R310" s="249">
        <v>98.366730279898221</v>
      </c>
      <c r="S310" s="249">
        <v>15.5</v>
      </c>
      <c r="T310" s="249">
        <v>22.060808049535602</v>
      </c>
      <c r="U310" s="251">
        <v>476.07431579761402</v>
      </c>
      <c r="V310" s="247">
        <v>158.82568420238596</v>
      </c>
      <c r="W310" s="252">
        <v>158.82568420238596</v>
      </c>
      <c r="X310" s="136">
        <v>0.25015858277269798</v>
      </c>
    </row>
    <row r="311" spans="1:24" ht="18.75" x14ac:dyDescent="0.25">
      <c r="A311" s="258">
        <v>45811</v>
      </c>
      <c r="B311" s="131" t="s">
        <v>108</v>
      </c>
      <c r="C311" s="131" t="s">
        <v>5</v>
      </c>
      <c r="D311" s="131">
        <v>1</v>
      </c>
      <c r="E311" s="131">
        <v>140</v>
      </c>
      <c r="F311" s="131" t="s">
        <v>100</v>
      </c>
      <c r="G311" s="247">
        <v>634.9</v>
      </c>
      <c r="H311" s="247">
        <v>634.9</v>
      </c>
      <c r="I311" s="247">
        <v>57.140999999999998</v>
      </c>
      <c r="J311" s="247">
        <v>182.77222222222221</v>
      </c>
      <c r="K311" s="247">
        <v>95.87203302373581</v>
      </c>
      <c r="L311" s="247">
        <v>98.366730279898221</v>
      </c>
      <c r="M311" s="247">
        <v>15.5</v>
      </c>
      <c r="N311" s="247">
        <v>22.060808049535602</v>
      </c>
      <c r="O311" s="249">
        <v>57.140999999999998</v>
      </c>
      <c r="P311" s="250">
        <v>182.77222222222221</v>
      </c>
      <c r="Q311" s="249">
        <v>95.87203302373581</v>
      </c>
      <c r="R311" s="249">
        <v>98.366730279898221</v>
      </c>
      <c r="S311" s="249">
        <v>15.5</v>
      </c>
      <c r="T311" s="249">
        <v>22.060808049535602</v>
      </c>
      <c r="U311" s="251">
        <v>471.7127935753918</v>
      </c>
      <c r="V311" s="247">
        <v>163.18720642460818</v>
      </c>
      <c r="W311" s="252">
        <v>163.18720642460818</v>
      </c>
      <c r="X311" s="136">
        <v>0.25702820353537281</v>
      </c>
    </row>
    <row r="312" spans="1:24" ht="18.75" x14ac:dyDescent="0.25">
      <c r="A312" s="258">
        <v>45811</v>
      </c>
      <c r="B312" s="131" t="s">
        <v>108</v>
      </c>
      <c r="C312" s="131" t="s">
        <v>5</v>
      </c>
      <c r="D312" s="131">
        <v>1</v>
      </c>
      <c r="E312" s="131">
        <v>140</v>
      </c>
      <c r="F312" s="131" t="s">
        <v>216</v>
      </c>
      <c r="G312" s="247">
        <v>636.9</v>
      </c>
      <c r="H312" s="247">
        <v>636.9</v>
      </c>
      <c r="I312" s="247">
        <v>82.1601</v>
      </c>
      <c r="J312" s="247">
        <v>182.77222222222221</v>
      </c>
      <c r="K312" s="247">
        <v>95.87203302373581</v>
      </c>
      <c r="L312" s="247">
        <v>98.366730279898221</v>
      </c>
      <c r="M312" s="247">
        <v>15.5</v>
      </c>
      <c r="N312" s="247">
        <v>22.060808049535602</v>
      </c>
      <c r="O312" s="249">
        <v>82.1601</v>
      </c>
      <c r="P312" s="250">
        <v>182.77222222222221</v>
      </c>
      <c r="Q312" s="249">
        <v>95.87203302373581</v>
      </c>
      <c r="R312" s="249">
        <v>98.366730279898221</v>
      </c>
      <c r="S312" s="249">
        <v>15.5</v>
      </c>
      <c r="T312" s="249">
        <v>22.060808049535602</v>
      </c>
      <c r="U312" s="251">
        <v>496.73189357539178</v>
      </c>
      <c r="V312" s="247">
        <v>140.1681064246082</v>
      </c>
      <c r="W312" s="252">
        <v>140.1681064246082</v>
      </c>
      <c r="X312" s="136">
        <v>0.22007867235768283</v>
      </c>
    </row>
    <row r="313" spans="1:24" ht="18.75" x14ac:dyDescent="0.25">
      <c r="A313" s="258">
        <v>45811</v>
      </c>
      <c r="B313" s="131" t="s">
        <v>108</v>
      </c>
      <c r="C313" s="131" t="s">
        <v>5</v>
      </c>
      <c r="D313" s="131">
        <v>1</v>
      </c>
      <c r="E313" s="131">
        <v>100</v>
      </c>
      <c r="F313" s="131" t="s">
        <v>340</v>
      </c>
      <c r="G313" s="247">
        <v>637.9</v>
      </c>
      <c r="H313" s="247">
        <v>637.9</v>
      </c>
      <c r="I313" s="247">
        <v>93.771299999999997</v>
      </c>
      <c r="J313" s="247">
        <v>163.57222222222222</v>
      </c>
      <c r="K313" s="247">
        <v>95.87203302373581</v>
      </c>
      <c r="L313" s="247">
        <v>98.366730279898221</v>
      </c>
      <c r="M313" s="247">
        <v>15.5</v>
      </c>
      <c r="N313" s="247">
        <v>22.060808049535602</v>
      </c>
      <c r="O313" s="249">
        <v>93.771299999999997</v>
      </c>
      <c r="P313" s="250">
        <v>163.57222222222222</v>
      </c>
      <c r="Q313" s="249">
        <v>95.87203302373581</v>
      </c>
      <c r="R313" s="249">
        <v>98.366730279898221</v>
      </c>
      <c r="S313" s="249">
        <v>15.5</v>
      </c>
      <c r="T313" s="249">
        <v>22.060808049535602</v>
      </c>
      <c r="U313" s="251">
        <v>489.14309357539179</v>
      </c>
      <c r="V313" s="247">
        <v>148.75690642460819</v>
      </c>
      <c r="W313" s="252">
        <v>148.75690642460819</v>
      </c>
      <c r="X313" s="136">
        <v>0.23319784672301019</v>
      </c>
    </row>
    <row r="314" spans="1:24" ht="18.75" x14ac:dyDescent="0.25">
      <c r="A314" s="258">
        <v>45811</v>
      </c>
      <c r="B314" s="131" t="s">
        <v>108</v>
      </c>
      <c r="C314" s="131" t="s">
        <v>7</v>
      </c>
      <c r="D314" s="131">
        <v>4</v>
      </c>
      <c r="E314" s="131">
        <v>200</v>
      </c>
      <c r="F314" s="131" t="s">
        <v>216</v>
      </c>
      <c r="G314" s="247">
        <v>637.9</v>
      </c>
      <c r="H314" s="247">
        <v>2551.6</v>
      </c>
      <c r="I314" s="247">
        <v>329.15640000000002</v>
      </c>
      <c r="J314" s="247">
        <v>739.15555555555545</v>
      </c>
      <c r="K314" s="247">
        <v>383.48813209494324</v>
      </c>
      <c r="L314" s="247">
        <v>393.46692111959288</v>
      </c>
      <c r="M314" s="247">
        <v>62</v>
      </c>
      <c r="N314" s="247">
        <v>88.243232198142408</v>
      </c>
      <c r="O314" s="249">
        <v>82.289100000000005</v>
      </c>
      <c r="P314" s="250">
        <v>184.78888888888886</v>
      </c>
      <c r="Q314" s="249">
        <v>95.87203302373581</v>
      </c>
      <c r="R314" s="249">
        <v>98.366730279898221</v>
      </c>
      <c r="S314" s="249">
        <v>15.5</v>
      </c>
      <c r="T314" s="249">
        <v>22.060808049535602</v>
      </c>
      <c r="U314" s="251">
        <v>1995.5102409682338</v>
      </c>
      <c r="V314" s="247">
        <v>556.08975903176611</v>
      </c>
      <c r="W314" s="252">
        <v>139.02243975794153</v>
      </c>
      <c r="X314" s="136">
        <v>0.2179376701018052</v>
      </c>
    </row>
    <row r="315" spans="1:24" ht="18.75" x14ac:dyDescent="0.25">
      <c r="A315" s="258">
        <v>45811</v>
      </c>
      <c r="B315" s="131" t="s">
        <v>108</v>
      </c>
      <c r="C315" s="131" t="s">
        <v>135</v>
      </c>
      <c r="D315" s="131">
        <v>3</v>
      </c>
      <c r="E315" s="131">
        <v>140</v>
      </c>
      <c r="F315" s="131" t="s">
        <v>100</v>
      </c>
      <c r="G315" s="247">
        <v>638.79999999999995</v>
      </c>
      <c r="H315" s="247">
        <v>1916.4</v>
      </c>
      <c r="I315" s="247">
        <v>172.476</v>
      </c>
      <c r="J315" s="247">
        <v>452.83333333333326</v>
      </c>
      <c r="K315" s="247">
        <v>287.61609907120743</v>
      </c>
      <c r="L315" s="247">
        <v>295.10019083969468</v>
      </c>
      <c r="M315" s="247">
        <v>46.5</v>
      </c>
      <c r="N315" s="247">
        <v>66.182424148606799</v>
      </c>
      <c r="O315" s="249">
        <v>57.491999999999997</v>
      </c>
      <c r="P315" s="250">
        <v>150.94444444444443</v>
      </c>
      <c r="Q315" s="249">
        <v>95.87203302373581</v>
      </c>
      <c r="R315" s="249">
        <v>98.366730279898221</v>
      </c>
      <c r="S315" s="249">
        <v>15.5</v>
      </c>
      <c r="T315" s="249">
        <v>22.060808049535602</v>
      </c>
      <c r="U315" s="251">
        <v>1320.708047392842</v>
      </c>
      <c r="V315" s="247">
        <v>595.6919526071581</v>
      </c>
      <c r="W315" s="252">
        <v>198.56398420238602</v>
      </c>
      <c r="X315" s="136">
        <v>0.31083904853222599</v>
      </c>
    </row>
    <row r="316" spans="1:24" ht="18.75" x14ac:dyDescent="0.25">
      <c r="A316" s="258">
        <v>45811</v>
      </c>
      <c r="B316" s="131" t="s">
        <v>108</v>
      </c>
      <c r="C316" s="131" t="s">
        <v>7</v>
      </c>
      <c r="D316" s="131">
        <v>1</v>
      </c>
      <c r="E316" s="131">
        <v>200</v>
      </c>
      <c r="F316" s="131" t="s">
        <v>100</v>
      </c>
      <c r="G316" s="247">
        <v>641.79999999999995</v>
      </c>
      <c r="H316" s="247">
        <v>641.79999999999995</v>
      </c>
      <c r="I316" s="247">
        <v>57.761999999999993</v>
      </c>
      <c r="J316" s="247">
        <v>184.78888888888886</v>
      </c>
      <c r="K316" s="247">
        <v>95.87203302373581</v>
      </c>
      <c r="L316" s="247">
        <v>98.366730279898221</v>
      </c>
      <c r="M316" s="247">
        <v>15.5</v>
      </c>
      <c r="N316" s="247">
        <v>22.060808049535602</v>
      </c>
      <c r="O316" s="249">
        <v>57.761999999999993</v>
      </c>
      <c r="P316" s="250">
        <v>184.78888888888886</v>
      </c>
      <c r="Q316" s="249">
        <v>95.87203302373581</v>
      </c>
      <c r="R316" s="249">
        <v>98.366730279898221</v>
      </c>
      <c r="S316" s="249">
        <v>15.5</v>
      </c>
      <c r="T316" s="249">
        <v>22.060808049535602</v>
      </c>
      <c r="U316" s="251">
        <v>474.35046024205849</v>
      </c>
      <c r="V316" s="247">
        <v>167.44953975794147</v>
      </c>
      <c r="W316" s="252">
        <v>167.44953975794147</v>
      </c>
      <c r="X316" s="136">
        <v>0.26090610744459564</v>
      </c>
    </row>
    <row r="317" spans="1:24" ht="18.75" x14ac:dyDescent="0.25">
      <c r="A317" s="258">
        <v>45811</v>
      </c>
      <c r="B317" s="131" t="s">
        <v>108</v>
      </c>
      <c r="C317" s="131" t="s">
        <v>11</v>
      </c>
      <c r="D317" s="131">
        <v>2</v>
      </c>
      <c r="E317" s="131">
        <v>200</v>
      </c>
      <c r="F317" s="131" t="s">
        <v>100</v>
      </c>
      <c r="G317" s="247">
        <v>641.91</v>
      </c>
      <c r="H317" s="247">
        <v>1283.82</v>
      </c>
      <c r="I317" s="247">
        <v>115.54379999999999</v>
      </c>
      <c r="J317" s="247">
        <v>375.57777777777773</v>
      </c>
      <c r="K317" s="247">
        <v>191.74406604747162</v>
      </c>
      <c r="L317" s="247">
        <v>196.73346055979644</v>
      </c>
      <c r="M317" s="247">
        <v>31</v>
      </c>
      <c r="N317" s="247">
        <v>44.121616099071204</v>
      </c>
      <c r="O317" s="249">
        <v>57.771899999999995</v>
      </c>
      <c r="P317" s="250">
        <v>187.78888888888886</v>
      </c>
      <c r="Q317" s="249">
        <v>95.87203302373581</v>
      </c>
      <c r="R317" s="249">
        <v>98.366730279898221</v>
      </c>
      <c r="S317" s="249">
        <v>15.5</v>
      </c>
      <c r="T317" s="249">
        <v>22.060808049535602</v>
      </c>
      <c r="U317" s="251">
        <v>954.7207204841169</v>
      </c>
      <c r="V317" s="247">
        <v>329.09927951588304</v>
      </c>
      <c r="W317" s="252">
        <v>164.54963975794152</v>
      </c>
      <c r="X317" s="136">
        <v>0.25634378613503689</v>
      </c>
    </row>
    <row r="318" spans="1:24" ht="18.75" x14ac:dyDescent="0.25">
      <c r="A318" s="258">
        <v>45811</v>
      </c>
      <c r="B318" s="131" t="s">
        <v>108</v>
      </c>
      <c r="C318" s="131" t="s">
        <v>10</v>
      </c>
      <c r="D318" s="131">
        <v>1</v>
      </c>
      <c r="E318" s="131">
        <v>140</v>
      </c>
      <c r="F318" s="131" t="s">
        <v>340</v>
      </c>
      <c r="G318" s="247">
        <v>644.9</v>
      </c>
      <c r="H318" s="247">
        <v>644.9</v>
      </c>
      <c r="I318" s="247">
        <v>94.800299999999993</v>
      </c>
      <c r="J318" s="247">
        <v>142.44444444444443</v>
      </c>
      <c r="K318" s="247">
        <v>95.87203302373581</v>
      </c>
      <c r="L318" s="247">
        <v>98.366730279898221</v>
      </c>
      <c r="M318" s="247">
        <v>15.5</v>
      </c>
      <c r="N318" s="247">
        <v>22.060808049535602</v>
      </c>
      <c r="O318" s="249">
        <v>94.800299999999993</v>
      </c>
      <c r="P318" s="250">
        <v>142.44444444444443</v>
      </c>
      <c r="Q318" s="249">
        <v>95.87203302373581</v>
      </c>
      <c r="R318" s="249">
        <v>98.366730279898221</v>
      </c>
      <c r="S318" s="249">
        <v>15.5</v>
      </c>
      <c r="T318" s="249">
        <v>22.060808049535602</v>
      </c>
      <c r="U318" s="251">
        <v>469.04431579761399</v>
      </c>
      <c r="V318" s="247">
        <v>175.85568420238599</v>
      </c>
      <c r="W318" s="252">
        <v>175.85568420238599</v>
      </c>
      <c r="X318" s="136">
        <v>0.27268674864690029</v>
      </c>
    </row>
    <row r="319" spans="1:24" ht="18.75" x14ac:dyDescent="0.25">
      <c r="A319" s="258">
        <v>45811</v>
      </c>
      <c r="B319" s="131" t="s">
        <v>108</v>
      </c>
      <c r="C319" s="131" t="s">
        <v>6</v>
      </c>
      <c r="D319" s="131">
        <v>1</v>
      </c>
      <c r="E319" s="131">
        <v>140</v>
      </c>
      <c r="F319" s="131" t="s">
        <v>340</v>
      </c>
      <c r="G319" s="247">
        <v>644.9</v>
      </c>
      <c r="H319" s="247">
        <v>644.9</v>
      </c>
      <c r="I319" s="247">
        <v>94.800299999999993</v>
      </c>
      <c r="J319" s="247">
        <v>143.94444444444443</v>
      </c>
      <c r="K319" s="247">
        <v>95.87203302373581</v>
      </c>
      <c r="L319" s="247">
        <v>98.366730279898221</v>
      </c>
      <c r="M319" s="247">
        <v>15.5</v>
      </c>
      <c r="N319" s="247">
        <v>22.060808049535602</v>
      </c>
      <c r="O319" s="249">
        <v>94.800299999999993</v>
      </c>
      <c r="P319" s="250">
        <v>143.94444444444443</v>
      </c>
      <c r="Q319" s="249">
        <v>95.87203302373581</v>
      </c>
      <c r="R319" s="249">
        <v>98.366730279898221</v>
      </c>
      <c r="S319" s="249">
        <v>15.5</v>
      </c>
      <c r="T319" s="249">
        <v>22.060808049535602</v>
      </c>
      <c r="U319" s="251">
        <v>470.54431579761399</v>
      </c>
      <c r="V319" s="247">
        <v>174.35568420238599</v>
      </c>
      <c r="W319" s="252">
        <v>174.35568420238599</v>
      </c>
      <c r="X319" s="136">
        <v>0.27036080664038764</v>
      </c>
    </row>
    <row r="320" spans="1:24" ht="18.75" x14ac:dyDescent="0.25">
      <c r="A320" s="258">
        <v>45811</v>
      </c>
      <c r="B320" s="131" t="s">
        <v>108</v>
      </c>
      <c r="C320" s="131" t="s">
        <v>11</v>
      </c>
      <c r="D320" s="131">
        <v>1</v>
      </c>
      <c r="E320" s="131">
        <v>200</v>
      </c>
      <c r="F320" s="131" t="s">
        <v>216</v>
      </c>
      <c r="G320" s="247">
        <v>644.9</v>
      </c>
      <c r="H320" s="247">
        <v>644.9</v>
      </c>
      <c r="I320" s="247">
        <v>83.192099999999996</v>
      </c>
      <c r="J320" s="247">
        <v>187.78888888888886</v>
      </c>
      <c r="K320" s="247">
        <v>95.87203302373581</v>
      </c>
      <c r="L320" s="247">
        <v>98.366730279898221</v>
      </c>
      <c r="M320" s="247">
        <v>15.5</v>
      </c>
      <c r="N320" s="247">
        <v>22.060808049535602</v>
      </c>
      <c r="O320" s="249">
        <v>83.192099999999996</v>
      </c>
      <c r="P320" s="250">
        <v>187.78888888888886</v>
      </c>
      <c r="Q320" s="249">
        <v>95.87203302373581</v>
      </c>
      <c r="R320" s="249">
        <v>98.366730279898221</v>
      </c>
      <c r="S320" s="249">
        <v>15.5</v>
      </c>
      <c r="T320" s="249">
        <v>22.060808049535602</v>
      </c>
      <c r="U320" s="251">
        <v>502.78056024205847</v>
      </c>
      <c r="V320" s="247">
        <v>142.11943975794151</v>
      </c>
      <c r="W320" s="252">
        <v>142.11943975794151</v>
      </c>
      <c r="X320" s="136">
        <v>0.22037438325002559</v>
      </c>
    </row>
    <row r="321" spans="1:24" ht="18.75" x14ac:dyDescent="0.25">
      <c r="A321" s="258">
        <v>45811</v>
      </c>
      <c r="B321" s="131" t="s">
        <v>108</v>
      </c>
      <c r="C321" s="131" t="s">
        <v>7</v>
      </c>
      <c r="D321" s="131">
        <v>1</v>
      </c>
      <c r="E321" s="131">
        <v>300</v>
      </c>
      <c r="F321" s="131" t="s">
        <v>365</v>
      </c>
      <c r="G321" s="247">
        <v>649.9</v>
      </c>
      <c r="H321" s="247">
        <v>649.9</v>
      </c>
      <c r="I321" s="247">
        <v>0</v>
      </c>
      <c r="J321" s="247">
        <v>246.33333333333331</v>
      </c>
      <c r="K321" s="247">
        <v>95.87203302373581</v>
      </c>
      <c r="L321" s="247">
        <v>98.366730279898221</v>
      </c>
      <c r="M321" s="247">
        <v>15.5</v>
      </c>
      <c r="N321" s="247">
        <v>22.060808049535602</v>
      </c>
      <c r="O321" s="249">
        <v>0</v>
      </c>
      <c r="P321" s="250">
        <v>246.33333333333331</v>
      </c>
      <c r="Q321" s="249">
        <v>95.87203302373581</v>
      </c>
      <c r="R321" s="249">
        <v>98.366730279898221</v>
      </c>
      <c r="S321" s="249">
        <v>15.5</v>
      </c>
      <c r="T321" s="249">
        <v>22.060808049535602</v>
      </c>
      <c r="U321" s="251">
        <v>478.13290468650291</v>
      </c>
      <c r="V321" s="247">
        <v>171.76709531349707</v>
      </c>
      <c r="W321" s="252">
        <v>171.76709531349707</v>
      </c>
      <c r="X321" s="136">
        <v>0.26429773090244202</v>
      </c>
    </row>
    <row r="322" spans="1:24" ht="18.75" x14ac:dyDescent="0.25">
      <c r="A322" s="258">
        <v>45811</v>
      </c>
      <c r="B322" s="131" t="s">
        <v>108</v>
      </c>
      <c r="C322" s="131" t="s">
        <v>7</v>
      </c>
      <c r="D322" s="131">
        <v>3</v>
      </c>
      <c r="E322" s="131">
        <v>200</v>
      </c>
      <c r="F322" s="131" t="s">
        <v>340</v>
      </c>
      <c r="G322" s="247">
        <v>674.9</v>
      </c>
      <c r="H322" s="247">
        <v>2024.7</v>
      </c>
      <c r="I322" s="247">
        <v>297.6309</v>
      </c>
      <c r="J322" s="247">
        <v>554.36666666666656</v>
      </c>
      <c r="K322" s="247">
        <v>287.61609907120743</v>
      </c>
      <c r="L322" s="247">
        <v>295.10019083969468</v>
      </c>
      <c r="M322" s="247">
        <v>46.5</v>
      </c>
      <c r="N322" s="247">
        <v>66.182424148606799</v>
      </c>
      <c r="O322" s="249">
        <v>99.210300000000004</v>
      </c>
      <c r="P322" s="250">
        <v>184.78888888888886</v>
      </c>
      <c r="Q322" s="249">
        <v>95.87203302373581</v>
      </c>
      <c r="R322" s="249">
        <v>98.366730279898221</v>
      </c>
      <c r="S322" s="249">
        <v>15.5</v>
      </c>
      <c r="T322" s="249">
        <v>22.060808049535602</v>
      </c>
      <c r="U322" s="251">
        <v>1547.3962807261755</v>
      </c>
      <c r="V322" s="247">
        <v>477.30371927382453</v>
      </c>
      <c r="W322" s="252">
        <v>159.1012397579415</v>
      </c>
      <c r="X322" s="136">
        <v>0.23574046489545336</v>
      </c>
    </row>
    <row r="323" spans="1:24" ht="18.75" x14ac:dyDescent="0.25">
      <c r="A323" s="258">
        <v>45811</v>
      </c>
      <c r="B323" s="131" t="s">
        <v>108</v>
      </c>
      <c r="C323" s="131" t="s">
        <v>135</v>
      </c>
      <c r="D323" s="131">
        <v>1</v>
      </c>
      <c r="E323" s="131">
        <v>140</v>
      </c>
      <c r="F323" s="131" t="s">
        <v>340</v>
      </c>
      <c r="G323" s="247">
        <v>681.9</v>
      </c>
      <c r="H323" s="247">
        <v>681.9</v>
      </c>
      <c r="I323" s="247">
        <v>100.23929999999999</v>
      </c>
      <c r="J323" s="247">
        <v>150.94444444444443</v>
      </c>
      <c r="K323" s="247">
        <v>95.87203302373581</v>
      </c>
      <c r="L323" s="247">
        <v>98.366730279898221</v>
      </c>
      <c r="M323" s="247">
        <v>15.5</v>
      </c>
      <c r="N323" s="247">
        <v>22.060808049535602</v>
      </c>
      <c r="O323" s="249">
        <v>100.23929999999999</v>
      </c>
      <c r="P323" s="250">
        <v>150.94444444444443</v>
      </c>
      <c r="Q323" s="249">
        <v>95.87203302373581</v>
      </c>
      <c r="R323" s="249">
        <v>98.366730279898221</v>
      </c>
      <c r="S323" s="249">
        <v>15.5</v>
      </c>
      <c r="T323" s="249">
        <v>22.060808049535602</v>
      </c>
      <c r="U323" s="251">
        <v>482.98331579761401</v>
      </c>
      <c r="V323" s="247">
        <v>198.91668420238597</v>
      </c>
      <c r="W323" s="252">
        <v>198.91668420238597</v>
      </c>
      <c r="X323" s="136">
        <v>0.29170946502769612</v>
      </c>
    </row>
    <row r="324" spans="1:24" ht="18.75" x14ac:dyDescent="0.25">
      <c r="A324" s="258">
        <v>45811</v>
      </c>
      <c r="B324" s="131" t="s">
        <v>108</v>
      </c>
      <c r="C324" s="131" t="s">
        <v>135</v>
      </c>
      <c r="D324" s="131">
        <v>1</v>
      </c>
      <c r="E324" s="131">
        <v>200</v>
      </c>
      <c r="F324" s="131" t="s">
        <v>340</v>
      </c>
      <c r="G324" s="247">
        <v>689.9</v>
      </c>
      <c r="H324" s="247">
        <v>689.9</v>
      </c>
      <c r="I324" s="247">
        <v>101.41529999999999</v>
      </c>
      <c r="J324" s="247">
        <v>193.28888888888886</v>
      </c>
      <c r="K324" s="247">
        <v>95.87203302373581</v>
      </c>
      <c r="L324" s="247">
        <v>98.366730279898221</v>
      </c>
      <c r="M324" s="247">
        <v>15.5</v>
      </c>
      <c r="N324" s="247">
        <v>22.060808049535602</v>
      </c>
      <c r="O324" s="249">
        <v>101.41529999999999</v>
      </c>
      <c r="P324" s="250">
        <v>193.28888888888886</v>
      </c>
      <c r="Q324" s="249">
        <v>95.87203302373581</v>
      </c>
      <c r="R324" s="249">
        <v>98.366730279898221</v>
      </c>
      <c r="S324" s="249">
        <v>15.5</v>
      </c>
      <c r="T324" s="249">
        <v>22.060808049535602</v>
      </c>
      <c r="U324" s="251">
        <v>526.50376024205843</v>
      </c>
      <c r="V324" s="247">
        <v>163.39623975794154</v>
      </c>
      <c r="W324" s="252">
        <v>163.39623975794154</v>
      </c>
      <c r="X324" s="136">
        <v>0.23684046928241997</v>
      </c>
    </row>
    <row r="325" spans="1:24" ht="18.75" x14ac:dyDescent="0.25">
      <c r="A325" s="258">
        <v>45811</v>
      </c>
      <c r="B325" s="131" t="s">
        <v>108</v>
      </c>
      <c r="C325" s="131" t="s">
        <v>11</v>
      </c>
      <c r="D325" s="131">
        <v>1</v>
      </c>
      <c r="E325" s="131">
        <v>280</v>
      </c>
      <c r="F325" s="131" t="s">
        <v>100</v>
      </c>
      <c r="G325" s="247">
        <v>694.91</v>
      </c>
      <c r="H325" s="247">
        <v>694.91</v>
      </c>
      <c r="I325" s="247">
        <v>62.541899999999998</v>
      </c>
      <c r="J325" s="247">
        <v>226.18888888888884</v>
      </c>
      <c r="K325" s="247">
        <v>95.87203302373581</v>
      </c>
      <c r="L325" s="247">
        <v>98.366730279898221</v>
      </c>
      <c r="M325" s="247">
        <v>15.5</v>
      </c>
      <c r="N325" s="247">
        <v>22.060808049535602</v>
      </c>
      <c r="O325" s="249">
        <v>62.541899999999998</v>
      </c>
      <c r="P325" s="250">
        <v>226.18888888888884</v>
      </c>
      <c r="Q325" s="249">
        <v>95.87203302373581</v>
      </c>
      <c r="R325" s="249">
        <v>98.366730279898221</v>
      </c>
      <c r="S325" s="249">
        <v>15.5</v>
      </c>
      <c r="T325" s="249">
        <v>22.060808049535602</v>
      </c>
      <c r="U325" s="251">
        <v>520.53036024205846</v>
      </c>
      <c r="V325" s="247">
        <v>174.3796397579415</v>
      </c>
      <c r="W325" s="252">
        <v>174.3796397579415</v>
      </c>
      <c r="X325" s="136">
        <v>0.25093845211313914</v>
      </c>
    </row>
    <row r="326" spans="1:24" ht="18.75" x14ac:dyDescent="0.25">
      <c r="A326" s="258">
        <v>45811</v>
      </c>
      <c r="B326" s="131" t="s">
        <v>108</v>
      </c>
      <c r="C326" s="131" t="s">
        <v>9</v>
      </c>
      <c r="D326" s="131">
        <v>1</v>
      </c>
      <c r="E326" s="131">
        <v>280</v>
      </c>
      <c r="F326" s="131" t="s">
        <v>100</v>
      </c>
      <c r="G326" s="247">
        <v>694.91</v>
      </c>
      <c r="H326" s="247">
        <v>694.91</v>
      </c>
      <c r="I326" s="247">
        <v>62.541899999999998</v>
      </c>
      <c r="J326" s="247">
        <v>224.68888888888884</v>
      </c>
      <c r="K326" s="247">
        <v>95.87203302373581</v>
      </c>
      <c r="L326" s="247">
        <v>98.366730279898221</v>
      </c>
      <c r="M326" s="247">
        <v>15.5</v>
      </c>
      <c r="N326" s="247">
        <v>22.060808049535602</v>
      </c>
      <c r="O326" s="249">
        <v>62.541899999999998</v>
      </c>
      <c r="P326" s="250">
        <v>224.68888888888884</v>
      </c>
      <c r="Q326" s="249">
        <v>95.87203302373581</v>
      </c>
      <c r="R326" s="249">
        <v>98.366730279898221</v>
      </c>
      <c r="S326" s="249">
        <v>15.5</v>
      </c>
      <c r="T326" s="249">
        <v>22.060808049535602</v>
      </c>
      <c r="U326" s="251">
        <v>519.03036024205846</v>
      </c>
      <c r="V326" s="247">
        <v>175.8796397579415</v>
      </c>
      <c r="W326" s="252">
        <v>175.8796397579415</v>
      </c>
      <c r="X326" s="136">
        <v>0.25309700501927085</v>
      </c>
    </row>
    <row r="327" spans="1:24" ht="18.75" x14ac:dyDescent="0.25">
      <c r="A327" s="258">
        <v>45811</v>
      </c>
      <c r="B327" s="131" t="s">
        <v>108</v>
      </c>
      <c r="C327" s="131" t="s">
        <v>18</v>
      </c>
      <c r="D327" s="131">
        <v>1</v>
      </c>
      <c r="E327" s="131">
        <v>300</v>
      </c>
      <c r="F327" s="131" t="s">
        <v>365</v>
      </c>
      <c r="G327" s="247">
        <v>699.9</v>
      </c>
      <c r="H327" s="247">
        <v>699.9</v>
      </c>
      <c r="I327" s="247">
        <v>0</v>
      </c>
      <c r="J327" s="247">
        <v>252.86666666666667</v>
      </c>
      <c r="K327" s="247">
        <v>95.87203302373581</v>
      </c>
      <c r="L327" s="247">
        <v>98.366730279898221</v>
      </c>
      <c r="M327" s="247">
        <v>15.5</v>
      </c>
      <c r="N327" s="247">
        <v>22.060808049535602</v>
      </c>
      <c r="O327" s="249">
        <v>0</v>
      </c>
      <c r="P327" s="250">
        <v>252.86666666666667</v>
      </c>
      <c r="Q327" s="249">
        <v>95.87203302373581</v>
      </c>
      <c r="R327" s="249">
        <v>98.366730279898221</v>
      </c>
      <c r="S327" s="249">
        <v>15.5</v>
      </c>
      <c r="T327" s="249">
        <v>22.060808049535602</v>
      </c>
      <c r="U327" s="251">
        <v>484.66623801983627</v>
      </c>
      <c r="V327" s="247">
        <v>215.23376198016371</v>
      </c>
      <c r="W327" s="252">
        <v>215.23376198016371</v>
      </c>
      <c r="X327" s="136">
        <v>0.30752073436228561</v>
      </c>
    </row>
    <row r="328" spans="1:24" ht="18.75" x14ac:dyDescent="0.25">
      <c r="A328" s="258">
        <v>45811</v>
      </c>
      <c r="B328" s="131" t="s">
        <v>108</v>
      </c>
      <c r="C328" s="131" t="s">
        <v>135</v>
      </c>
      <c r="D328" s="131">
        <v>1</v>
      </c>
      <c r="E328" s="131">
        <v>280</v>
      </c>
      <c r="F328" s="131" t="s">
        <v>216</v>
      </c>
      <c r="G328" s="247">
        <v>699.9</v>
      </c>
      <c r="H328" s="247">
        <v>699.9</v>
      </c>
      <c r="I328" s="247">
        <v>90.287099999999995</v>
      </c>
      <c r="J328" s="247">
        <v>231.68888888888884</v>
      </c>
      <c r="K328" s="247">
        <v>95.87203302373581</v>
      </c>
      <c r="L328" s="247">
        <v>98.366730279898221</v>
      </c>
      <c r="M328" s="247">
        <v>15.5</v>
      </c>
      <c r="N328" s="247">
        <v>22.060808049535602</v>
      </c>
      <c r="O328" s="249">
        <v>90.287099999999995</v>
      </c>
      <c r="P328" s="250">
        <v>231.68888888888884</v>
      </c>
      <c r="Q328" s="249">
        <v>95.87203302373581</v>
      </c>
      <c r="R328" s="249">
        <v>98.366730279898221</v>
      </c>
      <c r="S328" s="249">
        <v>15.5</v>
      </c>
      <c r="T328" s="249">
        <v>22.060808049535602</v>
      </c>
      <c r="U328" s="251">
        <v>553.77556024205842</v>
      </c>
      <c r="V328" s="247">
        <v>146.12443975794156</v>
      </c>
      <c r="W328" s="252">
        <v>146.12443975794156</v>
      </c>
      <c r="X328" s="136">
        <v>0.20877902522923497</v>
      </c>
    </row>
    <row r="329" spans="1:24" ht="18.75" x14ac:dyDescent="0.25">
      <c r="A329" s="258">
        <v>45811</v>
      </c>
      <c r="B329" s="131" t="s">
        <v>108</v>
      </c>
      <c r="C329" s="131" t="s">
        <v>135</v>
      </c>
      <c r="D329" s="131">
        <v>1</v>
      </c>
      <c r="E329" s="131">
        <v>280</v>
      </c>
      <c r="F329" s="131" t="s">
        <v>100</v>
      </c>
      <c r="G329" s="247">
        <v>712.91</v>
      </c>
      <c r="H329" s="247">
        <v>712.91</v>
      </c>
      <c r="I329" s="247">
        <v>64.161899999999989</v>
      </c>
      <c r="J329" s="247">
        <v>231.68888888888884</v>
      </c>
      <c r="K329" s="247">
        <v>95.87203302373581</v>
      </c>
      <c r="L329" s="247">
        <v>98.366730279898221</v>
      </c>
      <c r="M329" s="247">
        <v>15.5</v>
      </c>
      <c r="N329" s="247">
        <v>22.060808049535602</v>
      </c>
      <c r="O329" s="249">
        <v>64.161899999999989</v>
      </c>
      <c r="P329" s="250">
        <v>231.68888888888884</v>
      </c>
      <c r="Q329" s="249">
        <v>95.87203302373581</v>
      </c>
      <c r="R329" s="249">
        <v>98.366730279898221</v>
      </c>
      <c r="S329" s="249">
        <v>15.5</v>
      </c>
      <c r="T329" s="249">
        <v>22.060808049535602</v>
      </c>
      <c r="U329" s="251">
        <v>527.65036024205847</v>
      </c>
      <c r="V329" s="247">
        <v>185.2596397579415</v>
      </c>
      <c r="W329" s="252">
        <v>185.2596397579415</v>
      </c>
      <c r="X329" s="136">
        <v>0.25986399371300939</v>
      </c>
    </row>
    <row r="330" spans="1:24" ht="18.75" x14ac:dyDescent="0.25">
      <c r="A330" s="258">
        <v>45811</v>
      </c>
      <c r="B330" s="131" t="s">
        <v>108</v>
      </c>
      <c r="C330" s="131" t="s">
        <v>7</v>
      </c>
      <c r="D330" s="131">
        <v>1</v>
      </c>
      <c r="E330" s="131">
        <v>280</v>
      </c>
      <c r="F330" s="131" t="s">
        <v>100</v>
      </c>
      <c r="G330" s="247">
        <v>718.91</v>
      </c>
      <c r="H330" s="247">
        <v>718.91</v>
      </c>
      <c r="I330" s="247">
        <v>64.701899999999995</v>
      </c>
      <c r="J330" s="247">
        <v>223.18888888888884</v>
      </c>
      <c r="K330" s="247">
        <v>95.87203302373581</v>
      </c>
      <c r="L330" s="247">
        <v>98.366730279898221</v>
      </c>
      <c r="M330" s="247">
        <v>15.5</v>
      </c>
      <c r="N330" s="247">
        <v>22.060808049535602</v>
      </c>
      <c r="O330" s="249">
        <v>64.701899999999995</v>
      </c>
      <c r="P330" s="250">
        <v>223.18888888888884</v>
      </c>
      <c r="Q330" s="249">
        <v>95.87203302373581</v>
      </c>
      <c r="R330" s="249">
        <v>98.366730279898221</v>
      </c>
      <c r="S330" s="249">
        <v>15.5</v>
      </c>
      <c r="T330" s="249">
        <v>22.060808049535602</v>
      </c>
      <c r="U330" s="251">
        <v>519.69036024205843</v>
      </c>
      <c r="V330" s="247">
        <v>199.21963975794154</v>
      </c>
      <c r="W330" s="252">
        <v>199.21963975794154</v>
      </c>
      <c r="X330" s="136">
        <v>0.27711346310100227</v>
      </c>
    </row>
    <row r="331" spans="1:24" ht="18.75" x14ac:dyDescent="0.25">
      <c r="A331" s="258">
        <v>45811</v>
      </c>
      <c r="B331" s="131" t="s">
        <v>108</v>
      </c>
      <c r="C331" s="131" t="s">
        <v>18</v>
      </c>
      <c r="D331" s="131">
        <v>1</v>
      </c>
      <c r="E331" s="131">
        <v>200</v>
      </c>
      <c r="F331" s="131" t="s">
        <v>340</v>
      </c>
      <c r="G331" s="247">
        <v>734.9</v>
      </c>
      <c r="H331" s="247">
        <v>734.9</v>
      </c>
      <c r="I331" s="247">
        <v>108.0303</v>
      </c>
      <c r="J331" s="247">
        <v>200.42222222222222</v>
      </c>
      <c r="K331" s="247">
        <v>95.87203302373581</v>
      </c>
      <c r="L331" s="247">
        <v>98.366730279898221</v>
      </c>
      <c r="M331" s="247">
        <v>15.5</v>
      </c>
      <c r="N331" s="247">
        <v>22.060808049535602</v>
      </c>
      <c r="O331" s="249">
        <v>108.0303</v>
      </c>
      <c r="P331" s="250">
        <v>200.42222222222222</v>
      </c>
      <c r="Q331" s="249">
        <v>95.87203302373581</v>
      </c>
      <c r="R331" s="249">
        <v>98.366730279898221</v>
      </c>
      <c r="S331" s="249">
        <v>15.5</v>
      </c>
      <c r="T331" s="249">
        <v>22.060808049535602</v>
      </c>
      <c r="U331" s="251">
        <v>540.25209357539188</v>
      </c>
      <c r="V331" s="247">
        <v>194.6479064246081</v>
      </c>
      <c r="W331" s="252">
        <v>194.6479064246081</v>
      </c>
      <c r="X331" s="136">
        <v>0.26486311936944906</v>
      </c>
    </row>
    <row r="332" spans="1:24" ht="18.75" x14ac:dyDescent="0.25">
      <c r="A332" s="258">
        <v>45811</v>
      </c>
      <c r="B332" s="131" t="s">
        <v>108</v>
      </c>
      <c r="C332" s="131" t="s">
        <v>18</v>
      </c>
      <c r="D332" s="131">
        <v>2</v>
      </c>
      <c r="E332" s="131">
        <v>200</v>
      </c>
      <c r="F332" s="131" t="s">
        <v>340</v>
      </c>
      <c r="G332" s="247">
        <v>737.9</v>
      </c>
      <c r="H332" s="247">
        <v>1475.8</v>
      </c>
      <c r="I332" s="247">
        <v>216.94259999999997</v>
      </c>
      <c r="J332" s="247">
        <v>400.84444444444443</v>
      </c>
      <c r="K332" s="247">
        <v>191.74406604747162</v>
      </c>
      <c r="L332" s="247">
        <v>196.73346055979644</v>
      </c>
      <c r="M332" s="247">
        <v>31</v>
      </c>
      <c r="N332" s="247">
        <v>44.121616099071204</v>
      </c>
      <c r="O332" s="249">
        <v>108.47129999999999</v>
      </c>
      <c r="P332" s="250">
        <v>200.42222222222222</v>
      </c>
      <c r="Q332" s="249">
        <v>95.87203302373581</v>
      </c>
      <c r="R332" s="249">
        <v>98.366730279898221</v>
      </c>
      <c r="S332" s="249">
        <v>15.5</v>
      </c>
      <c r="T332" s="249">
        <v>22.060808049535602</v>
      </c>
      <c r="U332" s="251">
        <v>1081.3861871507836</v>
      </c>
      <c r="V332" s="247">
        <v>394.41381284921636</v>
      </c>
      <c r="W332" s="252">
        <v>197.20690642460818</v>
      </c>
      <c r="X332" s="136">
        <v>0.2672542436978021</v>
      </c>
    </row>
    <row r="333" spans="1:24" ht="18.75" x14ac:dyDescent="0.25">
      <c r="A333" s="258">
        <v>45811</v>
      </c>
      <c r="B333" s="131" t="s">
        <v>108</v>
      </c>
      <c r="C333" s="131" t="s">
        <v>9</v>
      </c>
      <c r="D333" s="131">
        <v>1</v>
      </c>
      <c r="E333" s="131">
        <v>280</v>
      </c>
      <c r="F333" s="131" t="s">
        <v>340</v>
      </c>
      <c r="G333" s="247">
        <v>749.9</v>
      </c>
      <c r="H333" s="247">
        <v>749.9</v>
      </c>
      <c r="I333" s="247">
        <v>110.2353</v>
      </c>
      <c r="J333" s="247">
        <v>224.68888888888884</v>
      </c>
      <c r="K333" s="247">
        <v>95.87203302373581</v>
      </c>
      <c r="L333" s="247">
        <v>98.366730279898221</v>
      </c>
      <c r="M333" s="247">
        <v>15.5</v>
      </c>
      <c r="N333" s="247">
        <v>22.060808049535602</v>
      </c>
      <c r="O333" s="249">
        <v>110.2353</v>
      </c>
      <c r="P333" s="250">
        <v>224.68888888888884</v>
      </c>
      <c r="Q333" s="249">
        <v>95.87203302373581</v>
      </c>
      <c r="R333" s="249">
        <v>98.366730279898221</v>
      </c>
      <c r="S333" s="249">
        <v>15.5</v>
      </c>
      <c r="T333" s="249">
        <v>22.060808049535602</v>
      </c>
      <c r="U333" s="251">
        <v>566.72376024205846</v>
      </c>
      <c r="V333" s="247">
        <v>183.17623975794152</v>
      </c>
      <c r="W333" s="252">
        <v>183.17623975794152</v>
      </c>
      <c r="X333" s="136">
        <v>0.24426755535130221</v>
      </c>
    </row>
    <row r="334" spans="1:24" ht="18.75" x14ac:dyDescent="0.25">
      <c r="A334" s="258">
        <v>45811</v>
      </c>
      <c r="B334" s="131" t="s">
        <v>108</v>
      </c>
      <c r="C334" s="131" t="s">
        <v>18</v>
      </c>
      <c r="D334" s="131">
        <v>1</v>
      </c>
      <c r="E334" s="131">
        <v>280</v>
      </c>
      <c r="F334" s="131" t="s">
        <v>340</v>
      </c>
      <c r="G334" s="247">
        <v>799.9</v>
      </c>
      <c r="H334" s="247">
        <v>799.9</v>
      </c>
      <c r="I334" s="247">
        <v>117.58529999999999</v>
      </c>
      <c r="J334" s="247">
        <v>238.82222222222219</v>
      </c>
      <c r="K334" s="247">
        <v>95.87203302373581</v>
      </c>
      <c r="L334" s="247">
        <v>98.366730279898221</v>
      </c>
      <c r="M334" s="247">
        <v>15.5</v>
      </c>
      <c r="N334" s="247">
        <v>22.060808049535602</v>
      </c>
      <c r="O334" s="249">
        <v>117.58529999999999</v>
      </c>
      <c r="P334" s="250">
        <v>238.82222222222219</v>
      </c>
      <c r="Q334" s="249">
        <v>95.87203302373581</v>
      </c>
      <c r="R334" s="249">
        <v>98.366730279898221</v>
      </c>
      <c r="S334" s="249">
        <v>15.5</v>
      </c>
      <c r="T334" s="249">
        <v>22.060808049535602</v>
      </c>
      <c r="U334" s="251">
        <v>588.20709357539181</v>
      </c>
      <c r="V334" s="247">
        <v>211.69290642460817</v>
      </c>
      <c r="W334" s="252">
        <v>211.69290642460817</v>
      </c>
      <c r="X334" s="136">
        <v>0.26464921418253301</v>
      </c>
    </row>
    <row r="335" spans="1:24" ht="18.75" x14ac:dyDescent="0.25">
      <c r="A335" s="258">
        <v>45811</v>
      </c>
      <c r="B335" s="131" t="s">
        <v>108</v>
      </c>
      <c r="C335" s="131" t="s">
        <v>10</v>
      </c>
      <c r="D335" s="131">
        <v>1</v>
      </c>
      <c r="E335" s="131">
        <v>420</v>
      </c>
      <c r="F335" s="131" t="s">
        <v>100</v>
      </c>
      <c r="G335" s="247">
        <v>854.91</v>
      </c>
      <c r="H335" s="247">
        <v>854.91</v>
      </c>
      <c r="I335" s="247">
        <v>76.94189999999999</v>
      </c>
      <c r="J335" s="247">
        <v>303.93333333333334</v>
      </c>
      <c r="K335" s="247">
        <v>95.87203302373581</v>
      </c>
      <c r="L335" s="247">
        <v>98.366730279898221</v>
      </c>
      <c r="M335" s="247">
        <v>15.5</v>
      </c>
      <c r="N335" s="247">
        <v>22.060808049535602</v>
      </c>
      <c r="O335" s="249">
        <v>76.94189999999999</v>
      </c>
      <c r="P335" s="250">
        <v>303.93333333333334</v>
      </c>
      <c r="Q335" s="249">
        <v>95.87203302373581</v>
      </c>
      <c r="R335" s="249">
        <v>98.366730279898221</v>
      </c>
      <c r="S335" s="249">
        <v>15.5</v>
      </c>
      <c r="T335" s="249">
        <v>22.060808049535602</v>
      </c>
      <c r="U335" s="251">
        <v>612.67480468650297</v>
      </c>
      <c r="V335" s="247">
        <v>242.235195313497</v>
      </c>
      <c r="W335" s="252">
        <v>242.235195313497</v>
      </c>
      <c r="X335" s="136">
        <v>0.28334584378881639</v>
      </c>
    </row>
    <row r="336" spans="1:24" ht="18.75" x14ac:dyDescent="0.25">
      <c r="A336" s="258">
        <v>45811</v>
      </c>
      <c r="B336" s="131" t="s">
        <v>108</v>
      </c>
      <c r="C336" s="131" t="s">
        <v>6</v>
      </c>
      <c r="D336" s="131">
        <v>1</v>
      </c>
      <c r="E336" s="131">
        <v>300</v>
      </c>
      <c r="F336" s="131" t="s">
        <v>340</v>
      </c>
      <c r="G336" s="247">
        <v>889.9</v>
      </c>
      <c r="H336" s="247">
        <v>889.9</v>
      </c>
      <c r="I336" s="247">
        <v>130.81529999999998</v>
      </c>
      <c r="J336" s="247">
        <v>247.83333333333331</v>
      </c>
      <c r="K336" s="247">
        <v>95.87203302373581</v>
      </c>
      <c r="L336" s="247">
        <v>98.366730279898221</v>
      </c>
      <c r="M336" s="247">
        <v>15.5</v>
      </c>
      <c r="N336" s="247">
        <v>22.060808049535602</v>
      </c>
      <c r="O336" s="249">
        <v>130.81529999999998</v>
      </c>
      <c r="P336" s="250">
        <v>247.83333333333331</v>
      </c>
      <c r="Q336" s="249">
        <v>95.87203302373581</v>
      </c>
      <c r="R336" s="249">
        <v>98.366730279898221</v>
      </c>
      <c r="S336" s="249">
        <v>15.5</v>
      </c>
      <c r="T336" s="249">
        <v>22.060808049535602</v>
      </c>
      <c r="U336" s="251">
        <v>610.44820468650289</v>
      </c>
      <c r="V336" s="247">
        <v>279.45179531349709</v>
      </c>
      <c r="W336" s="252">
        <v>279.45179531349709</v>
      </c>
      <c r="X336" s="136">
        <v>0.31402606507865727</v>
      </c>
    </row>
    <row r="337" spans="1:24" ht="18.75" x14ac:dyDescent="0.25">
      <c r="A337" s="258">
        <v>45811</v>
      </c>
      <c r="B337" s="131" t="s">
        <v>108</v>
      </c>
      <c r="C337" s="131" t="s">
        <v>9</v>
      </c>
      <c r="D337" s="131">
        <v>1</v>
      </c>
      <c r="E337" s="131">
        <v>300</v>
      </c>
      <c r="F337" s="131" t="s">
        <v>340</v>
      </c>
      <c r="G337" s="247">
        <v>950.9</v>
      </c>
      <c r="H337" s="247">
        <v>950.9</v>
      </c>
      <c r="I337" s="247">
        <v>139.78229999999999</v>
      </c>
      <c r="J337" s="247">
        <v>247.83333333333331</v>
      </c>
      <c r="K337" s="247">
        <v>95.87203302373581</v>
      </c>
      <c r="L337" s="247">
        <v>98.366730279898221</v>
      </c>
      <c r="M337" s="247">
        <v>15.5</v>
      </c>
      <c r="N337" s="247">
        <v>22.060808049535602</v>
      </c>
      <c r="O337" s="249">
        <v>139.78229999999999</v>
      </c>
      <c r="P337" s="250">
        <v>247.83333333333331</v>
      </c>
      <c r="Q337" s="249">
        <v>95.87203302373581</v>
      </c>
      <c r="R337" s="249">
        <v>98.366730279898221</v>
      </c>
      <c r="S337" s="249">
        <v>15.5</v>
      </c>
      <c r="T337" s="249">
        <v>22.060808049535602</v>
      </c>
      <c r="U337" s="251">
        <v>619.41520468650299</v>
      </c>
      <c r="V337" s="247">
        <v>331.48479531349699</v>
      </c>
      <c r="W337" s="252">
        <v>331.48479531349699</v>
      </c>
      <c r="X337" s="136">
        <v>0.34860110980491849</v>
      </c>
    </row>
    <row r="338" spans="1:24" ht="18.75" x14ac:dyDescent="0.25">
      <c r="A338" s="258">
        <v>45811</v>
      </c>
      <c r="B338" s="131" t="s">
        <v>108</v>
      </c>
      <c r="C338" s="131" t="s">
        <v>7</v>
      </c>
      <c r="D338" s="131">
        <v>2</v>
      </c>
      <c r="E338" s="131">
        <v>420</v>
      </c>
      <c r="F338" s="131" t="s">
        <v>340</v>
      </c>
      <c r="G338" s="247">
        <v>1049.9000000000001</v>
      </c>
      <c r="H338" s="247">
        <v>2099.8000000000002</v>
      </c>
      <c r="I338" s="247">
        <v>308.67060000000004</v>
      </c>
      <c r="J338" s="247">
        <v>607.86666666666667</v>
      </c>
      <c r="K338" s="247">
        <v>191.74406604747162</v>
      </c>
      <c r="L338" s="247">
        <v>196.73346055979644</v>
      </c>
      <c r="M338" s="247">
        <v>31</v>
      </c>
      <c r="N338" s="247">
        <v>44.121616099071204</v>
      </c>
      <c r="O338" s="249">
        <v>154.33530000000002</v>
      </c>
      <c r="P338" s="250">
        <v>303.93333333333334</v>
      </c>
      <c r="Q338" s="249">
        <v>95.87203302373581</v>
      </c>
      <c r="R338" s="249">
        <v>98.366730279898221</v>
      </c>
      <c r="S338" s="249">
        <v>15.5</v>
      </c>
      <c r="T338" s="249">
        <v>22.060808049535602</v>
      </c>
      <c r="U338" s="251">
        <v>1380.136409373006</v>
      </c>
      <c r="V338" s="247">
        <v>719.66359062699416</v>
      </c>
      <c r="W338" s="252">
        <v>359.83179531349708</v>
      </c>
      <c r="X338" s="136">
        <v>0.34272958883083821</v>
      </c>
    </row>
    <row r="339" spans="1:24" ht="18.75" x14ac:dyDescent="0.25">
      <c r="A339" s="258">
        <v>45811</v>
      </c>
      <c r="B339" s="131" t="s">
        <v>108</v>
      </c>
      <c r="C339" s="131" t="s">
        <v>7</v>
      </c>
      <c r="D339" s="131">
        <v>1</v>
      </c>
      <c r="E339" s="131">
        <v>420</v>
      </c>
      <c r="F339" s="131" t="s">
        <v>340</v>
      </c>
      <c r="G339" s="247">
        <v>1061.9000000000001</v>
      </c>
      <c r="H339" s="247">
        <v>1061.9000000000001</v>
      </c>
      <c r="I339" s="247">
        <v>156.0993</v>
      </c>
      <c r="J339" s="247">
        <v>303.93333333333334</v>
      </c>
      <c r="K339" s="247">
        <v>95.87203302373581</v>
      </c>
      <c r="L339" s="247">
        <v>98.366730279898221</v>
      </c>
      <c r="M339" s="247">
        <v>15.5</v>
      </c>
      <c r="N339" s="247">
        <v>22.060808049535602</v>
      </c>
      <c r="O339" s="249">
        <v>156.0993</v>
      </c>
      <c r="P339" s="250">
        <v>303.93333333333334</v>
      </c>
      <c r="Q339" s="249">
        <v>95.87203302373581</v>
      </c>
      <c r="R339" s="249">
        <v>98.366730279898221</v>
      </c>
      <c r="S339" s="249">
        <v>15.5</v>
      </c>
      <c r="T339" s="249">
        <v>22.060808049535602</v>
      </c>
      <c r="U339" s="251">
        <v>691.83220468650291</v>
      </c>
      <c r="V339" s="247">
        <v>370.06779531349719</v>
      </c>
      <c r="W339" s="252">
        <v>370.06779531349719</v>
      </c>
      <c r="X339" s="136">
        <v>0.34849589915575585</v>
      </c>
    </row>
    <row r="340" spans="1:24" x14ac:dyDescent="0.25">
      <c r="A340" s="254">
        <v>45812</v>
      </c>
      <c r="B340" s="131" t="s">
        <v>29</v>
      </c>
      <c r="C340" s="131" t="s">
        <v>202</v>
      </c>
      <c r="D340" s="131">
        <v>2</v>
      </c>
      <c r="E340" s="130">
        <v>100</v>
      </c>
      <c r="F340" s="131" t="s">
        <v>365</v>
      </c>
      <c r="G340" s="247">
        <v>6</v>
      </c>
      <c r="H340" s="247">
        <v>12</v>
      </c>
      <c r="I340" s="247">
        <v>0</v>
      </c>
      <c r="J340" s="247">
        <v>4</v>
      </c>
      <c r="K340" s="247">
        <v>0</v>
      </c>
      <c r="L340" s="247">
        <v>0</v>
      </c>
      <c r="M340" s="247">
        <v>0</v>
      </c>
      <c r="N340" s="249">
        <v>0</v>
      </c>
      <c r="O340" s="250">
        <v>0</v>
      </c>
      <c r="P340" s="249">
        <v>2</v>
      </c>
      <c r="Q340" s="249" t="s">
        <v>380</v>
      </c>
      <c r="R340" s="249" t="s">
        <v>380</v>
      </c>
      <c r="S340" s="250" t="s">
        <v>380</v>
      </c>
      <c r="T340" s="247" t="s">
        <v>380</v>
      </c>
      <c r="U340" s="247">
        <v>4</v>
      </c>
      <c r="V340" s="255">
        <v>8</v>
      </c>
      <c r="W340" s="247">
        <v>4</v>
      </c>
      <c r="X340" s="256">
        <v>0.66666666666666663</v>
      </c>
    </row>
    <row r="341" spans="1:24" x14ac:dyDescent="0.25">
      <c r="A341" s="254">
        <v>45812</v>
      </c>
      <c r="B341" s="131" t="s">
        <v>29</v>
      </c>
      <c r="C341" s="131" t="s">
        <v>231</v>
      </c>
      <c r="D341" s="131">
        <v>1</v>
      </c>
      <c r="E341" s="130">
        <v>100</v>
      </c>
      <c r="F341" s="131" t="s">
        <v>216</v>
      </c>
      <c r="G341" s="247">
        <v>9.9</v>
      </c>
      <c r="H341" s="247">
        <v>9.9</v>
      </c>
      <c r="I341" s="247">
        <v>1.2771000000000001</v>
      </c>
      <c r="J341" s="247">
        <v>2</v>
      </c>
      <c r="K341" s="247">
        <v>0</v>
      </c>
      <c r="L341" s="247">
        <v>0</v>
      </c>
      <c r="M341" s="247">
        <v>0</v>
      </c>
      <c r="N341" s="249">
        <v>0</v>
      </c>
      <c r="O341" s="250">
        <v>1.2771000000000001</v>
      </c>
      <c r="P341" s="249">
        <v>2</v>
      </c>
      <c r="Q341" s="249" t="s">
        <v>380</v>
      </c>
      <c r="R341" s="249" t="s">
        <v>380</v>
      </c>
      <c r="S341" s="250" t="s">
        <v>380</v>
      </c>
      <c r="T341" s="247" t="s">
        <v>380</v>
      </c>
      <c r="U341" s="247">
        <v>3.2770999999999999</v>
      </c>
      <c r="V341" s="255">
        <v>6.6229000000000005</v>
      </c>
      <c r="W341" s="247">
        <v>6.6229000000000005</v>
      </c>
      <c r="X341" s="256">
        <v>0.66897979797979801</v>
      </c>
    </row>
    <row r="342" spans="1:24" x14ac:dyDescent="0.25">
      <c r="A342" s="254">
        <v>45812</v>
      </c>
      <c r="B342" s="131" t="s">
        <v>29</v>
      </c>
      <c r="C342" s="131" t="s">
        <v>202</v>
      </c>
      <c r="D342" s="131">
        <v>1</v>
      </c>
      <c r="E342" s="130">
        <v>100</v>
      </c>
      <c r="F342" s="131" t="s">
        <v>216</v>
      </c>
      <c r="G342" s="247">
        <v>9.9</v>
      </c>
      <c r="H342" s="247">
        <v>9.9</v>
      </c>
      <c r="I342" s="247">
        <v>1.2771000000000001</v>
      </c>
      <c r="J342" s="247">
        <v>2</v>
      </c>
      <c r="K342" s="247">
        <v>0</v>
      </c>
      <c r="L342" s="247">
        <v>0</v>
      </c>
      <c r="M342" s="247">
        <v>0</v>
      </c>
      <c r="N342" s="249">
        <v>0</v>
      </c>
      <c r="O342" s="250">
        <v>1.2771000000000001</v>
      </c>
      <c r="P342" s="249">
        <v>2</v>
      </c>
      <c r="Q342" s="249" t="s">
        <v>380</v>
      </c>
      <c r="R342" s="249" t="s">
        <v>380</v>
      </c>
      <c r="S342" s="250" t="s">
        <v>380</v>
      </c>
      <c r="T342" s="247" t="s">
        <v>380</v>
      </c>
      <c r="U342" s="247">
        <v>3.2770999999999999</v>
      </c>
      <c r="V342" s="255">
        <v>6.6229000000000005</v>
      </c>
      <c r="W342" s="247">
        <v>6.6229000000000005</v>
      </c>
      <c r="X342" s="256">
        <v>0.66897979797979801</v>
      </c>
    </row>
    <row r="343" spans="1:24" x14ac:dyDescent="0.25">
      <c r="A343" s="254">
        <v>45812</v>
      </c>
      <c r="B343" s="131" t="s">
        <v>29</v>
      </c>
      <c r="C343" s="131" t="s">
        <v>207</v>
      </c>
      <c r="D343" s="131">
        <v>2</v>
      </c>
      <c r="E343" s="130">
        <v>100</v>
      </c>
      <c r="F343" s="131" t="s">
        <v>216</v>
      </c>
      <c r="G343" s="247">
        <v>9.9</v>
      </c>
      <c r="H343" s="247">
        <v>19.8</v>
      </c>
      <c r="I343" s="247">
        <v>2.5542000000000002</v>
      </c>
      <c r="J343" s="247">
        <v>4</v>
      </c>
      <c r="K343" s="247">
        <v>0</v>
      </c>
      <c r="L343" s="247">
        <v>0</v>
      </c>
      <c r="M343" s="247">
        <v>0</v>
      </c>
      <c r="N343" s="249">
        <v>0</v>
      </c>
      <c r="O343" s="250">
        <v>1.2771000000000001</v>
      </c>
      <c r="P343" s="249">
        <v>2</v>
      </c>
      <c r="Q343" s="249" t="s">
        <v>380</v>
      </c>
      <c r="R343" s="249" t="s">
        <v>380</v>
      </c>
      <c r="S343" s="250" t="s">
        <v>380</v>
      </c>
      <c r="T343" s="247" t="s">
        <v>380</v>
      </c>
      <c r="U343" s="247">
        <v>6.5541999999999998</v>
      </c>
      <c r="V343" s="255">
        <v>13.245800000000001</v>
      </c>
      <c r="W343" s="247">
        <v>6.6229000000000005</v>
      </c>
      <c r="X343" s="256">
        <v>0.66897979797979801</v>
      </c>
    </row>
    <row r="344" spans="1:24" x14ac:dyDescent="0.25">
      <c r="A344" s="254">
        <v>45812</v>
      </c>
      <c r="B344" s="131" t="s">
        <v>29</v>
      </c>
      <c r="C344" s="131" t="s">
        <v>366</v>
      </c>
      <c r="D344" s="131">
        <v>6</v>
      </c>
      <c r="E344" s="130">
        <v>100</v>
      </c>
      <c r="F344" s="131" t="s">
        <v>340</v>
      </c>
      <c r="G344" s="247">
        <v>22</v>
      </c>
      <c r="H344" s="247">
        <v>132</v>
      </c>
      <c r="I344" s="247">
        <v>19.404</v>
      </c>
      <c r="J344" s="247">
        <v>12</v>
      </c>
      <c r="K344" s="247">
        <v>0</v>
      </c>
      <c r="L344" s="247">
        <v>0</v>
      </c>
      <c r="M344" s="247">
        <v>0</v>
      </c>
      <c r="N344" s="249">
        <v>0</v>
      </c>
      <c r="O344" s="250">
        <v>3.234</v>
      </c>
      <c r="P344" s="249">
        <v>2</v>
      </c>
      <c r="Q344" s="249" t="s">
        <v>380</v>
      </c>
      <c r="R344" s="249" t="s">
        <v>380</v>
      </c>
      <c r="S344" s="250" t="s">
        <v>380</v>
      </c>
      <c r="T344" s="247" t="s">
        <v>380</v>
      </c>
      <c r="U344" s="247">
        <v>31.404</v>
      </c>
      <c r="V344" s="255">
        <v>100.596</v>
      </c>
      <c r="W344" s="247">
        <v>16.766000000000002</v>
      </c>
      <c r="X344" s="256">
        <v>0.76209090909090904</v>
      </c>
    </row>
    <row r="345" spans="1:24" x14ac:dyDescent="0.25">
      <c r="A345" s="254">
        <v>45812</v>
      </c>
      <c r="B345" s="131" t="s">
        <v>29</v>
      </c>
      <c r="C345" s="131" t="s">
        <v>207</v>
      </c>
      <c r="D345" s="131">
        <v>9</v>
      </c>
      <c r="E345" s="130">
        <v>100</v>
      </c>
      <c r="F345" s="131" t="s">
        <v>340</v>
      </c>
      <c r="G345" s="247">
        <v>22</v>
      </c>
      <c r="H345" s="247">
        <v>198</v>
      </c>
      <c r="I345" s="247">
        <v>29.106000000000002</v>
      </c>
      <c r="J345" s="247">
        <v>18</v>
      </c>
      <c r="K345" s="247">
        <v>0</v>
      </c>
      <c r="L345" s="247">
        <v>0</v>
      </c>
      <c r="M345" s="247">
        <v>0</v>
      </c>
      <c r="N345" s="249">
        <v>0</v>
      </c>
      <c r="O345" s="250">
        <v>3.234</v>
      </c>
      <c r="P345" s="249">
        <v>2</v>
      </c>
      <c r="Q345" s="249" t="s">
        <v>380</v>
      </c>
      <c r="R345" s="249" t="s">
        <v>380</v>
      </c>
      <c r="S345" s="250" t="s">
        <v>380</v>
      </c>
      <c r="T345" s="247" t="s">
        <v>380</v>
      </c>
      <c r="U345" s="247">
        <v>47.106000000000002</v>
      </c>
      <c r="V345" s="255">
        <v>150.89400000000001</v>
      </c>
      <c r="W345" s="247">
        <v>16.766000000000002</v>
      </c>
      <c r="X345" s="256">
        <v>0.76209090909090904</v>
      </c>
    </row>
    <row r="346" spans="1:24" x14ac:dyDescent="0.25">
      <c r="A346" s="254">
        <v>45812</v>
      </c>
      <c r="B346" s="131" t="s">
        <v>29</v>
      </c>
      <c r="C346" s="131" t="s">
        <v>231</v>
      </c>
      <c r="D346" s="131">
        <v>8</v>
      </c>
      <c r="E346" s="130">
        <v>100</v>
      </c>
      <c r="F346" s="131" t="s">
        <v>340</v>
      </c>
      <c r="G346" s="247">
        <v>22</v>
      </c>
      <c r="H346" s="247">
        <v>176</v>
      </c>
      <c r="I346" s="247">
        <v>25.872</v>
      </c>
      <c r="J346" s="247">
        <v>16</v>
      </c>
      <c r="K346" s="247">
        <v>0</v>
      </c>
      <c r="L346" s="247">
        <v>0</v>
      </c>
      <c r="M346" s="247">
        <v>0</v>
      </c>
      <c r="N346" s="249">
        <v>0</v>
      </c>
      <c r="O346" s="250">
        <v>3.234</v>
      </c>
      <c r="P346" s="249">
        <v>2</v>
      </c>
      <c r="Q346" s="249" t="s">
        <v>380</v>
      </c>
      <c r="R346" s="249" t="s">
        <v>380</v>
      </c>
      <c r="S346" s="250" t="s">
        <v>380</v>
      </c>
      <c r="T346" s="247" t="s">
        <v>380</v>
      </c>
      <c r="U346" s="247">
        <v>41.872</v>
      </c>
      <c r="V346" s="255">
        <v>134.12799999999999</v>
      </c>
      <c r="W346" s="247">
        <v>16.765999999999998</v>
      </c>
      <c r="X346" s="256">
        <v>0.76209090909090904</v>
      </c>
    </row>
    <row r="347" spans="1:24" x14ac:dyDescent="0.25">
      <c r="A347" s="254">
        <v>45812</v>
      </c>
      <c r="B347" s="131" t="s">
        <v>29</v>
      </c>
      <c r="C347" s="131" t="s">
        <v>206</v>
      </c>
      <c r="D347" s="131">
        <v>6</v>
      </c>
      <c r="E347" s="130">
        <v>100</v>
      </c>
      <c r="F347" s="131" t="s">
        <v>340</v>
      </c>
      <c r="G347" s="247">
        <v>22</v>
      </c>
      <c r="H347" s="247">
        <v>132</v>
      </c>
      <c r="I347" s="247">
        <v>19.404</v>
      </c>
      <c r="J347" s="247">
        <v>12</v>
      </c>
      <c r="K347" s="247">
        <v>0</v>
      </c>
      <c r="L347" s="247">
        <v>0</v>
      </c>
      <c r="M347" s="247">
        <v>0</v>
      </c>
      <c r="N347" s="249">
        <v>0</v>
      </c>
      <c r="O347" s="250">
        <v>3.234</v>
      </c>
      <c r="P347" s="249">
        <v>2</v>
      </c>
      <c r="Q347" s="249" t="s">
        <v>380</v>
      </c>
      <c r="R347" s="249" t="s">
        <v>380</v>
      </c>
      <c r="S347" s="250" t="s">
        <v>380</v>
      </c>
      <c r="T347" s="247" t="s">
        <v>380</v>
      </c>
      <c r="U347" s="247">
        <v>31.404</v>
      </c>
      <c r="V347" s="255">
        <v>100.596</v>
      </c>
      <c r="W347" s="247">
        <v>16.766000000000002</v>
      </c>
      <c r="X347" s="256">
        <v>0.76209090909090904</v>
      </c>
    </row>
    <row r="348" spans="1:24" x14ac:dyDescent="0.25">
      <c r="A348" s="254">
        <v>45812</v>
      </c>
      <c r="B348" s="131" t="s">
        <v>29</v>
      </c>
      <c r="C348" s="131" t="s">
        <v>202</v>
      </c>
      <c r="D348" s="131">
        <v>6</v>
      </c>
      <c r="E348" s="130">
        <v>100</v>
      </c>
      <c r="F348" s="131" t="s">
        <v>340</v>
      </c>
      <c r="G348" s="247">
        <v>22</v>
      </c>
      <c r="H348" s="247">
        <v>132</v>
      </c>
      <c r="I348" s="247">
        <v>19.404</v>
      </c>
      <c r="J348" s="247">
        <v>12</v>
      </c>
      <c r="K348" s="247">
        <v>0</v>
      </c>
      <c r="L348" s="247">
        <v>0</v>
      </c>
      <c r="M348" s="247">
        <v>0</v>
      </c>
      <c r="N348" s="249">
        <v>0</v>
      </c>
      <c r="O348" s="250">
        <v>3.234</v>
      </c>
      <c r="P348" s="249">
        <v>2</v>
      </c>
      <c r="Q348" s="249" t="s">
        <v>380</v>
      </c>
      <c r="R348" s="249" t="s">
        <v>380</v>
      </c>
      <c r="S348" s="250" t="s">
        <v>380</v>
      </c>
      <c r="T348" s="247" t="s">
        <v>380</v>
      </c>
      <c r="U348" s="247">
        <v>31.404</v>
      </c>
      <c r="V348" s="255">
        <v>100.596</v>
      </c>
      <c r="W348" s="247">
        <v>16.766000000000002</v>
      </c>
      <c r="X348" s="256">
        <v>0.76209090909090904</v>
      </c>
    </row>
    <row r="349" spans="1:24" x14ac:dyDescent="0.25">
      <c r="A349" s="254">
        <v>45812</v>
      </c>
      <c r="B349" s="131" t="s">
        <v>29</v>
      </c>
      <c r="C349" s="131" t="s">
        <v>287</v>
      </c>
      <c r="D349" s="131">
        <v>1</v>
      </c>
      <c r="E349" s="130">
        <v>100</v>
      </c>
      <c r="F349" s="131" t="s">
        <v>365</v>
      </c>
      <c r="G349" s="247">
        <v>22.9</v>
      </c>
      <c r="H349" s="247">
        <v>22.9</v>
      </c>
      <c r="I349" s="247">
        <v>0</v>
      </c>
      <c r="J349" s="247">
        <v>5</v>
      </c>
      <c r="K349" s="247">
        <v>0</v>
      </c>
      <c r="L349" s="247">
        <v>0</v>
      </c>
      <c r="M349" s="247">
        <v>0</v>
      </c>
      <c r="N349" s="249">
        <v>0</v>
      </c>
      <c r="O349" s="250">
        <v>0</v>
      </c>
      <c r="P349" s="249">
        <v>5</v>
      </c>
      <c r="Q349" s="249" t="s">
        <v>380</v>
      </c>
      <c r="R349" s="249" t="s">
        <v>380</v>
      </c>
      <c r="S349" s="250" t="s">
        <v>380</v>
      </c>
      <c r="T349" s="247" t="s">
        <v>380</v>
      </c>
      <c r="U349" s="247">
        <v>5</v>
      </c>
      <c r="V349" s="255">
        <v>17.899999999999999</v>
      </c>
      <c r="W349" s="247">
        <v>17.899999999999999</v>
      </c>
      <c r="X349" s="256">
        <v>0.78165938864628814</v>
      </c>
    </row>
    <row r="350" spans="1:24" x14ac:dyDescent="0.25">
      <c r="A350" s="254">
        <v>45812</v>
      </c>
      <c r="B350" s="131" t="s">
        <v>29</v>
      </c>
      <c r="C350" s="131" t="s">
        <v>287</v>
      </c>
      <c r="D350" s="131">
        <v>4</v>
      </c>
      <c r="E350" s="130">
        <v>100</v>
      </c>
      <c r="F350" s="131" t="s">
        <v>340</v>
      </c>
      <c r="G350" s="247">
        <v>33</v>
      </c>
      <c r="H350" s="247">
        <v>132</v>
      </c>
      <c r="I350" s="247">
        <v>19.404</v>
      </c>
      <c r="J350" s="247">
        <v>20</v>
      </c>
      <c r="K350" s="247">
        <v>0</v>
      </c>
      <c r="L350" s="247">
        <v>0</v>
      </c>
      <c r="M350" s="247">
        <v>0</v>
      </c>
      <c r="N350" s="249">
        <v>0</v>
      </c>
      <c r="O350" s="250">
        <v>4.851</v>
      </c>
      <c r="P350" s="249">
        <v>5</v>
      </c>
      <c r="Q350" s="249" t="s">
        <v>380</v>
      </c>
      <c r="R350" s="249" t="s">
        <v>380</v>
      </c>
      <c r="S350" s="250" t="s">
        <v>380</v>
      </c>
      <c r="T350" s="247" t="s">
        <v>380</v>
      </c>
      <c r="U350" s="247">
        <v>39.403999999999996</v>
      </c>
      <c r="V350" s="255">
        <v>92.596000000000004</v>
      </c>
      <c r="W350" s="247">
        <v>23.149000000000001</v>
      </c>
      <c r="X350" s="256">
        <v>0.70148484848484849</v>
      </c>
    </row>
    <row r="351" spans="1:24" x14ac:dyDescent="0.25">
      <c r="A351" s="254">
        <v>45812</v>
      </c>
      <c r="B351" s="131" t="s">
        <v>29</v>
      </c>
      <c r="C351" s="131" t="s">
        <v>8</v>
      </c>
      <c r="D351" s="131">
        <v>1</v>
      </c>
      <c r="E351" s="130">
        <v>100</v>
      </c>
      <c r="F351" s="131" t="s">
        <v>314</v>
      </c>
      <c r="G351" s="247">
        <v>79.900000000000006</v>
      </c>
      <c r="H351" s="247">
        <v>79.900000000000006</v>
      </c>
      <c r="I351" s="247">
        <v>0</v>
      </c>
      <c r="J351" s="247">
        <v>20</v>
      </c>
      <c r="K351" s="247">
        <v>0</v>
      </c>
      <c r="L351" s="247">
        <v>0</v>
      </c>
      <c r="M351" s="247">
        <v>0</v>
      </c>
      <c r="N351" s="249">
        <v>0</v>
      </c>
      <c r="O351" s="250">
        <v>0</v>
      </c>
      <c r="P351" s="249">
        <v>20</v>
      </c>
      <c r="Q351" s="249" t="s">
        <v>380</v>
      </c>
      <c r="R351" s="249" t="s">
        <v>380</v>
      </c>
      <c r="S351" s="250" t="s">
        <v>380</v>
      </c>
      <c r="T351" s="247" t="s">
        <v>380</v>
      </c>
      <c r="U351" s="247">
        <v>20</v>
      </c>
      <c r="V351" s="255">
        <v>59.900000000000006</v>
      </c>
      <c r="W351" s="247">
        <v>59.900000000000006</v>
      </c>
      <c r="X351" s="256">
        <v>0.74968710888610768</v>
      </c>
    </row>
    <row r="352" spans="1:24" x14ac:dyDescent="0.25">
      <c r="A352" s="254">
        <v>45812</v>
      </c>
      <c r="B352" s="131" t="s">
        <v>22</v>
      </c>
      <c r="C352" s="131" t="s">
        <v>386</v>
      </c>
      <c r="D352" s="131">
        <v>1</v>
      </c>
      <c r="E352" s="130">
        <v>100</v>
      </c>
      <c r="F352" s="131" t="s">
        <v>314</v>
      </c>
      <c r="G352" s="247">
        <v>79.900000000000006</v>
      </c>
      <c r="H352" s="247">
        <v>79.900000000000006</v>
      </c>
      <c r="I352" s="247">
        <v>0</v>
      </c>
      <c r="J352" s="247">
        <v>21</v>
      </c>
      <c r="K352" s="247">
        <v>0</v>
      </c>
      <c r="L352" s="247">
        <v>0</v>
      </c>
      <c r="M352" s="247">
        <v>0</v>
      </c>
      <c r="N352" s="249">
        <v>0</v>
      </c>
      <c r="O352" s="250">
        <v>0</v>
      </c>
      <c r="P352" s="249">
        <v>21</v>
      </c>
      <c r="Q352" s="249" t="s">
        <v>380</v>
      </c>
      <c r="R352" s="249" t="s">
        <v>380</v>
      </c>
      <c r="S352" s="250" t="s">
        <v>380</v>
      </c>
      <c r="T352" s="247" t="s">
        <v>380</v>
      </c>
      <c r="U352" s="247">
        <v>21</v>
      </c>
      <c r="V352" s="255">
        <v>58.900000000000006</v>
      </c>
      <c r="W352" s="247">
        <v>58.900000000000006</v>
      </c>
      <c r="X352" s="256">
        <v>0.73717146433041303</v>
      </c>
    </row>
    <row r="353" spans="1:24" x14ac:dyDescent="0.25">
      <c r="A353" s="254">
        <v>45812</v>
      </c>
      <c r="B353" s="131" t="s">
        <v>301</v>
      </c>
      <c r="C353" s="131" t="s">
        <v>12</v>
      </c>
      <c r="D353" s="131">
        <v>1</v>
      </c>
      <c r="E353" s="130">
        <v>100</v>
      </c>
      <c r="F353" s="131" t="s">
        <v>314</v>
      </c>
      <c r="G353" s="247">
        <v>89.9</v>
      </c>
      <c r="H353" s="247">
        <v>89.9</v>
      </c>
      <c r="I353" s="247">
        <v>0</v>
      </c>
      <c r="J353" s="247">
        <v>12</v>
      </c>
      <c r="K353" s="247">
        <v>0</v>
      </c>
      <c r="L353" s="247">
        <v>0</v>
      </c>
      <c r="M353" s="247">
        <v>0</v>
      </c>
      <c r="N353" s="249">
        <v>0</v>
      </c>
      <c r="O353" s="250">
        <v>0</v>
      </c>
      <c r="P353" s="249">
        <v>12</v>
      </c>
      <c r="Q353" s="249" t="s">
        <v>380</v>
      </c>
      <c r="R353" s="249" t="s">
        <v>380</v>
      </c>
      <c r="S353" s="250" t="s">
        <v>380</v>
      </c>
      <c r="T353" s="247" t="s">
        <v>380</v>
      </c>
      <c r="U353" s="247">
        <v>12</v>
      </c>
      <c r="V353" s="255">
        <v>77.900000000000006</v>
      </c>
      <c r="W353" s="247">
        <v>77.900000000000006</v>
      </c>
      <c r="X353" s="256">
        <v>0.86651835372636266</v>
      </c>
    </row>
    <row r="354" spans="1:24" x14ac:dyDescent="0.25">
      <c r="A354" s="254">
        <v>45812</v>
      </c>
      <c r="B354" s="131" t="s">
        <v>301</v>
      </c>
      <c r="C354" s="131" t="s">
        <v>8</v>
      </c>
      <c r="D354" s="131">
        <v>1</v>
      </c>
      <c r="E354" s="130">
        <v>100</v>
      </c>
      <c r="F354" s="131" t="s">
        <v>216</v>
      </c>
      <c r="G354" s="247">
        <v>99.9</v>
      </c>
      <c r="H354" s="247">
        <v>99.9</v>
      </c>
      <c r="I354" s="247">
        <v>12.8871</v>
      </c>
      <c r="J354" s="247">
        <v>20</v>
      </c>
      <c r="K354" s="247">
        <v>0</v>
      </c>
      <c r="L354" s="247">
        <v>0</v>
      </c>
      <c r="M354" s="247">
        <v>0</v>
      </c>
      <c r="N354" s="249">
        <v>0</v>
      </c>
      <c r="O354" s="250">
        <v>12.8871</v>
      </c>
      <c r="P354" s="249">
        <v>20</v>
      </c>
      <c r="Q354" s="249" t="s">
        <v>380</v>
      </c>
      <c r="R354" s="249" t="s">
        <v>380</v>
      </c>
      <c r="S354" s="250" t="s">
        <v>380</v>
      </c>
      <c r="T354" s="247" t="s">
        <v>380</v>
      </c>
      <c r="U354" s="247">
        <v>32.887100000000004</v>
      </c>
      <c r="V354" s="255">
        <v>67.012900000000002</v>
      </c>
      <c r="W354" s="247">
        <v>67.012900000000002</v>
      </c>
      <c r="X354" s="256">
        <v>0.67079979979979976</v>
      </c>
    </row>
    <row r="355" spans="1:24" x14ac:dyDescent="0.25">
      <c r="A355" s="254">
        <v>45812</v>
      </c>
      <c r="B355" s="131" t="s">
        <v>301</v>
      </c>
      <c r="C355" s="131" t="s">
        <v>12</v>
      </c>
      <c r="D355" s="131">
        <v>1</v>
      </c>
      <c r="E355" s="130">
        <v>100</v>
      </c>
      <c r="F355" s="131" t="s">
        <v>216</v>
      </c>
      <c r="G355" s="247">
        <v>99.9</v>
      </c>
      <c r="H355" s="247">
        <v>99.9</v>
      </c>
      <c r="I355" s="247">
        <v>12.8871</v>
      </c>
      <c r="J355" s="247">
        <v>12</v>
      </c>
      <c r="K355" s="247">
        <v>0</v>
      </c>
      <c r="L355" s="247">
        <v>0</v>
      </c>
      <c r="M355" s="247">
        <v>0</v>
      </c>
      <c r="N355" s="249">
        <v>0</v>
      </c>
      <c r="O355" s="250">
        <v>12.8871</v>
      </c>
      <c r="P355" s="249">
        <v>12</v>
      </c>
      <c r="Q355" s="249" t="s">
        <v>380</v>
      </c>
      <c r="R355" s="249" t="s">
        <v>380</v>
      </c>
      <c r="S355" s="250" t="s">
        <v>380</v>
      </c>
      <c r="T355" s="247" t="s">
        <v>380</v>
      </c>
      <c r="U355" s="247">
        <v>24.8871</v>
      </c>
      <c r="V355" s="255">
        <v>75.012900000000002</v>
      </c>
      <c r="W355" s="247">
        <v>75.012900000000002</v>
      </c>
      <c r="X355" s="256">
        <v>0.75087987987987981</v>
      </c>
    </row>
    <row r="356" spans="1:24" x14ac:dyDescent="0.25">
      <c r="A356" s="254">
        <v>45812</v>
      </c>
      <c r="B356" s="131" t="s">
        <v>301</v>
      </c>
      <c r="C356" s="131" t="s">
        <v>8</v>
      </c>
      <c r="D356" s="131">
        <v>3</v>
      </c>
      <c r="E356" s="130">
        <v>100</v>
      </c>
      <c r="F356" s="131" t="s">
        <v>100</v>
      </c>
      <c r="G356" s="247">
        <v>99.91</v>
      </c>
      <c r="H356" s="247">
        <v>299.73</v>
      </c>
      <c r="I356" s="247">
        <v>26.975699999999996</v>
      </c>
      <c r="J356" s="247">
        <v>60</v>
      </c>
      <c r="K356" s="247">
        <v>0</v>
      </c>
      <c r="L356" s="247">
        <v>0</v>
      </c>
      <c r="M356" s="247">
        <v>0</v>
      </c>
      <c r="N356" s="249">
        <v>0</v>
      </c>
      <c r="O356" s="250">
        <v>8.9918999999999993</v>
      </c>
      <c r="P356" s="249">
        <v>20</v>
      </c>
      <c r="Q356" s="249" t="s">
        <v>380</v>
      </c>
      <c r="R356" s="249" t="s">
        <v>380</v>
      </c>
      <c r="S356" s="250" t="s">
        <v>380</v>
      </c>
      <c r="T356" s="247" t="s">
        <v>380</v>
      </c>
      <c r="U356" s="247">
        <v>86.975700000000003</v>
      </c>
      <c r="V356" s="255">
        <v>212.7543</v>
      </c>
      <c r="W356" s="247">
        <v>70.918099999999995</v>
      </c>
      <c r="X356" s="256">
        <v>0.70981983785406866</v>
      </c>
    </row>
    <row r="357" spans="1:24" x14ac:dyDescent="0.25">
      <c r="A357" s="254">
        <v>45812</v>
      </c>
      <c r="B357" s="131" t="s">
        <v>301</v>
      </c>
      <c r="C357" s="131" t="s">
        <v>12</v>
      </c>
      <c r="D357" s="131">
        <v>1</v>
      </c>
      <c r="E357" s="130">
        <v>100</v>
      </c>
      <c r="F357" s="131" t="s">
        <v>100</v>
      </c>
      <c r="G357" s="247">
        <v>99.91</v>
      </c>
      <c r="H357" s="247">
        <v>99.91</v>
      </c>
      <c r="I357" s="247">
        <v>8.9918999999999993</v>
      </c>
      <c r="J357" s="247">
        <v>12</v>
      </c>
      <c r="K357" s="247">
        <v>0</v>
      </c>
      <c r="L357" s="247">
        <v>0</v>
      </c>
      <c r="M357" s="247">
        <v>0</v>
      </c>
      <c r="N357" s="249">
        <v>0</v>
      </c>
      <c r="O357" s="250">
        <v>8.9918999999999993</v>
      </c>
      <c r="P357" s="249">
        <v>12</v>
      </c>
      <c r="Q357" s="249" t="s">
        <v>380</v>
      </c>
      <c r="R357" s="249" t="s">
        <v>380</v>
      </c>
      <c r="S357" s="250" t="s">
        <v>380</v>
      </c>
      <c r="T357" s="247" t="s">
        <v>380</v>
      </c>
      <c r="U357" s="247">
        <v>20.991900000000001</v>
      </c>
      <c r="V357" s="255">
        <v>78.918099999999995</v>
      </c>
      <c r="W357" s="247">
        <v>78.918099999999995</v>
      </c>
      <c r="X357" s="256">
        <v>0.78989190271244114</v>
      </c>
    </row>
    <row r="358" spans="1:24" x14ac:dyDescent="0.25">
      <c r="A358" s="254">
        <v>45812</v>
      </c>
      <c r="B358" s="131" t="s">
        <v>301</v>
      </c>
      <c r="C358" s="131" t="s">
        <v>230</v>
      </c>
      <c r="D358" s="131">
        <v>4</v>
      </c>
      <c r="E358" s="130">
        <v>100</v>
      </c>
      <c r="F358" s="131" t="s">
        <v>100</v>
      </c>
      <c r="G358" s="247">
        <v>99.91</v>
      </c>
      <c r="H358" s="247">
        <v>399.64</v>
      </c>
      <c r="I358" s="247">
        <v>35.967599999999997</v>
      </c>
      <c r="J358" s="247">
        <v>128</v>
      </c>
      <c r="K358" s="247">
        <v>0</v>
      </c>
      <c r="L358" s="247">
        <v>0</v>
      </c>
      <c r="M358" s="247">
        <v>0</v>
      </c>
      <c r="N358" s="249">
        <v>0</v>
      </c>
      <c r="O358" s="250">
        <v>8.9918999999999993</v>
      </c>
      <c r="P358" s="249">
        <v>32</v>
      </c>
      <c r="Q358" s="249" t="s">
        <v>380</v>
      </c>
      <c r="R358" s="249" t="s">
        <v>380</v>
      </c>
      <c r="S358" s="250" t="s">
        <v>380</v>
      </c>
      <c r="T358" s="247" t="s">
        <v>380</v>
      </c>
      <c r="U358" s="247">
        <v>163.9676</v>
      </c>
      <c r="V358" s="255">
        <v>235.67239999999998</v>
      </c>
      <c r="W358" s="247">
        <v>58.918099999999995</v>
      </c>
      <c r="X358" s="256">
        <v>0.58971174056650988</v>
      </c>
    </row>
    <row r="359" spans="1:24" x14ac:dyDescent="0.25">
      <c r="A359" s="254">
        <v>45812</v>
      </c>
      <c r="B359" s="131" t="s">
        <v>301</v>
      </c>
      <c r="C359" s="131" t="s">
        <v>230</v>
      </c>
      <c r="D359" s="131">
        <v>2</v>
      </c>
      <c r="E359" s="130">
        <v>100</v>
      </c>
      <c r="F359" s="131" t="s">
        <v>216</v>
      </c>
      <c r="G359" s="247">
        <v>114.9</v>
      </c>
      <c r="H359" s="247">
        <v>229.8</v>
      </c>
      <c r="I359" s="247">
        <v>29.644200000000001</v>
      </c>
      <c r="J359" s="247">
        <v>64</v>
      </c>
      <c r="K359" s="247">
        <v>0</v>
      </c>
      <c r="L359" s="247">
        <v>0</v>
      </c>
      <c r="M359" s="247">
        <v>0</v>
      </c>
      <c r="N359" s="249">
        <v>0</v>
      </c>
      <c r="O359" s="250">
        <v>14.822100000000001</v>
      </c>
      <c r="P359" s="249">
        <v>32</v>
      </c>
      <c r="Q359" s="249" t="s">
        <v>380</v>
      </c>
      <c r="R359" s="249" t="s">
        <v>380</v>
      </c>
      <c r="S359" s="250" t="s">
        <v>380</v>
      </c>
      <c r="T359" s="247" t="s">
        <v>380</v>
      </c>
      <c r="U359" s="247">
        <v>93.644199999999998</v>
      </c>
      <c r="V359" s="255">
        <v>136.1558</v>
      </c>
      <c r="W359" s="247">
        <v>68.0779</v>
      </c>
      <c r="X359" s="256">
        <v>0.592496953872933</v>
      </c>
    </row>
    <row r="360" spans="1:24" x14ac:dyDescent="0.25">
      <c r="A360" s="254">
        <v>45812</v>
      </c>
      <c r="B360" s="131" t="s">
        <v>301</v>
      </c>
      <c r="C360" s="131" t="s">
        <v>230</v>
      </c>
      <c r="D360" s="131">
        <v>3</v>
      </c>
      <c r="E360" s="130">
        <v>100</v>
      </c>
      <c r="F360" s="131" t="s">
        <v>340</v>
      </c>
      <c r="G360" s="247">
        <v>119.9</v>
      </c>
      <c r="H360" s="247">
        <v>359.7</v>
      </c>
      <c r="I360" s="247">
        <v>52.875900000000001</v>
      </c>
      <c r="J360" s="247">
        <v>96</v>
      </c>
      <c r="K360" s="247">
        <v>0</v>
      </c>
      <c r="L360" s="247">
        <v>0</v>
      </c>
      <c r="M360" s="247">
        <v>0</v>
      </c>
      <c r="N360" s="249">
        <v>0</v>
      </c>
      <c r="O360" s="250">
        <v>17.625299999999999</v>
      </c>
      <c r="P360" s="249">
        <v>32</v>
      </c>
      <c r="Q360" s="249" t="s">
        <v>380</v>
      </c>
      <c r="R360" s="249" t="s">
        <v>380</v>
      </c>
      <c r="S360" s="250" t="s">
        <v>380</v>
      </c>
      <c r="T360" s="247" t="s">
        <v>380</v>
      </c>
      <c r="U360" s="247">
        <v>148.8759</v>
      </c>
      <c r="V360" s="255">
        <v>210.82409999999999</v>
      </c>
      <c r="W360" s="247">
        <v>70.274699999999996</v>
      </c>
      <c r="X360" s="256">
        <v>0.58611092577147617</v>
      </c>
    </row>
    <row r="361" spans="1:24" x14ac:dyDescent="0.25">
      <c r="A361" s="254">
        <v>45812</v>
      </c>
      <c r="B361" s="131" t="s">
        <v>301</v>
      </c>
      <c r="C361" s="131" t="s">
        <v>12</v>
      </c>
      <c r="D361" s="131">
        <v>11</v>
      </c>
      <c r="E361" s="130">
        <v>100</v>
      </c>
      <c r="F361" s="131" t="s">
        <v>340</v>
      </c>
      <c r="G361" s="247">
        <v>139.9</v>
      </c>
      <c r="H361" s="247">
        <v>1538.9</v>
      </c>
      <c r="I361" s="247">
        <v>226.2183</v>
      </c>
      <c r="J361" s="247">
        <v>132</v>
      </c>
      <c r="K361" s="247">
        <v>0</v>
      </c>
      <c r="L361" s="247">
        <v>0</v>
      </c>
      <c r="M361" s="247">
        <v>0</v>
      </c>
      <c r="N361" s="249">
        <v>0</v>
      </c>
      <c r="O361" s="250">
        <v>20.565300000000001</v>
      </c>
      <c r="P361" s="249">
        <v>12</v>
      </c>
      <c r="Q361" s="249" t="s">
        <v>380</v>
      </c>
      <c r="R361" s="249" t="s">
        <v>380</v>
      </c>
      <c r="S361" s="250" t="s">
        <v>380</v>
      </c>
      <c r="T361" s="247" t="s">
        <v>380</v>
      </c>
      <c r="U361" s="247">
        <v>358.2183</v>
      </c>
      <c r="V361" s="255">
        <v>1180.6817000000001</v>
      </c>
      <c r="W361" s="247">
        <v>107.33470000000001</v>
      </c>
      <c r="X361" s="256">
        <v>0.76722444603288054</v>
      </c>
    </row>
    <row r="362" spans="1:24" x14ac:dyDescent="0.25">
      <c r="A362" s="254">
        <v>45812</v>
      </c>
      <c r="B362" s="131" t="s">
        <v>301</v>
      </c>
      <c r="C362" s="131" t="s">
        <v>8</v>
      </c>
      <c r="D362" s="131">
        <v>8</v>
      </c>
      <c r="E362" s="130">
        <v>100</v>
      </c>
      <c r="F362" s="131" t="s">
        <v>340</v>
      </c>
      <c r="G362" s="247">
        <v>149.9</v>
      </c>
      <c r="H362" s="247">
        <v>1199.2</v>
      </c>
      <c r="I362" s="247">
        <v>176.2824</v>
      </c>
      <c r="J362" s="247">
        <v>160</v>
      </c>
      <c r="K362" s="247">
        <v>0</v>
      </c>
      <c r="L362" s="247">
        <v>0</v>
      </c>
      <c r="M362" s="247">
        <v>0</v>
      </c>
      <c r="N362" s="249">
        <v>0</v>
      </c>
      <c r="O362" s="250">
        <v>22.035299999999999</v>
      </c>
      <c r="P362" s="249">
        <v>20</v>
      </c>
      <c r="Q362" s="249" t="s">
        <v>380</v>
      </c>
      <c r="R362" s="249" t="s">
        <v>380</v>
      </c>
      <c r="S362" s="250" t="s">
        <v>380</v>
      </c>
      <c r="T362" s="247" t="s">
        <v>380</v>
      </c>
      <c r="U362" s="247">
        <v>336.2824</v>
      </c>
      <c r="V362" s="255">
        <v>862.91759999999999</v>
      </c>
      <c r="W362" s="247">
        <v>107.8647</v>
      </c>
      <c r="X362" s="256">
        <v>0.71957771847898599</v>
      </c>
    </row>
    <row r="363" spans="1:24" x14ac:dyDescent="0.25">
      <c r="A363" s="254">
        <v>45812</v>
      </c>
      <c r="B363" s="131" t="s">
        <v>301</v>
      </c>
      <c r="C363" s="131" t="s">
        <v>230</v>
      </c>
      <c r="D363" s="131">
        <v>10</v>
      </c>
      <c r="E363" s="130">
        <v>100</v>
      </c>
      <c r="F363" s="131" t="s">
        <v>340</v>
      </c>
      <c r="G363" s="247">
        <v>169.9</v>
      </c>
      <c r="H363" s="247">
        <v>1699</v>
      </c>
      <c r="I363" s="247">
        <v>249.75299999999999</v>
      </c>
      <c r="J363" s="247">
        <v>320</v>
      </c>
      <c r="K363" s="247">
        <v>0</v>
      </c>
      <c r="L363" s="247">
        <v>0</v>
      </c>
      <c r="M363" s="247">
        <v>0</v>
      </c>
      <c r="N363" s="249">
        <v>0</v>
      </c>
      <c r="O363" s="250">
        <v>24.975299999999997</v>
      </c>
      <c r="P363" s="249">
        <v>32</v>
      </c>
      <c r="Q363" s="249" t="s">
        <v>380</v>
      </c>
      <c r="R363" s="249" t="s">
        <v>380</v>
      </c>
      <c r="S363" s="250" t="s">
        <v>380</v>
      </c>
      <c r="T363" s="247" t="s">
        <v>380</v>
      </c>
      <c r="U363" s="247">
        <v>569.75299999999993</v>
      </c>
      <c r="V363" s="255">
        <v>1129.2470000000001</v>
      </c>
      <c r="W363" s="247">
        <v>112.9247</v>
      </c>
      <c r="X363" s="256">
        <v>0.66465391406709839</v>
      </c>
    </row>
    <row r="364" spans="1:24" x14ac:dyDescent="0.25">
      <c r="A364" s="254">
        <v>45812</v>
      </c>
      <c r="B364" s="131" t="s">
        <v>108</v>
      </c>
      <c r="C364" s="131" t="s">
        <v>355</v>
      </c>
      <c r="D364" s="131">
        <v>1</v>
      </c>
      <c r="E364" s="130">
        <v>100</v>
      </c>
      <c r="F364" s="131" t="s">
        <v>314</v>
      </c>
      <c r="G364" s="247">
        <v>349.9</v>
      </c>
      <c r="H364" s="247">
        <v>349.9</v>
      </c>
      <c r="I364" s="247">
        <v>0</v>
      </c>
      <c r="J364" s="247">
        <v>105.84444444444443</v>
      </c>
      <c r="K364" s="247">
        <v>97.686645636172443</v>
      </c>
      <c r="L364" s="247">
        <v>88.131868131868146</v>
      </c>
      <c r="M364" s="247">
        <v>15.5</v>
      </c>
      <c r="N364" s="249">
        <v>25.744700315457415</v>
      </c>
      <c r="O364" s="250">
        <v>0</v>
      </c>
      <c r="P364" s="249">
        <v>105.84444444444443</v>
      </c>
      <c r="Q364" s="249">
        <v>97.686645636172443</v>
      </c>
      <c r="R364" s="249">
        <v>88.131868131868146</v>
      </c>
      <c r="S364" s="250">
        <v>15.5</v>
      </c>
      <c r="T364" s="247">
        <v>25.744700315457415</v>
      </c>
      <c r="U364" s="247">
        <v>332.90765852794243</v>
      </c>
      <c r="V364" s="255">
        <v>16.992341472057547</v>
      </c>
      <c r="W364" s="247">
        <v>16.992341472057547</v>
      </c>
      <c r="X364" s="256">
        <v>4.8563422326543433E-2</v>
      </c>
    </row>
    <row r="365" spans="1:24" x14ac:dyDescent="0.25">
      <c r="A365" s="254">
        <v>45812</v>
      </c>
      <c r="B365" s="131" t="s">
        <v>108</v>
      </c>
      <c r="C365" s="131" t="s">
        <v>359</v>
      </c>
      <c r="D365" s="131">
        <v>1</v>
      </c>
      <c r="E365" s="130">
        <v>100</v>
      </c>
      <c r="F365" s="131" t="s">
        <v>314</v>
      </c>
      <c r="G365" s="247">
        <v>349.9</v>
      </c>
      <c r="H365" s="247">
        <v>349.9</v>
      </c>
      <c r="I365" s="247">
        <v>0</v>
      </c>
      <c r="J365" s="247">
        <v>106.84444444444443</v>
      </c>
      <c r="K365" s="247">
        <v>97.686645636172443</v>
      </c>
      <c r="L365" s="247">
        <v>88.131868131868146</v>
      </c>
      <c r="M365" s="247">
        <v>15.5</v>
      </c>
      <c r="N365" s="249">
        <v>25.744700315457415</v>
      </c>
      <c r="O365" s="250">
        <v>0</v>
      </c>
      <c r="P365" s="249">
        <v>106.84444444444443</v>
      </c>
      <c r="Q365" s="249">
        <v>97.686645636172443</v>
      </c>
      <c r="R365" s="249">
        <v>88.131868131868146</v>
      </c>
      <c r="S365" s="250">
        <v>15.5</v>
      </c>
      <c r="T365" s="247">
        <v>25.744700315457415</v>
      </c>
      <c r="U365" s="247">
        <v>333.90765852794243</v>
      </c>
      <c r="V365" s="255">
        <v>15.992341472057547</v>
      </c>
      <c r="W365" s="247">
        <v>15.992341472057547</v>
      </c>
      <c r="X365" s="256">
        <v>4.5705462909567153E-2</v>
      </c>
    </row>
    <row r="366" spans="1:24" x14ac:dyDescent="0.25">
      <c r="A366" s="254">
        <v>45812</v>
      </c>
      <c r="B366" s="131" t="s">
        <v>108</v>
      </c>
      <c r="C366" s="131" t="s">
        <v>358</v>
      </c>
      <c r="D366" s="131">
        <v>1</v>
      </c>
      <c r="E366" s="130">
        <v>100</v>
      </c>
      <c r="F366" s="131" t="s">
        <v>365</v>
      </c>
      <c r="G366" s="247">
        <v>349.9</v>
      </c>
      <c r="H366" s="247">
        <v>349.9</v>
      </c>
      <c r="I366" s="247">
        <v>0</v>
      </c>
      <c r="J366" s="247">
        <v>98.844444444444434</v>
      </c>
      <c r="K366" s="247">
        <v>97.686645636172443</v>
      </c>
      <c r="L366" s="247">
        <v>88.131868131868146</v>
      </c>
      <c r="M366" s="247">
        <v>15.5</v>
      </c>
      <c r="N366" s="249">
        <v>25.744700315457415</v>
      </c>
      <c r="O366" s="250">
        <v>0</v>
      </c>
      <c r="P366" s="249">
        <v>98.844444444444434</v>
      </c>
      <c r="Q366" s="249">
        <v>97.686645636172443</v>
      </c>
      <c r="R366" s="249">
        <v>88.131868131868146</v>
      </c>
      <c r="S366" s="250">
        <v>15.5</v>
      </c>
      <c r="T366" s="247">
        <v>25.744700315457415</v>
      </c>
      <c r="U366" s="247">
        <v>325.90765852794243</v>
      </c>
      <c r="V366" s="255">
        <v>23.992341472057547</v>
      </c>
      <c r="W366" s="247">
        <v>23.992341472057547</v>
      </c>
      <c r="X366" s="256">
        <v>6.8569138245377387E-2</v>
      </c>
    </row>
    <row r="367" spans="1:24" x14ac:dyDescent="0.25">
      <c r="A367" s="254">
        <v>45812</v>
      </c>
      <c r="B367" s="131" t="s">
        <v>108</v>
      </c>
      <c r="C367" s="131" t="s">
        <v>358</v>
      </c>
      <c r="D367" s="131">
        <v>2</v>
      </c>
      <c r="E367" s="130">
        <v>100</v>
      </c>
      <c r="F367" s="131" t="s">
        <v>100</v>
      </c>
      <c r="G367" s="247">
        <v>359.91</v>
      </c>
      <c r="H367" s="247">
        <v>719.82</v>
      </c>
      <c r="I367" s="247">
        <v>64.783799999999999</v>
      </c>
      <c r="J367" s="247">
        <v>197.68888888888887</v>
      </c>
      <c r="K367" s="247">
        <v>195.37329127234489</v>
      </c>
      <c r="L367" s="247">
        <v>176.26373626373629</v>
      </c>
      <c r="M367" s="247">
        <v>31</v>
      </c>
      <c r="N367" s="249">
        <v>51.48940063091483</v>
      </c>
      <c r="O367" s="250">
        <v>32.3919</v>
      </c>
      <c r="P367" s="249">
        <v>98.844444444444434</v>
      </c>
      <c r="Q367" s="249">
        <v>97.686645636172443</v>
      </c>
      <c r="R367" s="249">
        <v>88.131868131868146</v>
      </c>
      <c r="S367" s="250">
        <v>15.5</v>
      </c>
      <c r="T367" s="247">
        <v>25.744700315457415</v>
      </c>
      <c r="U367" s="247">
        <v>716.59911705588479</v>
      </c>
      <c r="V367" s="255">
        <v>3.2208829441152602</v>
      </c>
      <c r="W367" s="247">
        <v>1.6104414720576301</v>
      </c>
      <c r="X367" s="256">
        <v>4.4745671752872383E-3</v>
      </c>
    </row>
    <row r="368" spans="1:24" x14ac:dyDescent="0.25">
      <c r="A368" s="254">
        <v>45812</v>
      </c>
      <c r="B368" s="131" t="s">
        <v>108</v>
      </c>
      <c r="C368" s="131" t="s">
        <v>357</v>
      </c>
      <c r="D368" s="131">
        <v>2</v>
      </c>
      <c r="E368" s="130">
        <v>100</v>
      </c>
      <c r="F368" s="131" t="s">
        <v>100</v>
      </c>
      <c r="G368" s="247">
        <v>377.91</v>
      </c>
      <c r="H368" s="247">
        <v>755.82</v>
      </c>
      <c r="I368" s="247">
        <v>68.023800000000008</v>
      </c>
      <c r="J368" s="247">
        <v>209.68888888888887</v>
      </c>
      <c r="K368" s="247">
        <v>195.37329127234489</v>
      </c>
      <c r="L368" s="247">
        <v>176.26373626373629</v>
      </c>
      <c r="M368" s="247">
        <v>31</v>
      </c>
      <c r="N368" s="249">
        <v>51.48940063091483</v>
      </c>
      <c r="O368" s="250">
        <v>34.011900000000004</v>
      </c>
      <c r="P368" s="249">
        <v>104.84444444444443</v>
      </c>
      <c r="Q368" s="249">
        <v>97.686645636172443</v>
      </c>
      <c r="R368" s="249">
        <v>88.131868131868146</v>
      </c>
      <c r="S368" s="250">
        <v>15.5</v>
      </c>
      <c r="T368" s="247">
        <v>25.744700315457415</v>
      </c>
      <c r="U368" s="247">
        <v>731.8391170558848</v>
      </c>
      <c r="V368" s="255">
        <v>23.980882944115251</v>
      </c>
      <c r="W368" s="247">
        <v>11.990441472057626</v>
      </c>
      <c r="X368" s="256">
        <v>3.1728298991975934E-2</v>
      </c>
    </row>
    <row r="369" spans="1:24" x14ac:dyDescent="0.25">
      <c r="A369" s="254">
        <v>45812</v>
      </c>
      <c r="B369" s="131" t="s">
        <v>108</v>
      </c>
      <c r="C369" s="131" t="s">
        <v>356</v>
      </c>
      <c r="D369" s="131">
        <v>3</v>
      </c>
      <c r="E369" s="130">
        <v>100</v>
      </c>
      <c r="F369" s="131" t="s">
        <v>100</v>
      </c>
      <c r="G369" s="247">
        <v>377.91</v>
      </c>
      <c r="H369" s="247">
        <v>1133.73</v>
      </c>
      <c r="I369" s="247">
        <v>102.03569999999999</v>
      </c>
      <c r="J369" s="247">
        <v>314.5333333333333</v>
      </c>
      <c r="K369" s="247">
        <v>293.05993690851733</v>
      </c>
      <c r="L369" s="247">
        <v>264.39560439560444</v>
      </c>
      <c r="M369" s="247">
        <v>46.5</v>
      </c>
      <c r="N369" s="249">
        <v>77.234100946372251</v>
      </c>
      <c r="O369" s="250">
        <v>34.011899999999997</v>
      </c>
      <c r="P369" s="249">
        <v>104.84444444444443</v>
      </c>
      <c r="Q369" s="249">
        <v>97.686645636172443</v>
      </c>
      <c r="R369" s="249">
        <v>88.131868131868146</v>
      </c>
      <c r="S369" s="250">
        <v>15.5</v>
      </c>
      <c r="T369" s="247">
        <v>25.744700315457415</v>
      </c>
      <c r="U369" s="247">
        <v>1097.7586755838272</v>
      </c>
      <c r="V369" s="255">
        <v>35.97132441617282</v>
      </c>
      <c r="W369" s="247">
        <v>11.990441472057606</v>
      </c>
      <c r="X369" s="256">
        <v>3.1728298991975934E-2</v>
      </c>
    </row>
    <row r="370" spans="1:24" x14ac:dyDescent="0.25">
      <c r="A370" s="254">
        <v>45812</v>
      </c>
      <c r="B370" s="131" t="s">
        <v>108</v>
      </c>
      <c r="C370" s="131" t="s">
        <v>355</v>
      </c>
      <c r="D370" s="131">
        <v>3</v>
      </c>
      <c r="E370" s="130">
        <v>100</v>
      </c>
      <c r="F370" s="131" t="s">
        <v>100</v>
      </c>
      <c r="G370" s="247">
        <v>377.91</v>
      </c>
      <c r="H370" s="247">
        <v>1133.73</v>
      </c>
      <c r="I370" s="247">
        <v>102.03569999999999</v>
      </c>
      <c r="J370" s="247">
        <v>317.5333333333333</v>
      </c>
      <c r="K370" s="247">
        <v>293.05993690851733</v>
      </c>
      <c r="L370" s="247">
        <v>264.39560439560444</v>
      </c>
      <c r="M370" s="247">
        <v>46.5</v>
      </c>
      <c r="N370" s="249">
        <v>77.234100946372251</v>
      </c>
      <c r="O370" s="250">
        <v>34.011899999999997</v>
      </c>
      <c r="P370" s="249">
        <v>105.84444444444443</v>
      </c>
      <c r="Q370" s="249">
        <v>97.686645636172443</v>
      </c>
      <c r="R370" s="249">
        <v>88.131868131868146</v>
      </c>
      <c r="S370" s="250">
        <v>15.5</v>
      </c>
      <c r="T370" s="247">
        <v>25.744700315457415</v>
      </c>
      <c r="U370" s="247">
        <v>1100.7586755838272</v>
      </c>
      <c r="V370" s="255">
        <v>32.97132441617282</v>
      </c>
      <c r="W370" s="247">
        <v>10.990441472057606</v>
      </c>
      <c r="X370" s="256">
        <v>2.9082166314883504E-2</v>
      </c>
    </row>
    <row r="371" spans="1:24" x14ac:dyDescent="0.25">
      <c r="A371" s="254">
        <v>45812</v>
      </c>
      <c r="B371" s="131" t="s">
        <v>108</v>
      </c>
      <c r="C371" s="131" t="s">
        <v>7</v>
      </c>
      <c r="D371" s="131">
        <v>1</v>
      </c>
      <c r="E371" s="130">
        <v>100</v>
      </c>
      <c r="F371" s="131" t="s">
        <v>314</v>
      </c>
      <c r="G371" s="247">
        <v>399.6</v>
      </c>
      <c r="H371" s="247">
        <v>399.6</v>
      </c>
      <c r="I371" s="247">
        <v>0</v>
      </c>
      <c r="J371" s="247">
        <v>123.24444444444444</v>
      </c>
      <c r="K371" s="247">
        <v>97.686645636172443</v>
      </c>
      <c r="L371" s="247">
        <v>88.131868131868146</v>
      </c>
      <c r="M371" s="247">
        <v>15.5</v>
      </c>
      <c r="N371" s="249">
        <v>25.744700315457415</v>
      </c>
      <c r="O371" s="250">
        <v>0</v>
      </c>
      <c r="P371" s="249">
        <v>123.24444444444444</v>
      </c>
      <c r="Q371" s="249">
        <v>97.686645636172443</v>
      </c>
      <c r="R371" s="249">
        <v>88.131868131868146</v>
      </c>
      <c r="S371" s="250">
        <v>15.5</v>
      </c>
      <c r="T371" s="247">
        <v>25.744700315457415</v>
      </c>
      <c r="U371" s="247">
        <v>350.30765852794241</v>
      </c>
      <c r="V371" s="255">
        <v>49.292341472057615</v>
      </c>
      <c r="W371" s="247">
        <v>49.292341472057615</v>
      </c>
      <c r="X371" s="256">
        <v>0.12335420788803206</v>
      </c>
    </row>
    <row r="372" spans="1:24" x14ac:dyDescent="0.25">
      <c r="A372" s="254">
        <v>45812</v>
      </c>
      <c r="B372" s="131" t="s">
        <v>108</v>
      </c>
      <c r="C372" s="131" t="s">
        <v>7</v>
      </c>
      <c r="D372" s="131">
        <v>15</v>
      </c>
      <c r="E372" s="130">
        <v>100</v>
      </c>
      <c r="F372" s="131" t="s">
        <v>365</v>
      </c>
      <c r="G372" s="247">
        <v>399.6</v>
      </c>
      <c r="H372" s="247">
        <v>5978</v>
      </c>
      <c r="I372" s="247">
        <v>0</v>
      </c>
      <c r="J372" s="247">
        <v>1848.6666666666665</v>
      </c>
      <c r="K372" s="247">
        <v>1465.2996845425866</v>
      </c>
      <c r="L372" s="247">
        <v>1321.9780219780223</v>
      </c>
      <c r="M372" s="247">
        <v>232.5</v>
      </c>
      <c r="N372" s="249">
        <v>386.17050473186123</v>
      </c>
      <c r="O372" s="250">
        <v>0</v>
      </c>
      <c r="P372" s="249">
        <v>123.24444444444444</v>
      </c>
      <c r="Q372" s="249">
        <v>97.686645636172443</v>
      </c>
      <c r="R372" s="249">
        <v>88.131868131868146</v>
      </c>
      <c r="S372" s="250">
        <v>15.5</v>
      </c>
      <c r="T372" s="247">
        <v>25.744700315457415</v>
      </c>
      <c r="U372" s="247">
        <v>5254.6148779191362</v>
      </c>
      <c r="V372" s="255">
        <v>723.38512208086377</v>
      </c>
      <c r="W372" s="247">
        <v>48.225674805390916</v>
      </c>
      <c r="X372" s="256">
        <v>0.12335420788803206</v>
      </c>
    </row>
    <row r="373" spans="1:24" x14ac:dyDescent="0.25">
      <c r="A373" s="254">
        <v>45812</v>
      </c>
      <c r="B373" s="131" t="s">
        <v>108</v>
      </c>
      <c r="C373" s="131" t="s">
        <v>7</v>
      </c>
      <c r="D373" s="131">
        <v>14</v>
      </c>
      <c r="E373" s="130">
        <v>100</v>
      </c>
      <c r="F373" s="131" t="s">
        <v>314</v>
      </c>
      <c r="G373" s="247">
        <v>399.6</v>
      </c>
      <c r="H373" s="247">
        <v>5584.4</v>
      </c>
      <c r="I373" s="247">
        <v>0</v>
      </c>
      <c r="J373" s="247">
        <v>1725.4222222222222</v>
      </c>
      <c r="K373" s="247">
        <v>1367.6130389064142</v>
      </c>
      <c r="L373" s="247">
        <v>1233.846153846154</v>
      </c>
      <c r="M373" s="247">
        <v>217</v>
      </c>
      <c r="N373" s="249">
        <v>360.42580441640382</v>
      </c>
      <c r="O373" s="250">
        <v>0</v>
      </c>
      <c r="P373" s="249">
        <v>123.24444444444444</v>
      </c>
      <c r="Q373" s="249">
        <v>97.686645636172443</v>
      </c>
      <c r="R373" s="249">
        <v>88.131868131868146</v>
      </c>
      <c r="S373" s="250">
        <v>15.5</v>
      </c>
      <c r="T373" s="247">
        <v>25.744700315457415</v>
      </c>
      <c r="U373" s="247">
        <v>4904.3072193911939</v>
      </c>
      <c r="V373" s="255">
        <v>680.0927806088057</v>
      </c>
      <c r="W373" s="247">
        <v>48.578055757771835</v>
      </c>
      <c r="X373" s="256">
        <v>0.12335420788803206</v>
      </c>
    </row>
    <row r="374" spans="1:24" x14ac:dyDescent="0.25">
      <c r="A374" s="254">
        <v>45812</v>
      </c>
      <c r="B374" s="131" t="s">
        <v>108</v>
      </c>
      <c r="C374" s="131" t="s">
        <v>6</v>
      </c>
      <c r="D374" s="131">
        <v>1</v>
      </c>
      <c r="E374" s="130">
        <v>100</v>
      </c>
      <c r="F374" s="131" t="s">
        <v>365</v>
      </c>
      <c r="G374" s="247">
        <v>399.9</v>
      </c>
      <c r="H374" s="247">
        <v>399.9</v>
      </c>
      <c r="I374" s="247">
        <v>0</v>
      </c>
      <c r="J374" s="247">
        <v>124.74444444444444</v>
      </c>
      <c r="K374" s="247">
        <v>97.686645636172443</v>
      </c>
      <c r="L374" s="247">
        <v>88.131868131868146</v>
      </c>
      <c r="M374" s="247">
        <v>15.5</v>
      </c>
      <c r="N374" s="249">
        <v>25.744700315457415</v>
      </c>
      <c r="O374" s="250">
        <v>0</v>
      </c>
      <c r="P374" s="249">
        <v>124.74444444444444</v>
      </c>
      <c r="Q374" s="249">
        <v>97.686645636172443</v>
      </c>
      <c r="R374" s="249">
        <v>88.131868131868146</v>
      </c>
      <c r="S374" s="250">
        <v>15.5</v>
      </c>
      <c r="T374" s="247">
        <v>25.744700315457415</v>
      </c>
      <c r="U374" s="247">
        <v>351.80765852794241</v>
      </c>
      <c r="V374" s="255">
        <v>48.092341472057569</v>
      </c>
      <c r="W374" s="247">
        <v>48.092341472057569</v>
      </c>
      <c r="X374" s="256">
        <v>0.12026091890987139</v>
      </c>
    </row>
    <row r="375" spans="1:24" x14ac:dyDescent="0.25">
      <c r="A375" s="254">
        <v>45812</v>
      </c>
      <c r="B375" s="131" t="s">
        <v>108</v>
      </c>
      <c r="C375" s="131" t="s">
        <v>6</v>
      </c>
      <c r="D375" s="131">
        <v>1</v>
      </c>
      <c r="E375" s="130">
        <v>100</v>
      </c>
      <c r="F375" s="131" t="s">
        <v>314</v>
      </c>
      <c r="G375" s="247">
        <v>399.9</v>
      </c>
      <c r="H375" s="247">
        <v>393.9</v>
      </c>
      <c r="I375" s="247">
        <v>0</v>
      </c>
      <c r="J375" s="247">
        <v>124.74444444444444</v>
      </c>
      <c r="K375" s="247">
        <v>97.686645636172443</v>
      </c>
      <c r="L375" s="247">
        <v>88.131868131868146</v>
      </c>
      <c r="M375" s="247">
        <v>15.5</v>
      </c>
      <c r="N375" s="249">
        <v>25.744700315457415</v>
      </c>
      <c r="O375" s="250">
        <v>0</v>
      </c>
      <c r="P375" s="249">
        <v>124.74444444444444</v>
      </c>
      <c r="Q375" s="249">
        <v>97.686645636172443</v>
      </c>
      <c r="R375" s="249">
        <v>88.131868131868146</v>
      </c>
      <c r="S375" s="250">
        <v>15.5</v>
      </c>
      <c r="T375" s="247">
        <v>25.744700315457415</v>
      </c>
      <c r="U375" s="247">
        <v>351.80765852794241</v>
      </c>
      <c r="V375" s="255">
        <v>42.092341472057569</v>
      </c>
      <c r="W375" s="247">
        <v>42.092341472057569</v>
      </c>
      <c r="X375" s="256">
        <v>0.12026091890987139</v>
      </c>
    </row>
    <row r="376" spans="1:24" x14ac:dyDescent="0.25">
      <c r="A376" s="254">
        <v>45812</v>
      </c>
      <c r="B376" s="131" t="s">
        <v>108</v>
      </c>
      <c r="C376" s="131" t="s">
        <v>10</v>
      </c>
      <c r="D376" s="131">
        <v>1</v>
      </c>
      <c r="E376" s="130">
        <v>100</v>
      </c>
      <c r="F376" s="131" t="s">
        <v>314</v>
      </c>
      <c r="G376" s="247">
        <v>419</v>
      </c>
      <c r="H376" s="247">
        <v>419</v>
      </c>
      <c r="I376" s="247">
        <v>0</v>
      </c>
      <c r="J376" s="247">
        <v>123.24444444444444</v>
      </c>
      <c r="K376" s="247">
        <v>97.686645636172443</v>
      </c>
      <c r="L376" s="247">
        <v>88.131868131868146</v>
      </c>
      <c r="M376" s="247">
        <v>15.5</v>
      </c>
      <c r="N376" s="249">
        <v>25.744700315457415</v>
      </c>
      <c r="O376" s="250">
        <v>0</v>
      </c>
      <c r="P376" s="249">
        <v>123.24444444444444</v>
      </c>
      <c r="Q376" s="249">
        <v>97.686645636172443</v>
      </c>
      <c r="R376" s="249">
        <v>88.131868131868146</v>
      </c>
      <c r="S376" s="250">
        <v>15.5</v>
      </c>
      <c r="T376" s="247">
        <v>25.744700315457415</v>
      </c>
      <c r="U376" s="247">
        <v>350.30765852794241</v>
      </c>
      <c r="V376" s="255">
        <v>68.692341472057592</v>
      </c>
      <c r="W376" s="247">
        <v>68.692341472057592</v>
      </c>
      <c r="X376" s="256">
        <v>0.16394353573283435</v>
      </c>
    </row>
    <row r="377" spans="1:24" x14ac:dyDescent="0.25">
      <c r="A377" s="254">
        <v>45812</v>
      </c>
      <c r="B377" s="131" t="s">
        <v>108</v>
      </c>
      <c r="C377" s="131" t="s">
        <v>135</v>
      </c>
      <c r="D377" s="131">
        <v>2</v>
      </c>
      <c r="E377" s="130">
        <v>100</v>
      </c>
      <c r="F377" s="131" t="s">
        <v>314</v>
      </c>
      <c r="G377" s="247">
        <v>419</v>
      </c>
      <c r="H377" s="247">
        <v>838</v>
      </c>
      <c r="I377" s="247">
        <v>0</v>
      </c>
      <c r="J377" s="247">
        <v>263.48888888888888</v>
      </c>
      <c r="K377" s="247">
        <v>195.37329127234489</v>
      </c>
      <c r="L377" s="247">
        <v>176.26373626373629</v>
      </c>
      <c r="M377" s="247">
        <v>31</v>
      </c>
      <c r="N377" s="249">
        <v>51.48940063091483</v>
      </c>
      <c r="O377" s="250">
        <v>0</v>
      </c>
      <c r="P377" s="249">
        <v>131.74444444444444</v>
      </c>
      <c r="Q377" s="249">
        <v>97.686645636172443</v>
      </c>
      <c r="R377" s="249">
        <v>88.131868131868146</v>
      </c>
      <c r="S377" s="250">
        <v>15.5</v>
      </c>
      <c r="T377" s="247">
        <v>25.744700315457415</v>
      </c>
      <c r="U377" s="247">
        <v>717.61531705588482</v>
      </c>
      <c r="V377" s="255">
        <v>120.38468294411518</v>
      </c>
      <c r="W377" s="247">
        <v>60.192341472057592</v>
      </c>
      <c r="X377" s="256">
        <v>0.1436571395514501</v>
      </c>
    </row>
    <row r="378" spans="1:24" x14ac:dyDescent="0.25">
      <c r="A378" s="254">
        <v>45812</v>
      </c>
      <c r="B378" s="131" t="s">
        <v>108</v>
      </c>
      <c r="C378" s="131" t="s">
        <v>357</v>
      </c>
      <c r="D378" s="131">
        <v>1</v>
      </c>
      <c r="E378" s="130">
        <v>100</v>
      </c>
      <c r="F378" s="131" t="s">
        <v>100</v>
      </c>
      <c r="G378" s="247">
        <v>419.9</v>
      </c>
      <c r="H378" s="247">
        <v>419.9</v>
      </c>
      <c r="I378" s="247">
        <v>37.790999999999997</v>
      </c>
      <c r="J378" s="247">
        <v>104.84444444444443</v>
      </c>
      <c r="K378" s="247">
        <v>97.686645636172443</v>
      </c>
      <c r="L378" s="247">
        <v>88.131868131868146</v>
      </c>
      <c r="M378" s="247">
        <v>15.5</v>
      </c>
      <c r="N378" s="249">
        <v>25.744700315457415</v>
      </c>
      <c r="O378" s="250">
        <v>37.790999999999997</v>
      </c>
      <c r="P378" s="249">
        <v>104.84444444444443</v>
      </c>
      <c r="Q378" s="249">
        <v>97.686645636172443</v>
      </c>
      <c r="R378" s="249">
        <v>88.131868131868146</v>
      </c>
      <c r="S378" s="250">
        <v>15.5</v>
      </c>
      <c r="T378" s="247">
        <v>25.744700315457415</v>
      </c>
      <c r="U378" s="247">
        <v>369.69865852794243</v>
      </c>
      <c r="V378" s="255">
        <v>50.20134147205755</v>
      </c>
      <c r="W378" s="247">
        <v>50.20134147205755</v>
      </c>
      <c r="X378" s="256">
        <v>0.11955546909277817</v>
      </c>
    </row>
    <row r="379" spans="1:24" x14ac:dyDescent="0.25">
      <c r="A379" s="254">
        <v>45812</v>
      </c>
      <c r="B379" s="131" t="s">
        <v>108</v>
      </c>
      <c r="C379" s="131" t="s">
        <v>356</v>
      </c>
      <c r="D379" s="131">
        <v>1</v>
      </c>
      <c r="E379" s="130">
        <v>100</v>
      </c>
      <c r="F379" s="131" t="s">
        <v>100</v>
      </c>
      <c r="G379" s="247">
        <v>419.9</v>
      </c>
      <c r="H379" s="247">
        <v>419.9</v>
      </c>
      <c r="I379" s="247">
        <v>37.790999999999997</v>
      </c>
      <c r="J379" s="247">
        <v>104.84444444444443</v>
      </c>
      <c r="K379" s="247">
        <v>97.686645636172443</v>
      </c>
      <c r="L379" s="247">
        <v>88.131868131868146</v>
      </c>
      <c r="M379" s="247">
        <v>15.5</v>
      </c>
      <c r="N379" s="249">
        <v>25.744700315457415</v>
      </c>
      <c r="O379" s="250">
        <v>37.790999999999997</v>
      </c>
      <c r="P379" s="249">
        <v>104.84444444444443</v>
      </c>
      <c r="Q379" s="249">
        <v>97.686645636172443</v>
      </c>
      <c r="R379" s="249">
        <v>88.131868131868146</v>
      </c>
      <c r="S379" s="250">
        <v>15.5</v>
      </c>
      <c r="T379" s="247">
        <v>25.744700315457415</v>
      </c>
      <c r="U379" s="247">
        <v>369.69865852794243</v>
      </c>
      <c r="V379" s="255">
        <v>50.20134147205755</v>
      </c>
      <c r="W379" s="247">
        <v>50.20134147205755</v>
      </c>
      <c r="X379" s="256">
        <v>0.11955546909277817</v>
      </c>
    </row>
    <row r="380" spans="1:24" x14ac:dyDescent="0.25">
      <c r="A380" s="254">
        <v>45812</v>
      </c>
      <c r="B380" s="131" t="s">
        <v>108</v>
      </c>
      <c r="C380" s="131" t="s">
        <v>359</v>
      </c>
      <c r="D380" s="131">
        <v>4</v>
      </c>
      <c r="E380" s="130">
        <v>100</v>
      </c>
      <c r="F380" s="131" t="s">
        <v>340</v>
      </c>
      <c r="G380" s="247">
        <v>419.9</v>
      </c>
      <c r="H380" s="247">
        <v>1679.6</v>
      </c>
      <c r="I380" s="247">
        <v>246.90119999999996</v>
      </c>
      <c r="J380" s="247">
        <v>427.37777777777774</v>
      </c>
      <c r="K380" s="247">
        <v>390.74658254468977</v>
      </c>
      <c r="L380" s="247">
        <v>352.52747252747258</v>
      </c>
      <c r="M380" s="247">
        <v>62</v>
      </c>
      <c r="N380" s="249">
        <v>102.97880126182966</v>
      </c>
      <c r="O380" s="250">
        <v>61.72529999999999</v>
      </c>
      <c r="P380" s="249">
        <v>106.84444444444443</v>
      </c>
      <c r="Q380" s="249">
        <v>97.686645636172443</v>
      </c>
      <c r="R380" s="249">
        <v>88.131868131868146</v>
      </c>
      <c r="S380" s="250">
        <v>15.5</v>
      </c>
      <c r="T380" s="247">
        <v>25.744700315457415</v>
      </c>
      <c r="U380" s="247">
        <v>1582.5318341117697</v>
      </c>
      <c r="V380" s="255">
        <v>97.068165888230169</v>
      </c>
      <c r="W380" s="247">
        <v>24.267041472057542</v>
      </c>
      <c r="X380" s="256">
        <v>5.779243027401177E-2</v>
      </c>
    </row>
    <row r="381" spans="1:24" x14ac:dyDescent="0.25">
      <c r="A381" s="254">
        <v>45812</v>
      </c>
      <c r="B381" s="131" t="s">
        <v>108</v>
      </c>
      <c r="C381" s="131" t="s">
        <v>358</v>
      </c>
      <c r="D381" s="131">
        <v>1</v>
      </c>
      <c r="E381" s="130">
        <v>100</v>
      </c>
      <c r="F381" s="131" t="s">
        <v>340</v>
      </c>
      <c r="G381" s="247">
        <v>419.9</v>
      </c>
      <c r="H381" s="247">
        <v>419.9</v>
      </c>
      <c r="I381" s="247">
        <v>61.72529999999999</v>
      </c>
      <c r="J381" s="247">
        <v>98.844444444444434</v>
      </c>
      <c r="K381" s="247">
        <v>97.686645636172443</v>
      </c>
      <c r="L381" s="247">
        <v>88.131868131868146</v>
      </c>
      <c r="M381" s="247">
        <v>15.5</v>
      </c>
      <c r="N381" s="249">
        <v>25.744700315457415</v>
      </c>
      <c r="O381" s="250">
        <v>61.72529999999999</v>
      </c>
      <c r="P381" s="249">
        <v>98.844444444444434</v>
      </c>
      <c r="Q381" s="249">
        <v>97.686645636172443</v>
      </c>
      <c r="R381" s="249">
        <v>88.131868131868146</v>
      </c>
      <c r="S381" s="250">
        <v>15.5</v>
      </c>
      <c r="T381" s="247">
        <v>25.744700315457415</v>
      </c>
      <c r="U381" s="247">
        <v>387.63295852794244</v>
      </c>
      <c r="V381" s="255">
        <v>32.267041472057542</v>
      </c>
      <c r="W381" s="247">
        <v>32.267041472057542</v>
      </c>
      <c r="X381" s="256">
        <v>7.6844585549077263E-2</v>
      </c>
    </row>
    <row r="382" spans="1:24" x14ac:dyDescent="0.25">
      <c r="A382" s="254">
        <v>45812</v>
      </c>
      <c r="B382" s="131" t="s">
        <v>108</v>
      </c>
      <c r="C382" s="131" t="s">
        <v>355</v>
      </c>
      <c r="D382" s="131">
        <v>1</v>
      </c>
      <c r="E382" s="130">
        <v>100</v>
      </c>
      <c r="F382" s="131" t="s">
        <v>340</v>
      </c>
      <c r="G382" s="247">
        <v>419.9</v>
      </c>
      <c r="H382" s="247">
        <v>419.9</v>
      </c>
      <c r="I382" s="247">
        <v>61.72529999999999</v>
      </c>
      <c r="J382" s="247">
        <v>105.84444444444443</v>
      </c>
      <c r="K382" s="247">
        <v>97.686645636172443</v>
      </c>
      <c r="L382" s="247">
        <v>88.131868131868146</v>
      </c>
      <c r="M382" s="247">
        <v>15.5</v>
      </c>
      <c r="N382" s="249">
        <v>25.744700315457415</v>
      </c>
      <c r="O382" s="250">
        <v>61.72529999999999</v>
      </c>
      <c r="P382" s="249">
        <v>105.84444444444443</v>
      </c>
      <c r="Q382" s="249">
        <v>97.686645636172443</v>
      </c>
      <c r="R382" s="249">
        <v>88.131868131868146</v>
      </c>
      <c r="S382" s="250">
        <v>15.5</v>
      </c>
      <c r="T382" s="247">
        <v>25.744700315457415</v>
      </c>
      <c r="U382" s="247">
        <v>394.63295852794244</v>
      </c>
      <c r="V382" s="255">
        <v>25.267041472057542</v>
      </c>
      <c r="W382" s="247">
        <v>25.267041472057542</v>
      </c>
      <c r="X382" s="256">
        <v>6.0173949683394963E-2</v>
      </c>
    </row>
    <row r="383" spans="1:24" x14ac:dyDescent="0.25">
      <c r="A383" s="254">
        <v>45812</v>
      </c>
      <c r="B383" s="131" t="s">
        <v>108</v>
      </c>
      <c r="C383" s="131" t="s">
        <v>10</v>
      </c>
      <c r="D383" s="131">
        <v>1</v>
      </c>
      <c r="E383" s="130">
        <v>100</v>
      </c>
      <c r="F383" s="131" t="s">
        <v>365</v>
      </c>
      <c r="G383" s="247">
        <v>419.9</v>
      </c>
      <c r="H383" s="247">
        <v>419.9</v>
      </c>
      <c r="I383" s="247">
        <v>0</v>
      </c>
      <c r="J383" s="247">
        <v>123.24444444444444</v>
      </c>
      <c r="K383" s="247">
        <v>97.686645636172443</v>
      </c>
      <c r="L383" s="247">
        <v>88.131868131868146</v>
      </c>
      <c r="M383" s="247">
        <v>15.5</v>
      </c>
      <c r="N383" s="249">
        <v>25.744700315457415</v>
      </c>
      <c r="O383" s="250">
        <v>0</v>
      </c>
      <c r="P383" s="249">
        <v>123.24444444444444</v>
      </c>
      <c r="Q383" s="249">
        <v>97.686645636172443</v>
      </c>
      <c r="R383" s="249">
        <v>88.131868131868146</v>
      </c>
      <c r="S383" s="250">
        <v>15.5</v>
      </c>
      <c r="T383" s="247">
        <v>25.744700315457415</v>
      </c>
      <c r="U383" s="247">
        <v>350.30765852794241</v>
      </c>
      <c r="V383" s="255">
        <v>69.592341472057569</v>
      </c>
      <c r="W383" s="247">
        <v>69.592341472057569</v>
      </c>
      <c r="X383" s="256">
        <v>0.16573551196012759</v>
      </c>
    </row>
    <row r="384" spans="1:24" x14ac:dyDescent="0.25">
      <c r="A384" s="254">
        <v>45812</v>
      </c>
      <c r="B384" s="131" t="s">
        <v>108</v>
      </c>
      <c r="C384" s="131" t="s">
        <v>10</v>
      </c>
      <c r="D384" s="131">
        <v>1</v>
      </c>
      <c r="E384" s="130">
        <v>100</v>
      </c>
      <c r="F384" s="131" t="s">
        <v>314</v>
      </c>
      <c r="G384" s="247">
        <v>419.9</v>
      </c>
      <c r="H384" s="247">
        <v>419.9</v>
      </c>
      <c r="I384" s="247">
        <v>0</v>
      </c>
      <c r="J384" s="247">
        <v>123.24444444444444</v>
      </c>
      <c r="K384" s="247">
        <v>97.686645636172443</v>
      </c>
      <c r="L384" s="247">
        <v>88.131868131868146</v>
      </c>
      <c r="M384" s="247">
        <v>15.5</v>
      </c>
      <c r="N384" s="249">
        <v>25.744700315457415</v>
      </c>
      <c r="O384" s="250">
        <v>0</v>
      </c>
      <c r="P384" s="249">
        <v>123.24444444444444</v>
      </c>
      <c r="Q384" s="249">
        <v>97.686645636172443</v>
      </c>
      <c r="R384" s="249">
        <v>88.131868131868146</v>
      </c>
      <c r="S384" s="250">
        <v>15.5</v>
      </c>
      <c r="T384" s="247">
        <v>25.744700315457415</v>
      </c>
      <c r="U384" s="247">
        <v>350.30765852794241</v>
      </c>
      <c r="V384" s="255">
        <v>69.592341472057569</v>
      </c>
      <c r="W384" s="247">
        <v>69.592341472057569</v>
      </c>
      <c r="X384" s="256">
        <v>0.16573551196012759</v>
      </c>
    </row>
    <row r="385" spans="1:24" x14ac:dyDescent="0.25">
      <c r="A385" s="254">
        <v>45812</v>
      </c>
      <c r="B385" s="131" t="s">
        <v>108</v>
      </c>
      <c r="C385" s="131" t="s">
        <v>9</v>
      </c>
      <c r="D385" s="131">
        <v>2</v>
      </c>
      <c r="E385" s="130">
        <v>100</v>
      </c>
      <c r="F385" s="131" t="s">
        <v>365</v>
      </c>
      <c r="G385" s="247">
        <v>419.9</v>
      </c>
      <c r="H385" s="247">
        <v>839.8</v>
      </c>
      <c r="I385" s="247">
        <v>0</v>
      </c>
      <c r="J385" s="247">
        <v>249.48888888888888</v>
      </c>
      <c r="K385" s="247">
        <v>195.37329127234489</v>
      </c>
      <c r="L385" s="247">
        <v>176.26373626373629</v>
      </c>
      <c r="M385" s="247">
        <v>31</v>
      </c>
      <c r="N385" s="249">
        <v>51.48940063091483</v>
      </c>
      <c r="O385" s="250">
        <v>0</v>
      </c>
      <c r="P385" s="249">
        <v>124.74444444444444</v>
      </c>
      <c r="Q385" s="249">
        <v>97.686645636172443</v>
      </c>
      <c r="R385" s="249">
        <v>88.131868131868146</v>
      </c>
      <c r="S385" s="250">
        <v>15.5</v>
      </c>
      <c r="T385" s="247">
        <v>25.744700315457415</v>
      </c>
      <c r="U385" s="247">
        <v>703.61531705588482</v>
      </c>
      <c r="V385" s="255">
        <v>136.18468294411514</v>
      </c>
      <c r="W385" s="247">
        <v>68.092341472057569</v>
      </c>
      <c r="X385" s="256">
        <v>0.1621632328460528</v>
      </c>
    </row>
    <row r="386" spans="1:24" x14ac:dyDescent="0.25">
      <c r="A386" s="254">
        <v>45812</v>
      </c>
      <c r="B386" s="131" t="s">
        <v>108</v>
      </c>
      <c r="C386" s="131" t="s">
        <v>9</v>
      </c>
      <c r="D386" s="131">
        <v>1</v>
      </c>
      <c r="E386" s="130">
        <v>100</v>
      </c>
      <c r="F386" s="131" t="s">
        <v>314</v>
      </c>
      <c r="G386" s="247">
        <v>419.9</v>
      </c>
      <c r="H386" s="247">
        <v>419.9</v>
      </c>
      <c r="I386" s="247">
        <v>0</v>
      </c>
      <c r="J386" s="247">
        <v>124.74444444444444</v>
      </c>
      <c r="K386" s="247">
        <v>97.686645636172443</v>
      </c>
      <c r="L386" s="247">
        <v>88.131868131868146</v>
      </c>
      <c r="M386" s="247">
        <v>15.5</v>
      </c>
      <c r="N386" s="249">
        <v>25.744700315457415</v>
      </c>
      <c r="O386" s="250">
        <v>0</v>
      </c>
      <c r="P386" s="249">
        <v>124.74444444444444</v>
      </c>
      <c r="Q386" s="249">
        <v>97.686645636172443</v>
      </c>
      <c r="R386" s="249">
        <v>88.131868131868146</v>
      </c>
      <c r="S386" s="250">
        <v>15.5</v>
      </c>
      <c r="T386" s="247">
        <v>25.744700315457415</v>
      </c>
      <c r="U386" s="247">
        <v>351.80765852794241</v>
      </c>
      <c r="V386" s="255">
        <v>68.092341472057569</v>
      </c>
      <c r="W386" s="247">
        <v>68.092341472057569</v>
      </c>
      <c r="X386" s="256">
        <v>0.1621632328460528</v>
      </c>
    </row>
    <row r="387" spans="1:24" x14ac:dyDescent="0.25">
      <c r="A387" s="254">
        <v>45812</v>
      </c>
      <c r="B387" s="131" t="s">
        <v>108</v>
      </c>
      <c r="C387" s="131" t="s">
        <v>11</v>
      </c>
      <c r="D387" s="131">
        <v>2</v>
      </c>
      <c r="E387" s="130">
        <v>100</v>
      </c>
      <c r="F387" s="131" t="s">
        <v>365</v>
      </c>
      <c r="G387" s="247">
        <v>419.9</v>
      </c>
      <c r="H387" s="247">
        <v>834.8</v>
      </c>
      <c r="I387" s="247">
        <v>0</v>
      </c>
      <c r="J387" s="247">
        <v>252.48888888888888</v>
      </c>
      <c r="K387" s="247">
        <v>195.37329127234489</v>
      </c>
      <c r="L387" s="247">
        <v>176.26373626373629</v>
      </c>
      <c r="M387" s="247">
        <v>31</v>
      </c>
      <c r="N387" s="249">
        <v>51.48940063091483</v>
      </c>
      <c r="O387" s="250">
        <v>0</v>
      </c>
      <c r="P387" s="249">
        <v>126.24444444444444</v>
      </c>
      <c r="Q387" s="249">
        <v>97.686645636172443</v>
      </c>
      <c r="R387" s="249">
        <v>88.131868131868146</v>
      </c>
      <c r="S387" s="250">
        <v>15.5</v>
      </c>
      <c r="T387" s="247">
        <v>25.744700315457415</v>
      </c>
      <c r="U387" s="247">
        <v>706.61531705588482</v>
      </c>
      <c r="V387" s="255">
        <v>128.18468294411514</v>
      </c>
      <c r="W387" s="247">
        <v>64.092341472057569</v>
      </c>
      <c r="X387" s="256">
        <v>0.15859095373197801</v>
      </c>
    </row>
    <row r="388" spans="1:24" x14ac:dyDescent="0.25">
      <c r="A388" s="254">
        <v>45812</v>
      </c>
      <c r="B388" s="131" t="s">
        <v>108</v>
      </c>
      <c r="C388" s="131" t="s">
        <v>135</v>
      </c>
      <c r="D388" s="131">
        <v>5</v>
      </c>
      <c r="E388" s="130">
        <v>100</v>
      </c>
      <c r="F388" s="131" t="s">
        <v>365</v>
      </c>
      <c r="G388" s="247">
        <v>419.9</v>
      </c>
      <c r="H388" s="247">
        <v>2099.5</v>
      </c>
      <c r="I388" s="247">
        <v>0</v>
      </c>
      <c r="J388" s="247">
        <v>658.72222222222217</v>
      </c>
      <c r="K388" s="247">
        <v>488.43322818086222</v>
      </c>
      <c r="L388" s="247">
        <v>440.65934065934073</v>
      </c>
      <c r="M388" s="247">
        <v>77.5</v>
      </c>
      <c r="N388" s="249">
        <v>128.72350157728707</v>
      </c>
      <c r="O388" s="250">
        <v>0</v>
      </c>
      <c r="P388" s="249">
        <v>131.74444444444444</v>
      </c>
      <c r="Q388" s="249">
        <v>97.686645636172443</v>
      </c>
      <c r="R388" s="249">
        <v>88.131868131868146</v>
      </c>
      <c r="S388" s="250">
        <v>15.5</v>
      </c>
      <c r="T388" s="247">
        <v>25.744700315457415</v>
      </c>
      <c r="U388" s="247">
        <v>1794.0382926397119</v>
      </c>
      <c r="V388" s="255">
        <v>305.46170736028807</v>
      </c>
      <c r="W388" s="247">
        <v>61.092341472057612</v>
      </c>
      <c r="X388" s="256">
        <v>0.14549259698037051</v>
      </c>
    </row>
    <row r="389" spans="1:24" x14ac:dyDescent="0.25">
      <c r="A389" s="254">
        <v>45812</v>
      </c>
      <c r="B389" s="131" t="s">
        <v>108</v>
      </c>
      <c r="C389" s="131" t="s">
        <v>355</v>
      </c>
      <c r="D389" s="131">
        <v>2</v>
      </c>
      <c r="E389" s="130">
        <v>100</v>
      </c>
      <c r="F389" s="131" t="s">
        <v>340</v>
      </c>
      <c r="G389" s="247">
        <v>441.9</v>
      </c>
      <c r="H389" s="247">
        <v>883.8</v>
      </c>
      <c r="I389" s="247">
        <v>129.9186</v>
      </c>
      <c r="J389" s="247">
        <v>211.68888888888887</v>
      </c>
      <c r="K389" s="247">
        <v>195.37329127234489</v>
      </c>
      <c r="L389" s="247">
        <v>176.26373626373629</v>
      </c>
      <c r="M389" s="247">
        <v>31</v>
      </c>
      <c r="N389" s="249">
        <v>51.48940063091483</v>
      </c>
      <c r="O389" s="250">
        <v>64.959299999999999</v>
      </c>
      <c r="P389" s="249">
        <v>105.84444444444443</v>
      </c>
      <c r="Q389" s="249">
        <v>97.686645636172443</v>
      </c>
      <c r="R389" s="249">
        <v>88.131868131868146</v>
      </c>
      <c r="S389" s="250">
        <v>15.5</v>
      </c>
      <c r="T389" s="247">
        <v>25.744700315457415</v>
      </c>
      <c r="U389" s="247">
        <v>795.73391705588483</v>
      </c>
      <c r="V389" s="255">
        <v>88.066082944115124</v>
      </c>
      <c r="W389" s="247">
        <v>44.033041472057562</v>
      </c>
      <c r="X389" s="256">
        <v>9.9644809848512247E-2</v>
      </c>
    </row>
    <row r="390" spans="1:24" x14ac:dyDescent="0.25">
      <c r="A390" s="254">
        <v>45812</v>
      </c>
      <c r="B390" s="131" t="s">
        <v>108</v>
      </c>
      <c r="C390" s="131" t="s">
        <v>355</v>
      </c>
      <c r="D390" s="131">
        <v>3</v>
      </c>
      <c r="E390" s="130">
        <v>100</v>
      </c>
      <c r="F390" s="131" t="s">
        <v>340</v>
      </c>
      <c r="G390" s="247">
        <v>449.9</v>
      </c>
      <c r="H390" s="247">
        <v>1349.7</v>
      </c>
      <c r="I390" s="247">
        <v>198.4059</v>
      </c>
      <c r="J390" s="247">
        <v>317.5333333333333</v>
      </c>
      <c r="K390" s="247">
        <v>293.05993690851733</v>
      </c>
      <c r="L390" s="247">
        <v>264.39560439560444</v>
      </c>
      <c r="M390" s="247">
        <v>46.5</v>
      </c>
      <c r="N390" s="249">
        <v>77.234100946372251</v>
      </c>
      <c r="O390" s="250">
        <v>66.135300000000001</v>
      </c>
      <c r="P390" s="249">
        <v>105.84444444444443</v>
      </c>
      <c r="Q390" s="249">
        <v>97.686645636172443</v>
      </c>
      <c r="R390" s="249">
        <v>88.131868131868146</v>
      </c>
      <c r="S390" s="250">
        <v>15.5</v>
      </c>
      <c r="T390" s="247">
        <v>25.744700315457415</v>
      </c>
      <c r="U390" s="247">
        <v>1197.1288755838273</v>
      </c>
      <c r="V390" s="255">
        <v>152.57112441617278</v>
      </c>
      <c r="W390" s="247">
        <v>50.857041472057595</v>
      </c>
      <c r="X390" s="256">
        <v>0.1130407678863249</v>
      </c>
    </row>
    <row r="391" spans="1:24" x14ac:dyDescent="0.25">
      <c r="A391" s="254">
        <v>45812</v>
      </c>
      <c r="B391" s="131" t="s">
        <v>108</v>
      </c>
      <c r="C391" s="131" t="s">
        <v>356</v>
      </c>
      <c r="D391" s="131">
        <v>2</v>
      </c>
      <c r="E391" s="130">
        <v>100</v>
      </c>
      <c r="F391" s="131" t="s">
        <v>340</v>
      </c>
      <c r="G391" s="247">
        <v>449.9</v>
      </c>
      <c r="H391" s="247">
        <v>899.8</v>
      </c>
      <c r="I391" s="247">
        <v>132.27059999999997</v>
      </c>
      <c r="J391" s="247">
        <v>209.68888888888887</v>
      </c>
      <c r="K391" s="247">
        <v>195.37329127234489</v>
      </c>
      <c r="L391" s="247">
        <v>176.26373626373629</v>
      </c>
      <c r="M391" s="247">
        <v>31</v>
      </c>
      <c r="N391" s="249">
        <v>51.48940063091483</v>
      </c>
      <c r="O391" s="250">
        <v>66.135299999999987</v>
      </c>
      <c r="P391" s="249">
        <v>104.84444444444443</v>
      </c>
      <c r="Q391" s="249">
        <v>97.686645636172443</v>
      </c>
      <c r="R391" s="249">
        <v>88.131868131868146</v>
      </c>
      <c r="S391" s="250">
        <v>15.5</v>
      </c>
      <c r="T391" s="247">
        <v>25.744700315457415</v>
      </c>
      <c r="U391" s="247">
        <v>796.08591705588481</v>
      </c>
      <c r="V391" s="255">
        <v>103.71408294411515</v>
      </c>
      <c r="W391" s="247">
        <v>51.857041472057574</v>
      </c>
      <c r="X391" s="256">
        <v>0.11526348404547139</v>
      </c>
    </row>
    <row r="392" spans="1:24" x14ac:dyDescent="0.25">
      <c r="A392" s="254">
        <v>45812</v>
      </c>
      <c r="B392" s="131" t="s">
        <v>108</v>
      </c>
      <c r="C392" s="131" t="s">
        <v>358</v>
      </c>
      <c r="D392" s="131">
        <v>1</v>
      </c>
      <c r="E392" s="130">
        <v>100</v>
      </c>
      <c r="F392" s="131" t="s">
        <v>340</v>
      </c>
      <c r="G392" s="247">
        <v>449.9</v>
      </c>
      <c r="H392" s="247">
        <v>449.9</v>
      </c>
      <c r="I392" s="247">
        <v>66.135299999999987</v>
      </c>
      <c r="J392" s="247">
        <v>98.844444444444434</v>
      </c>
      <c r="K392" s="247">
        <v>97.686645636172443</v>
      </c>
      <c r="L392" s="247">
        <v>88.131868131868146</v>
      </c>
      <c r="M392" s="247">
        <v>15.5</v>
      </c>
      <c r="N392" s="249">
        <v>25.744700315457415</v>
      </c>
      <c r="O392" s="250">
        <v>66.135299999999987</v>
      </c>
      <c r="P392" s="249">
        <v>98.844444444444434</v>
      </c>
      <c r="Q392" s="249">
        <v>97.686645636172443</v>
      </c>
      <c r="R392" s="249">
        <v>88.131868131868146</v>
      </c>
      <c r="S392" s="250">
        <v>15.5</v>
      </c>
      <c r="T392" s="247">
        <v>25.744700315457415</v>
      </c>
      <c r="U392" s="247">
        <v>392.0429585279424</v>
      </c>
      <c r="V392" s="255">
        <v>57.857041472057574</v>
      </c>
      <c r="W392" s="247">
        <v>57.857041472057574</v>
      </c>
      <c r="X392" s="256">
        <v>0.12859978100035024</v>
      </c>
    </row>
    <row r="393" spans="1:24" x14ac:dyDescent="0.25">
      <c r="A393" s="254">
        <v>45812</v>
      </c>
      <c r="B393" s="131" t="s">
        <v>108</v>
      </c>
      <c r="C393" s="131" t="s">
        <v>359</v>
      </c>
      <c r="D393" s="131">
        <v>1</v>
      </c>
      <c r="E393" s="130">
        <v>100</v>
      </c>
      <c r="F393" s="131" t="s">
        <v>340</v>
      </c>
      <c r="G393" s="247">
        <v>449.9</v>
      </c>
      <c r="H393" s="247">
        <v>449.9</v>
      </c>
      <c r="I393" s="247">
        <v>66.135299999999987</v>
      </c>
      <c r="J393" s="247">
        <v>106.84444444444443</v>
      </c>
      <c r="K393" s="247">
        <v>97.686645636172443</v>
      </c>
      <c r="L393" s="247">
        <v>88.131868131868146</v>
      </c>
      <c r="M393" s="247">
        <v>15.5</v>
      </c>
      <c r="N393" s="249">
        <v>25.744700315457415</v>
      </c>
      <c r="O393" s="250">
        <v>66.135299999999987</v>
      </c>
      <c r="P393" s="249">
        <v>106.84444444444443</v>
      </c>
      <c r="Q393" s="249">
        <v>97.686645636172443</v>
      </c>
      <c r="R393" s="249">
        <v>88.131868131868146</v>
      </c>
      <c r="S393" s="250">
        <v>15.5</v>
      </c>
      <c r="T393" s="247">
        <v>25.744700315457415</v>
      </c>
      <c r="U393" s="247">
        <v>400.0429585279424</v>
      </c>
      <c r="V393" s="255">
        <v>49.857041472057574</v>
      </c>
      <c r="W393" s="247">
        <v>49.857041472057574</v>
      </c>
      <c r="X393" s="256">
        <v>0.11081805172717843</v>
      </c>
    </row>
    <row r="394" spans="1:24" x14ac:dyDescent="0.25">
      <c r="A394" s="254">
        <v>45812</v>
      </c>
      <c r="B394" s="131" t="s">
        <v>108</v>
      </c>
      <c r="C394" s="131" t="s">
        <v>7</v>
      </c>
      <c r="D394" s="131">
        <v>1</v>
      </c>
      <c r="E394" s="130">
        <v>140</v>
      </c>
      <c r="F394" s="131" t="s">
        <v>314</v>
      </c>
      <c r="G394" s="247">
        <v>449.9</v>
      </c>
      <c r="H394" s="247">
        <v>449.9</v>
      </c>
      <c r="I394" s="247">
        <v>0</v>
      </c>
      <c r="J394" s="247">
        <v>142.44444444444443</v>
      </c>
      <c r="K394" s="247">
        <v>97.686645636172443</v>
      </c>
      <c r="L394" s="247">
        <v>88.131868131868146</v>
      </c>
      <c r="M394" s="247">
        <v>15.5</v>
      </c>
      <c r="N394" s="249">
        <v>25.744700315457415</v>
      </c>
      <c r="O394" s="250">
        <v>0</v>
      </c>
      <c r="P394" s="249">
        <v>142.44444444444443</v>
      </c>
      <c r="Q394" s="249">
        <v>97.686645636172443</v>
      </c>
      <c r="R394" s="249">
        <v>88.131868131868146</v>
      </c>
      <c r="S394" s="250">
        <v>15.5</v>
      </c>
      <c r="T394" s="247">
        <v>25.744700315457415</v>
      </c>
      <c r="U394" s="247">
        <v>369.50765852794245</v>
      </c>
      <c r="V394" s="255">
        <v>80.392341472057524</v>
      </c>
      <c r="W394" s="247">
        <v>80.392341472057524</v>
      </c>
      <c r="X394" s="256">
        <v>0.17868935646156375</v>
      </c>
    </row>
    <row r="395" spans="1:24" x14ac:dyDescent="0.25">
      <c r="A395" s="254">
        <v>45812</v>
      </c>
      <c r="B395" s="131" t="s">
        <v>108</v>
      </c>
      <c r="C395" s="131" t="s">
        <v>7</v>
      </c>
      <c r="D395" s="131">
        <v>7</v>
      </c>
      <c r="E395" s="130">
        <v>140</v>
      </c>
      <c r="F395" s="131" t="s">
        <v>365</v>
      </c>
      <c r="G395" s="247">
        <v>449.9</v>
      </c>
      <c r="H395" s="247">
        <v>3149.3</v>
      </c>
      <c r="I395" s="247">
        <v>0</v>
      </c>
      <c r="J395" s="247">
        <v>997.11111111111097</v>
      </c>
      <c r="K395" s="247">
        <v>683.8065194532071</v>
      </c>
      <c r="L395" s="247">
        <v>616.92307692307702</v>
      </c>
      <c r="M395" s="247">
        <v>108.5</v>
      </c>
      <c r="N395" s="249">
        <v>180.21290220820191</v>
      </c>
      <c r="O395" s="250">
        <v>0</v>
      </c>
      <c r="P395" s="249">
        <v>142.44444444444443</v>
      </c>
      <c r="Q395" s="249">
        <v>97.686645636172443</v>
      </c>
      <c r="R395" s="249">
        <v>88.131868131868146</v>
      </c>
      <c r="S395" s="250">
        <v>15.5</v>
      </c>
      <c r="T395" s="247">
        <v>25.744700315457415</v>
      </c>
      <c r="U395" s="247">
        <v>2586.5536096955971</v>
      </c>
      <c r="V395" s="255">
        <v>562.74639030440312</v>
      </c>
      <c r="W395" s="247">
        <v>80.392341472057595</v>
      </c>
      <c r="X395" s="256">
        <v>0.17868935646156375</v>
      </c>
    </row>
    <row r="396" spans="1:24" x14ac:dyDescent="0.25">
      <c r="A396" s="254">
        <v>45812</v>
      </c>
      <c r="B396" s="131" t="s">
        <v>108</v>
      </c>
      <c r="C396" s="131" t="s">
        <v>7</v>
      </c>
      <c r="D396" s="131">
        <v>5</v>
      </c>
      <c r="E396" s="130">
        <v>140</v>
      </c>
      <c r="F396" s="131" t="s">
        <v>314</v>
      </c>
      <c r="G396" s="247">
        <v>449.9</v>
      </c>
      <c r="H396" s="247">
        <v>2249.5</v>
      </c>
      <c r="I396" s="247">
        <v>0</v>
      </c>
      <c r="J396" s="247">
        <v>712.22222222222217</v>
      </c>
      <c r="K396" s="247">
        <v>488.43322818086222</v>
      </c>
      <c r="L396" s="247">
        <v>440.65934065934073</v>
      </c>
      <c r="M396" s="247">
        <v>77.5</v>
      </c>
      <c r="N396" s="249">
        <v>128.72350157728707</v>
      </c>
      <c r="O396" s="250">
        <v>0</v>
      </c>
      <c r="P396" s="249">
        <v>142.44444444444443</v>
      </c>
      <c r="Q396" s="249">
        <v>97.686645636172443</v>
      </c>
      <c r="R396" s="249">
        <v>88.131868131868146</v>
      </c>
      <c r="S396" s="250">
        <v>15.5</v>
      </c>
      <c r="T396" s="247">
        <v>25.744700315457415</v>
      </c>
      <c r="U396" s="247">
        <v>1847.5382926397124</v>
      </c>
      <c r="V396" s="255">
        <v>401.96170736028762</v>
      </c>
      <c r="W396" s="247">
        <v>80.392341472057524</v>
      </c>
      <c r="X396" s="256">
        <v>0.17868935646156375</v>
      </c>
    </row>
    <row r="397" spans="1:24" x14ac:dyDescent="0.25">
      <c r="A397" s="254">
        <v>45812</v>
      </c>
      <c r="B397" s="131" t="s">
        <v>108</v>
      </c>
      <c r="C397" s="131" t="s">
        <v>7</v>
      </c>
      <c r="D397" s="131">
        <v>1</v>
      </c>
      <c r="E397" s="130">
        <v>100</v>
      </c>
      <c r="F397" s="131" t="s">
        <v>341</v>
      </c>
      <c r="G397" s="247">
        <v>455.16</v>
      </c>
      <c r="H397" s="247">
        <v>455.16</v>
      </c>
      <c r="I397" s="247">
        <v>58.715640000000008</v>
      </c>
      <c r="J397" s="247">
        <v>123.24444444444444</v>
      </c>
      <c r="K397" s="247">
        <v>97.686645636172443</v>
      </c>
      <c r="L397" s="247">
        <v>88.131868131868146</v>
      </c>
      <c r="M397" s="247">
        <v>15.5</v>
      </c>
      <c r="N397" s="249">
        <v>25.744700315457415</v>
      </c>
      <c r="O397" s="250">
        <v>58.715640000000008</v>
      </c>
      <c r="P397" s="249">
        <v>123.24444444444444</v>
      </c>
      <c r="Q397" s="249">
        <v>97.686645636172443</v>
      </c>
      <c r="R397" s="249">
        <v>88.131868131868146</v>
      </c>
      <c r="S397" s="250">
        <v>15.5</v>
      </c>
      <c r="T397" s="247">
        <v>25.744700315457415</v>
      </c>
      <c r="U397" s="247">
        <v>409.02329852794242</v>
      </c>
      <c r="V397" s="255">
        <v>46.136701472057609</v>
      </c>
      <c r="W397" s="247">
        <v>46.136701472057609</v>
      </c>
      <c r="X397" s="256">
        <v>0.10136369951678005</v>
      </c>
    </row>
    <row r="398" spans="1:24" x14ac:dyDescent="0.25">
      <c r="A398" s="254">
        <v>45812</v>
      </c>
      <c r="B398" s="131" t="s">
        <v>108</v>
      </c>
      <c r="C398" s="131" t="s">
        <v>377</v>
      </c>
      <c r="D398" s="131">
        <v>1</v>
      </c>
      <c r="E398" s="130">
        <v>100</v>
      </c>
      <c r="F398" s="131" t="s">
        <v>341</v>
      </c>
      <c r="G398" s="247">
        <v>455.16</v>
      </c>
      <c r="H398" s="247">
        <v>455.16</v>
      </c>
      <c r="I398" s="247">
        <v>58.715640000000008</v>
      </c>
      <c r="J398" s="247">
        <v>124.74444444444444</v>
      </c>
      <c r="K398" s="247">
        <v>97.686645636172443</v>
      </c>
      <c r="L398" s="247">
        <v>88.131868131868146</v>
      </c>
      <c r="M398" s="247">
        <v>15.5</v>
      </c>
      <c r="N398" s="249">
        <v>25.744700315457415</v>
      </c>
      <c r="O398" s="250">
        <v>58.715640000000008</v>
      </c>
      <c r="P398" s="249">
        <v>124.74444444444444</v>
      </c>
      <c r="Q398" s="249">
        <v>97.686645636172443</v>
      </c>
      <c r="R398" s="249">
        <v>88.131868131868146</v>
      </c>
      <c r="S398" s="250">
        <v>15.5</v>
      </c>
      <c r="T398" s="247">
        <v>25.744700315457415</v>
      </c>
      <c r="U398" s="247">
        <v>410.52329852794242</v>
      </c>
      <c r="V398" s="255">
        <v>44.636701472057609</v>
      </c>
      <c r="W398" s="247">
        <v>44.636701472057609</v>
      </c>
      <c r="X398" s="256">
        <v>9.8068155092841211E-2</v>
      </c>
    </row>
    <row r="399" spans="1:24" x14ac:dyDescent="0.25">
      <c r="A399" s="254">
        <v>45812</v>
      </c>
      <c r="B399" s="131" t="s">
        <v>108</v>
      </c>
      <c r="C399" s="131" t="s">
        <v>5</v>
      </c>
      <c r="D399" s="131">
        <v>1</v>
      </c>
      <c r="E399" s="130">
        <v>100</v>
      </c>
      <c r="F399" s="131" t="s">
        <v>314</v>
      </c>
      <c r="G399" s="247">
        <v>459</v>
      </c>
      <c r="H399" s="247">
        <v>459</v>
      </c>
      <c r="I399" s="247">
        <v>0</v>
      </c>
      <c r="J399" s="247">
        <v>163.57222222222222</v>
      </c>
      <c r="K399" s="247">
        <v>97.686645636172443</v>
      </c>
      <c r="L399" s="247">
        <v>88.131868131868146</v>
      </c>
      <c r="M399" s="247">
        <v>15.5</v>
      </c>
      <c r="N399" s="249">
        <v>25.744700315457415</v>
      </c>
      <c r="O399" s="250">
        <v>0</v>
      </c>
      <c r="P399" s="249">
        <v>163.57222222222222</v>
      </c>
      <c r="Q399" s="249">
        <v>97.686645636172443</v>
      </c>
      <c r="R399" s="249">
        <v>88.131868131868146</v>
      </c>
      <c r="S399" s="250">
        <v>15.5</v>
      </c>
      <c r="T399" s="247">
        <v>25.744700315457415</v>
      </c>
      <c r="U399" s="247">
        <v>390.63543630572019</v>
      </c>
      <c r="V399" s="255">
        <v>68.364563694279809</v>
      </c>
      <c r="W399" s="247">
        <v>68.364563694279809</v>
      </c>
      <c r="X399" s="256">
        <v>0.14894240456270111</v>
      </c>
    </row>
    <row r="400" spans="1:24" x14ac:dyDescent="0.25">
      <c r="A400" s="254">
        <v>45812</v>
      </c>
      <c r="B400" s="131" t="s">
        <v>108</v>
      </c>
      <c r="C400" s="131" t="s">
        <v>18</v>
      </c>
      <c r="D400" s="131">
        <v>2</v>
      </c>
      <c r="E400" s="130">
        <v>100</v>
      </c>
      <c r="F400" s="131" t="s">
        <v>365</v>
      </c>
      <c r="G400" s="247">
        <v>459.9</v>
      </c>
      <c r="H400" s="247">
        <v>919.8</v>
      </c>
      <c r="I400" s="247">
        <v>0</v>
      </c>
      <c r="J400" s="247">
        <v>295.95555555555552</v>
      </c>
      <c r="K400" s="247">
        <v>195.37329127234489</v>
      </c>
      <c r="L400" s="247">
        <v>176.26373626373629</v>
      </c>
      <c r="M400" s="247">
        <v>31</v>
      </c>
      <c r="N400" s="249">
        <v>51.48940063091483</v>
      </c>
      <c r="O400" s="250">
        <v>0</v>
      </c>
      <c r="P400" s="249">
        <v>147.97777777777776</v>
      </c>
      <c r="Q400" s="249">
        <v>97.686645636172443</v>
      </c>
      <c r="R400" s="249">
        <v>88.131868131868146</v>
      </c>
      <c r="S400" s="250">
        <v>15.5</v>
      </c>
      <c r="T400" s="247">
        <v>25.744700315457415</v>
      </c>
      <c r="U400" s="247">
        <v>750.08198372255151</v>
      </c>
      <c r="V400" s="255">
        <v>169.71801627744844</v>
      </c>
      <c r="W400" s="247">
        <v>84.859008138724221</v>
      </c>
      <c r="X400" s="256">
        <v>0.18451621687045927</v>
      </c>
    </row>
    <row r="401" spans="1:24" x14ac:dyDescent="0.25">
      <c r="A401" s="254">
        <v>45812</v>
      </c>
      <c r="B401" s="131" t="s">
        <v>108</v>
      </c>
      <c r="C401" s="131" t="s">
        <v>5</v>
      </c>
      <c r="D401" s="131">
        <v>1</v>
      </c>
      <c r="E401" s="130">
        <v>100</v>
      </c>
      <c r="F401" s="131" t="s">
        <v>365</v>
      </c>
      <c r="G401" s="247">
        <v>459.9</v>
      </c>
      <c r="H401" s="247">
        <v>459.9</v>
      </c>
      <c r="I401" s="247">
        <v>0</v>
      </c>
      <c r="J401" s="247">
        <v>163.57222222222222</v>
      </c>
      <c r="K401" s="247">
        <v>97.686645636172443</v>
      </c>
      <c r="L401" s="247">
        <v>88.131868131868146</v>
      </c>
      <c r="M401" s="247">
        <v>15.5</v>
      </c>
      <c r="N401" s="249">
        <v>25.744700315457415</v>
      </c>
      <c r="O401" s="250">
        <v>0</v>
      </c>
      <c r="P401" s="249">
        <v>163.57222222222222</v>
      </c>
      <c r="Q401" s="249">
        <v>97.686645636172443</v>
      </c>
      <c r="R401" s="249">
        <v>88.131868131868146</v>
      </c>
      <c r="S401" s="250">
        <v>15.5</v>
      </c>
      <c r="T401" s="247">
        <v>25.744700315457415</v>
      </c>
      <c r="U401" s="247">
        <v>390.63543630572019</v>
      </c>
      <c r="V401" s="255">
        <v>69.264563694279786</v>
      </c>
      <c r="W401" s="247">
        <v>69.264563694279786</v>
      </c>
      <c r="X401" s="256">
        <v>0.1506078793091537</v>
      </c>
    </row>
    <row r="402" spans="1:24" x14ac:dyDescent="0.25">
      <c r="A402" s="254">
        <v>45812</v>
      </c>
      <c r="B402" s="131" t="s">
        <v>108</v>
      </c>
      <c r="C402" s="131" t="s">
        <v>5</v>
      </c>
      <c r="D402" s="131">
        <v>3</v>
      </c>
      <c r="E402" s="130">
        <v>100</v>
      </c>
      <c r="F402" s="131" t="s">
        <v>314</v>
      </c>
      <c r="G402" s="247">
        <v>459.9</v>
      </c>
      <c r="H402" s="247">
        <v>1379.7</v>
      </c>
      <c r="I402" s="247">
        <v>0</v>
      </c>
      <c r="J402" s="247">
        <v>490.7166666666667</v>
      </c>
      <c r="K402" s="247">
        <v>293.05993690851733</v>
      </c>
      <c r="L402" s="247">
        <v>264.39560439560444</v>
      </c>
      <c r="M402" s="247">
        <v>46.5</v>
      </c>
      <c r="N402" s="249">
        <v>77.234100946372251</v>
      </c>
      <c r="O402" s="250">
        <v>0</v>
      </c>
      <c r="P402" s="249">
        <v>163.57222222222222</v>
      </c>
      <c r="Q402" s="249">
        <v>97.686645636172443</v>
      </c>
      <c r="R402" s="249">
        <v>88.131868131868146</v>
      </c>
      <c r="S402" s="250">
        <v>15.5</v>
      </c>
      <c r="T402" s="247">
        <v>25.744700315457415</v>
      </c>
      <c r="U402" s="247">
        <v>1171.9063089171605</v>
      </c>
      <c r="V402" s="255">
        <v>207.79369108283959</v>
      </c>
      <c r="W402" s="247">
        <v>69.264563694279857</v>
      </c>
      <c r="X402" s="256">
        <v>0.15060787930915384</v>
      </c>
    </row>
    <row r="403" spans="1:24" x14ac:dyDescent="0.25">
      <c r="A403" s="254">
        <v>45812</v>
      </c>
      <c r="B403" s="131" t="s">
        <v>108</v>
      </c>
      <c r="C403" s="131" t="s">
        <v>10</v>
      </c>
      <c r="D403" s="131">
        <v>1</v>
      </c>
      <c r="E403" s="130">
        <v>140</v>
      </c>
      <c r="F403" s="131" t="s">
        <v>365</v>
      </c>
      <c r="G403" s="247">
        <v>459.9</v>
      </c>
      <c r="H403" s="247">
        <v>459.9</v>
      </c>
      <c r="I403" s="247">
        <v>0</v>
      </c>
      <c r="J403" s="247">
        <v>142.44444444444443</v>
      </c>
      <c r="K403" s="247">
        <v>97.686645636172443</v>
      </c>
      <c r="L403" s="247">
        <v>88.131868131868146</v>
      </c>
      <c r="M403" s="247">
        <v>15.5</v>
      </c>
      <c r="N403" s="249">
        <v>25.744700315457415</v>
      </c>
      <c r="O403" s="250">
        <v>0</v>
      </c>
      <c r="P403" s="249">
        <v>142.44444444444443</v>
      </c>
      <c r="Q403" s="249">
        <v>97.686645636172443</v>
      </c>
      <c r="R403" s="249">
        <v>88.131868131868146</v>
      </c>
      <c r="S403" s="250">
        <v>15.5</v>
      </c>
      <c r="T403" s="247">
        <v>25.744700315457415</v>
      </c>
      <c r="U403" s="247">
        <v>369.50765852794245</v>
      </c>
      <c r="V403" s="255">
        <v>90.392341472057524</v>
      </c>
      <c r="W403" s="247">
        <v>90.392341472057524</v>
      </c>
      <c r="X403" s="256">
        <v>0.19654781794315618</v>
      </c>
    </row>
    <row r="404" spans="1:24" x14ac:dyDescent="0.25">
      <c r="A404" s="254">
        <v>45812</v>
      </c>
      <c r="B404" s="131" t="s">
        <v>108</v>
      </c>
      <c r="C404" s="131" t="s">
        <v>355</v>
      </c>
      <c r="D404" s="131">
        <v>1</v>
      </c>
      <c r="E404" s="130">
        <v>100</v>
      </c>
      <c r="F404" s="131" t="s">
        <v>100</v>
      </c>
      <c r="G404" s="247">
        <v>467.82</v>
      </c>
      <c r="H404" s="247">
        <v>467.82</v>
      </c>
      <c r="I404" s="247">
        <v>42.1038</v>
      </c>
      <c r="J404" s="247">
        <v>105.84444444444443</v>
      </c>
      <c r="K404" s="247">
        <v>97.686645636172443</v>
      </c>
      <c r="L404" s="247">
        <v>88.131868131868146</v>
      </c>
      <c r="M404" s="247">
        <v>15.5</v>
      </c>
      <c r="N404" s="249">
        <v>25.744700315457415</v>
      </c>
      <c r="O404" s="250">
        <v>42.1038</v>
      </c>
      <c r="P404" s="249">
        <v>105.84444444444443</v>
      </c>
      <c r="Q404" s="249">
        <v>97.686645636172443</v>
      </c>
      <c r="R404" s="249">
        <v>88.131868131868146</v>
      </c>
      <c r="S404" s="250">
        <v>15.5</v>
      </c>
      <c r="T404" s="247">
        <v>25.744700315457415</v>
      </c>
      <c r="U404" s="247">
        <v>375.01145852794241</v>
      </c>
      <c r="V404" s="255">
        <v>92.808541472057584</v>
      </c>
      <c r="W404" s="247">
        <v>92.808541472057584</v>
      </c>
      <c r="X404" s="256">
        <v>0.19838515128053008</v>
      </c>
    </row>
    <row r="405" spans="1:24" x14ac:dyDescent="0.25">
      <c r="A405" s="254">
        <v>45812</v>
      </c>
      <c r="B405" s="131" t="s">
        <v>108</v>
      </c>
      <c r="C405" s="131" t="s">
        <v>135</v>
      </c>
      <c r="D405" s="131">
        <v>1</v>
      </c>
      <c r="E405" s="130">
        <v>140</v>
      </c>
      <c r="F405" s="131" t="s">
        <v>365</v>
      </c>
      <c r="G405" s="247">
        <v>479.9</v>
      </c>
      <c r="H405" s="247">
        <v>479.9</v>
      </c>
      <c r="I405" s="247">
        <v>0</v>
      </c>
      <c r="J405" s="247">
        <v>150.94444444444443</v>
      </c>
      <c r="K405" s="247">
        <v>97.686645636172443</v>
      </c>
      <c r="L405" s="247">
        <v>88.131868131868146</v>
      </c>
      <c r="M405" s="247">
        <v>15.5</v>
      </c>
      <c r="N405" s="249">
        <v>25.744700315457415</v>
      </c>
      <c r="O405" s="250">
        <v>0</v>
      </c>
      <c r="P405" s="249">
        <v>150.94444444444443</v>
      </c>
      <c r="Q405" s="249">
        <v>97.686645636172443</v>
      </c>
      <c r="R405" s="249">
        <v>88.131868131868146</v>
      </c>
      <c r="S405" s="250">
        <v>15.5</v>
      </c>
      <c r="T405" s="247">
        <v>25.744700315457415</v>
      </c>
      <c r="U405" s="247">
        <v>378.00765852794245</v>
      </c>
      <c r="V405" s="255">
        <v>101.89234147205752</v>
      </c>
      <c r="W405" s="247">
        <v>101.89234147205752</v>
      </c>
      <c r="X405" s="256">
        <v>0.21231994472193691</v>
      </c>
    </row>
    <row r="406" spans="1:24" x14ac:dyDescent="0.25">
      <c r="A406" s="254">
        <v>45812</v>
      </c>
      <c r="B406" s="131" t="s">
        <v>108</v>
      </c>
      <c r="C406" s="131" t="s">
        <v>6</v>
      </c>
      <c r="D406" s="131">
        <v>2</v>
      </c>
      <c r="E406" s="130">
        <v>100</v>
      </c>
      <c r="F406" s="131" t="s">
        <v>216</v>
      </c>
      <c r="G406" s="247">
        <v>494.9</v>
      </c>
      <c r="H406" s="247">
        <v>989.8</v>
      </c>
      <c r="I406" s="247">
        <v>127.6842</v>
      </c>
      <c r="J406" s="247">
        <v>249.48888888888888</v>
      </c>
      <c r="K406" s="247">
        <v>195.37329127234489</v>
      </c>
      <c r="L406" s="247">
        <v>176.26373626373629</v>
      </c>
      <c r="M406" s="247">
        <v>31</v>
      </c>
      <c r="N406" s="249">
        <v>51.48940063091483</v>
      </c>
      <c r="O406" s="250">
        <v>63.842100000000002</v>
      </c>
      <c r="P406" s="249">
        <v>124.74444444444444</v>
      </c>
      <c r="Q406" s="249">
        <v>97.686645636172443</v>
      </c>
      <c r="R406" s="249">
        <v>88.131868131868146</v>
      </c>
      <c r="S406" s="250">
        <v>15.5</v>
      </c>
      <c r="T406" s="247">
        <v>25.744700315457415</v>
      </c>
      <c r="U406" s="247">
        <v>831.29951705588485</v>
      </c>
      <c r="V406" s="255">
        <v>158.50048294411511</v>
      </c>
      <c r="W406" s="247" t="s">
        <v>374</v>
      </c>
      <c r="X406" s="256">
        <v>0.16013384819571136</v>
      </c>
    </row>
    <row r="407" spans="1:24" x14ac:dyDescent="0.25">
      <c r="A407" s="254">
        <v>45812</v>
      </c>
      <c r="B407" s="131" t="s">
        <v>108</v>
      </c>
      <c r="C407" s="131" t="s">
        <v>7</v>
      </c>
      <c r="D407" s="131">
        <v>13</v>
      </c>
      <c r="E407" s="130">
        <v>100</v>
      </c>
      <c r="F407" s="131" t="s">
        <v>216</v>
      </c>
      <c r="G407" s="247">
        <v>494.9</v>
      </c>
      <c r="H407" s="247">
        <v>6433.7</v>
      </c>
      <c r="I407" s="247">
        <v>829.94730000000004</v>
      </c>
      <c r="J407" s="247">
        <v>1602.1777777777777</v>
      </c>
      <c r="K407" s="247">
        <v>1269.9263932702418</v>
      </c>
      <c r="L407" s="247">
        <v>1145.7142857142858</v>
      </c>
      <c r="M407" s="247">
        <v>201.5</v>
      </c>
      <c r="N407" s="249">
        <v>334.68110410094641</v>
      </c>
      <c r="O407" s="250">
        <v>63.842100000000002</v>
      </c>
      <c r="P407" s="249">
        <v>123.24444444444444</v>
      </c>
      <c r="Q407" s="249">
        <v>97.686645636172443</v>
      </c>
      <c r="R407" s="249">
        <v>88.131868131868146</v>
      </c>
      <c r="S407" s="250">
        <v>15.5</v>
      </c>
      <c r="T407" s="247">
        <v>25.744700315457415</v>
      </c>
      <c r="U407" s="247">
        <v>5383.9468608632515</v>
      </c>
      <c r="V407" s="255">
        <v>1049.7531391367484</v>
      </c>
      <c r="W407" s="247">
        <v>80.750241472057567</v>
      </c>
      <c r="X407" s="256">
        <v>0.16316476353214296</v>
      </c>
    </row>
    <row r="408" spans="1:24" x14ac:dyDescent="0.25">
      <c r="A408" s="254">
        <v>45812</v>
      </c>
      <c r="B408" s="131" t="s">
        <v>108</v>
      </c>
      <c r="C408" s="131" t="s">
        <v>10</v>
      </c>
      <c r="D408" s="131">
        <v>3</v>
      </c>
      <c r="E408" s="130">
        <v>100</v>
      </c>
      <c r="F408" s="131" t="s">
        <v>216</v>
      </c>
      <c r="G408" s="247">
        <v>494.9</v>
      </c>
      <c r="H408" s="247">
        <v>1484.7</v>
      </c>
      <c r="I408" s="247">
        <v>191.52630000000002</v>
      </c>
      <c r="J408" s="247">
        <v>369.73333333333335</v>
      </c>
      <c r="K408" s="247">
        <v>293.05993690851733</v>
      </c>
      <c r="L408" s="247">
        <v>264.39560439560444</v>
      </c>
      <c r="M408" s="247">
        <v>46.5</v>
      </c>
      <c r="N408" s="249">
        <v>77.234100946372251</v>
      </c>
      <c r="O408" s="250">
        <v>63.842100000000009</v>
      </c>
      <c r="P408" s="249">
        <v>123.24444444444444</v>
      </c>
      <c r="Q408" s="249">
        <v>97.686645636172443</v>
      </c>
      <c r="R408" s="249">
        <v>88.131868131868146</v>
      </c>
      <c r="S408" s="250">
        <v>15.5</v>
      </c>
      <c r="T408" s="247">
        <v>25.744700315457415</v>
      </c>
      <c r="U408" s="247">
        <v>1242.4492755838273</v>
      </c>
      <c r="V408" s="255">
        <v>242.25072441617272</v>
      </c>
      <c r="W408" s="247">
        <v>80.750241472057567</v>
      </c>
      <c r="X408" s="256">
        <v>0.16316476353214296</v>
      </c>
    </row>
    <row r="409" spans="1:24" x14ac:dyDescent="0.25">
      <c r="A409" s="254">
        <v>45812</v>
      </c>
      <c r="B409" s="131" t="s">
        <v>108</v>
      </c>
      <c r="C409" s="131" t="s">
        <v>9</v>
      </c>
      <c r="D409" s="131">
        <v>1</v>
      </c>
      <c r="E409" s="130">
        <v>100</v>
      </c>
      <c r="F409" s="131" t="s">
        <v>216</v>
      </c>
      <c r="G409" s="247">
        <v>494.9</v>
      </c>
      <c r="H409" s="247">
        <v>494.9</v>
      </c>
      <c r="I409" s="247">
        <v>63.842100000000002</v>
      </c>
      <c r="J409" s="247">
        <v>124.74444444444444</v>
      </c>
      <c r="K409" s="247">
        <v>97.686645636172443</v>
      </c>
      <c r="L409" s="247">
        <v>88.131868131868146</v>
      </c>
      <c r="M409" s="247">
        <v>15.5</v>
      </c>
      <c r="N409" s="249">
        <v>25.744700315457415</v>
      </c>
      <c r="O409" s="250">
        <v>63.842100000000002</v>
      </c>
      <c r="P409" s="249">
        <v>124.74444444444444</v>
      </c>
      <c r="Q409" s="249">
        <v>97.686645636172443</v>
      </c>
      <c r="R409" s="249">
        <v>88.131868131868146</v>
      </c>
      <c r="S409" s="250">
        <v>15.5</v>
      </c>
      <c r="T409" s="247">
        <v>25.744700315457415</v>
      </c>
      <c r="U409" s="247">
        <v>415.64975852794242</v>
      </c>
      <c r="V409" s="255">
        <v>79.250241472057553</v>
      </c>
      <c r="W409" s="247">
        <v>79.250241472057553</v>
      </c>
      <c r="X409" s="256">
        <v>0.16013384819571136</v>
      </c>
    </row>
    <row r="410" spans="1:24" x14ac:dyDescent="0.25">
      <c r="A410" s="254">
        <v>45812</v>
      </c>
      <c r="B410" s="131" t="s">
        <v>108</v>
      </c>
      <c r="C410" s="131" t="s">
        <v>18</v>
      </c>
      <c r="D410" s="131">
        <v>7</v>
      </c>
      <c r="E410" s="130">
        <v>140</v>
      </c>
      <c r="F410" s="131" t="s">
        <v>314</v>
      </c>
      <c r="G410" s="247">
        <v>499.9</v>
      </c>
      <c r="H410" s="247">
        <v>3499.3</v>
      </c>
      <c r="I410" s="247">
        <v>0</v>
      </c>
      <c r="J410" s="247">
        <v>1170.2444444444443</v>
      </c>
      <c r="K410" s="247">
        <v>683.8065194532071</v>
      </c>
      <c r="L410" s="247">
        <v>616.92307692307702</v>
      </c>
      <c r="M410" s="247">
        <v>108.5</v>
      </c>
      <c r="N410" s="249">
        <v>180.21290220820191</v>
      </c>
      <c r="O410" s="250">
        <v>0</v>
      </c>
      <c r="P410" s="249">
        <v>167.17777777777775</v>
      </c>
      <c r="Q410" s="249">
        <v>97.686645636172443</v>
      </c>
      <c r="R410" s="249">
        <v>88.131868131868146</v>
      </c>
      <c r="S410" s="250">
        <v>15.5</v>
      </c>
      <c r="T410" s="247">
        <v>25.744700315457415</v>
      </c>
      <c r="U410" s="247">
        <v>2759.6869430289303</v>
      </c>
      <c r="V410" s="255">
        <v>739.61305697106991</v>
      </c>
      <c r="W410" s="247">
        <v>105.65900813872427</v>
      </c>
      <c r="X410" s="256">
        <v>0.2113602883351155</v>
      </c>
    </row>
    <row r="411" spans="1:24" x14ac:dyDescent="0.25">
      <c r="A411" s="254">
        <v>45812</v>
      </c>
      <c r="B411" s="131" t="s">
        <v>108</v>
      </c>
      <c r="C411" s="131" t="s">
        <v>7</v>
      </c>
      <c r="D411" s="131">
        <v>2</v>
      </c>
      <c r="E411" s="130">
        <v>200</v>
      </c>
      <c r="F411" s="131" t="s">
        <v>365</v>
      </c>
      <c r="G411" s="247">
        <v>499.9</v>
      </c>
      <c r="H411" s="247">
        <v>999.8</v>
      </c>
      <c r="I411" s="247">
        <v>0</v>
      </c>
      <c r="J411" s="247">
        <v>369.57777777777773</v>
      </c>
      <c r="K411" s="247">
        <v>195.37329127234489</v>
      </c>
      <c r="L411" s="247">
        <v>176.26373626373629</v>
      </c>
      <c r="M411" s="247">
        <v>31</v>
      </c>
      <c r="N411" s="249">
        <v>51.48940063091483</v>
      </c>
      <c r="O411" s="250">
        <v>0</v>
      </c>
      <c r="P411" s="249">
        <v>184.78888888888886</v>
      </c>
      <c r="Q411" s="249">
        <v>97.686645636172443</v>
      </c>
      <c r="R411" s="249">
        <v>88.131868131868146</v>
      </c>
      <c r="S411" s="250">
        <v>15.5</v>
      </c>
      <c r="T411" s="247">
        <v>25.744700315457415</v>
      </c>
      <c r="U411" s="247">
        <v>823.70420594477378</v>
      </c>
      <c r="V411" s="255">
        <v>176.09579405522618</v>
      </c>
      <c r="W411" s="247">
        <v>88.047897027613089</v>
      </c>
      <c r="X411" s="256">
        <v>0.17613102025927804</v>
      </c>
    </row>
    <row r="412" spans="1:24" x14ac:dyDescent="0.25">
      <c r="A412" s="254">
        <v>45812</v>
      </c>
      <c r="B412" s="131" t="s">
        <v>108</v>
      </c>
      <c r="C412" s="131" t="s">
        <v>7</v>
      </c>
      <c r="D412" s="131">
        <v>1</v>
      </c>
      <c r="E412" s="130">
        <v>200</v>
      </c>
      <c r="F412" s="131" t="s">
        <v>314</v>
      </c>
      <c r="G412" s="247">
        <v>499.9</v>
      </c>
      <c r="H412" s="247">
        <v>498.9</v>
      </c>
      <c r="I412" s="247">
        <v>0</v>
      </c>
      <c r="J412" s="247">
        <v>184.78888888888886</v>
      </c>
      <c r="K412" s="247">
        <v>97.686645636172443</v>
      </c>
      <c r="L412" s="247">
        <v>88.131868131868146</v>
      </c>
      <c r="M412" s="247">
        <v>15.5</v>
      </c>
      <c r="N412" s="249">
        <v>25.744700315457415</v>
      </c>
      <c r="O412" s="250">
        <v>0</v>
      </c>
      <c r="P412" s="249">
        <v>184.78888888888886</v>
      </c>
      <c r="Q412" s="249">
        <v>97.686645636172443</v>
      </c>
      <c r="R412" s="249">
        <v>88.131868131868146</v>
      </c>
      <c r="S412" s="250">
        <v>15.5</v>
      </c>
      <c r="T412" s="247">
        <v>25.744700315457415</v>
      </c>
      <c r="U412" s="247">
        <v>411.85210297238689</v>
      </c>
      <c r="V412" s="255">
        <v>87.047897027613089</v>
      </c>
      <c r="W412" s="247">
        <v>87.047897027613089</v>
      </c>
      <c r="X412" s="256">
        <v>0.17613102025927804</v>
      </c>
    </row>
    <row r="413" spans="1:24" x14ac:dyDescent="0.25">
      <c r="A413" s="254">
        <v>45812</v>
      </c>
      <c r="B413" s="131" t="s">
        <v>108</v>
      </c>
      <c r="C413" s="131" t="s">
        <v>135</v>
      </c>
      <c r="D413" s="131">
        <v>1</v>
      </c>
      <c r="E413" s="130">
        <v>100</v>
      </c>
      <c r="F413" s="131" t="s">
        <v>216</v>
      </c>
      <c r="G413" s="247">
        <v>506.9</v>
      </c>
      <c r="H413" s="247">
        <v>506.9</v>
      </c>
      <c r="I413" s="247">
        <v>65.390100000000004</v>
      </c>
      <c r="J413" s="247">
        <v>131.74444444444444</v>
      </c>
      <c r="K413" s="247">
        <v>97.686645636172443</v>
      </c>
      <c r="L413" s="247">
        <v>88.131868131868146</v>
      </c>
      <c r="M413" s="247">
        <v>15.5</v>
      </c>
      <c r="N413" s="249">
        <v>25.744700315457415</v>
      </c>
      <c r="O413" s="250">
        <v>65.390100000000004</v>
      </c>
      <c r="P413" s="249">
        <v>131.74444444444444</v>
      </c>
      <c r="Q413" s="249">
        <v>97.686645636172443</v>
      </c>
      <c r="R413" s="249">
        <v>88.131868131868146</v>
      </c>
      <c r="S413" s="250">
        <v>15.5</v>
      </c>
      <c r="T413" s="247">
        <v>25.744700315457415</v>
      </c>
      <c r="U413" s="247">
        <v>424.19775852794243</v>
      </c>
      <c r="V413" s="255">
        <v>82.702241472057551</v>
      </c>
      <c r="W413" s="247">
        <v>82.702241472057551</v>
      </c>
      <c r="X413" s="256">
        <v>0.16315297193146094</v>
      </c>
    </row>
    <row r="414" spans="1:24" x14ac:dyDescent="0.25">
      <c r="A414" s="254">
        <v>45812</v>
      </c>
      <c r="B414" s="131" t="s">
        <v>108</v>
      </c>
      <c r="C414" s="131" t="s">
        <v>11</v>
      </c>
      <c r="D414" s="131">
        <v>1</v>
      </c>
      <c r="E414" s="130">
        <v>100</v>
      </c>
      <c r="F414" s="131" t="s">
        <v>216</v>
      </c>
      <c r="G414" s="247">
        <v>506.9</v>
      </c>
      <c r="H414" s="247">
        <v>506.9</v>
      </c>
      <c r="I414" s="247">
        <v>65.390100000000004</v>
      </c>
      <c r="J414" s="247">
        <v>126.24444444444444</v>
      </c>
      <c r="K414" s="247">
        <v>97.686645636172443</v>
      </c>
      <c r="L414" s="247">
        <v>88.131868131868146</v>
      </c>
      <c r="M414" s="247">
        <v>15.5</v>
      </c>
      <c r="N414" s="249">
        <v>25.744700315457415</v>
      </c>
      <c r="O414" s="250">
        <v>65.390100000000004</v>
      </c>
      <c r="P414" s="249">
        <v>126.24444444444444</v>
      </c>
      <c r="Q414" s="249">
        <v>97.686645636172443</v>
      </c>
      <c r="R414" s="249">
        <v>88.131868131868146</v>
      </c>
      <c r="S414" s="250">
        <v>15.5</v>
      </c>
      <c r="T414" s="247">
        <v>25.744700315457415</v>
      </c>
      <c r="U414" s="247">
        <v>418.69775852794243</v>
      </c>
      <c r="V414" s="255">
        <v>88.202241472057551</v>
      </c>
      <c r="W414" s="247">
        <v>88.202241472057551</v>
      </c>
      <c r="X414" s="256">
        <v>0.17400323825617983</v>
      </c>
    </row>
    <row r="415" spans="1:24" x14ac:dyDescent="0.25">
      <c r="A415" s="254">
        <v>45812</v>
      </c>
      <c r="B415" s="131" t="s">
        <v>108</v>
      </c>
      <c r="C415" s="131" t="s">
        <v>6</v>
      </c>
      <c r="D415" s="131">
        <v>3</v>
      </c>
      <c r="E415" s="130">
        <v>100</v>
      </c>
      <c r="F415" s="131" t="s">
        <v>340</v>
      </c>
      <c r="G415" s="247">
        <v>524.9</v>
      </c>
      <c r="H415" s="247">
        <v>1574.7</v>
      </c>
      <c r="I415" s="247">
        <v>231.48089999999996</v>
      </c>
      <c r="J415" s="247">
        <v>374.23333333333335</v>
      </c>
      <c r="K415" s="247">
        <v>293.05993690851733</v>
      </c>
      <c r="L415" s="247">
        <v>264.39560439560444</v>
      </c>
      <c r="M415" s="247">
        <v>46.5</v>
      </c>
      <c r="N415" s="249">
        <v>77.234100946372251</v>
      </c>
      <c r="O415" s="250">
        <v>77.160299999999992</v>
      </c>
      <c r="P415" s="249">
        <v>124.74444444444444</v>
      </c>
      <c r="Q415" s="249">
        <v>97.686645636172443</v>
      </c>
      <c r="R415" s="249">
        <v>88.131868131868146</v>
      </c>
      <c r="S415" s="250">
        <v>15.5</v>
      </c>
      <c r="T415" s="247">
        <v>25.744700315457415</v>
      </c>
      <c r="U415" s="247">
        <v>1286.9038755838274</v>
      </c>
      <c r="V415" s="255">
        <v>287.79612441617269</v>
      </c>
      <c r="W415" s="247">
        <v>95.932041472057563</v>
      </c>
      <c r="X415" s="256">
        <v>0.18276250994867119</v>
      </c>
    </row>
    <row r="416" spans="1:24" x14ac:dyDescent="0.25">
      <c r="A416" s="254">
        <v>45812</v>
      </c>
      <c r="B416" s="131" t="s">
        <v>108</v>
      </c>
      <c r="C416" s="131" t="s">
        <v>7</v>
      </c>
      <c r="D416" s="131">
        <v>12</v>
      </c>
      <c r="E416" s="130">
        <v>100</v>
      </c>
      <c r="F416" s="131" t="s">
        <v>340</v>
      </c>
      <c r="G416" s="247">
        <v>524.9</v>
      </c>
      <c r="H416" s="247">
        <v>6298.8</v>
      </c>
      <c r="I416" s="247">
        <v>925.92359999999985</v>
      </c>
      <c r="J416" s="247">
        <v>1478.9333333333334</v>
      </c>
      <c r="K416" s="247">
        <v>1172.2397476340693</v>
      </c>
      <c r="L416" s="247">
        <v>1057.5824175824177</v>
      </c>
      <c r="M416" s="247">
        <v>186</v>
      </c>
      <c r="N416" s="249">
        <v>308.93640378548901</v>
      </c>
      <c r="O416" s="250">
        <v>77.160299999999992</v>
      </c>
      <c r="P416" s="249">
        <v>123.24444444444444</v>
      </c>
      <c r="Q416" s="249">
        <v>97.686645636172443</v>
      </c>
      <c r="R416" s="249">
        <v>88.131868131868146</v>
      </c>
      <c r="S416" s="250">
        <v>15.5</v>
      </c>
      <c r="T416" s="247">
        <v>25.744700315457415</v>
      </c>
      <c r="U416" s="247">
        <v>5129.6155023353094</v>
      </c>
      <c r="V416" s="255">
        <v>1169.1844976646908</v>
      </c>
      <c r="W416" s="247">
        <v>97.432041472057563</v>
      </c>
      <c r="X416" s="256">
        <v>0.18562019712718139</v>
      </c>
    </row>
    <row r="417" spans="1:24" x14ac:dyDescent="0.25">
      <c r="A417" s="254">
        <v>45812</v>
      </c>
      <c r="B417" s="131" t="s">
        <v>108</v>
      </c>
      <c r="C417" s="131" t="s">
        <v>6</v>
      </c>
      <c r="D417" s="131">
        <v>1</v>
      </c>
      <c r="E417" s="130">
        <v>100</v>
      </c>
      <c r="F417" s="131" t="s">
        <v>340</v>
      </c>
      <c r="G417" s="247">
        <v>524.9</v>
      </c>
      <c r="H417" s="247">
        <v>524.9</v>
      </c>
      <c r="I417" s="247">
        <v>77.160299999999992</v>
      </c>
      <c r="J417" s="247">
        <v>124.74444444444444</v>
      </c>
      <c r="K417" s="247">
        <v>97.686645636172443</v>
      </c>
      <c r="L417" s="247">
        <v>88.131868131868146</v>
      </c>
      <c r="M417" s="247">
        <v>15.5</v>
      </c>
      <c r="N417" s="249">
        <v>25.744700315457415</v>
      </c>
      <c r="O417" s="250">
        <v>77.160299999999992</v>
      </c>
      <c r="P417" s="249">
        <v>124.74444444444444</v>
      </c>
      <c r="Q417" s="249">
        <v>97.686645636172443</v>
      </c>
      <c r="R417" s="249">
        <v>88.131868131868146</v>
      </c>
      <c r="S417" s="250">
        <v>15.5</v>
      </c>
      <c r="T417" s="247">
        <v>25.744700315457415</v>
      </c>
      <c r="U417" s="247">
        <v>428.96795852794241</v>
      </c>
      <c r="V417" s="255">
        <v>95.932041472057563</v>
      </c>
      <c r="W417" s="247">
        <v>95.932041472057563</v>
      </c>
      <c r="X417" s="256">
        <v>0.1827625099486713</v>
      </c>
    </row>
    <row r="418" spans="1:24" x14ac:dyDescent="0.25">
      <c r="A418" s="254">
        <v>45812</v>
      </c>
      <c r="B418" s="131" t="s">
        <v>108</v>
      </c>
      <c r="C418" s="131" t="s">
        <v>7</v>
      </c>
      <c r="D418" s="131">
        <v>31</v>
      </c>
      <c r="E418" s="130">
        <v>100</v>
      </c>
      <c r="F418" s="131" t="s">
        <v>340</v>
      </c>
      <c r="G418" s="247">
        <v>524.9</v>
      </c>
      <c r="H418" s="247">
        <v>16271.9</v>
      </c>
      <c r="I418" s="247">
        <v>2391.9692999999997</v>
      </c>
      <c r="J418" s="247">
        <v>3820.5777777777776</v>
      </c>
      <c r="K418" s="247">
        <v>3028.286014721346</v>
      </c>
      <c r="L418" s="247">
        <v>2732.0879120879126</v>
      </c>
      <c r="M418" s="247">
        <v>480.5</v>
      </c>
      <c r="N418" s="249">
        <v>798.08570977917987</v>
      </c>
      <c r="O418" s="250">
        <v>77.160299999999992</v>
      </c>
      <c r="P418" s="249">
        <v>123.24444444444444</v>
      </c>
      <c r="Q418" s="249">
        <v>97.686645636172443</v>
      </c>
      <c r="R418" s="249">
        <v>88.131868131868146</v>
      </c>
      <c r="S418" s="250">
        <v>15.5</v>
      </c>
      <c r="T418" s="247">
        <v>25.744700315457415</v>
      </c>
      <c r="U418" s="247">
        <v>13251.506714366215</v>
      </c>
      <c r="V418" s="255">
        <v>3020.3932856337851</v>
      </c>
      <c r="W418" s="247">
        <v>97.432041472057591</v>
      </c>
      <c r="X418" s="256">
        <v>0.1856201971271815</v>
      </c>
    </row>
    <row r="419" spans="1:24" x14ac:dyDescent="0.25">
      <c r="A419" s="254">
        <v>45812</v>
      </c>
      <c r="B419" s="131" t="s">
        <v>108</v>
      </c>
      <c r="C419" s="131" t="s">
        <v>9</v>
      </c>
      <c r="D419" s="131">
        <v>1</v>
      </c>
      <c r="E419" s="130">
        <v>100</v>
      </c>
      <c r="F419" s="131" t="s">
        <v>100</v>
      </c>
      <c r="G419" s="247">
        <v>529.9</v>
      </c>
      <c r="H419" s="247">
        <v>529.9</v>
      </c>
      <c r="I419" s="247">
        <v>47.690999999999995</v>
      </c>
      <c r="J419" s="247">
        <v>124.74444444444444</v>
      </c>
      <c r="K419" s="247">
        <v>97.686645636172443</v>
      </c>
      <c r="L419" s="247">
        <v>88.131868131868146</v>
      </c>
      <c r="M419" s="247">
        <v>15.5</v>
      </c>
      <c r="N419" s="249">
        <v>25.744700315457415</v>
      </c>
      <c r="O419" s="250">
        <v>47.690999999999995</v>
      </c>
      <c r="P419" s="249">
        <v>124.74444444444444</v>
      </c>
      <c r="Q419" s="249">
        <v>97.686645636172443</v>
      </c>
      <c r="R419" s="249">
        <v>88.131868131868146</v>
      </c>
      <c r="S419" s="250">
        <v>15.5</v>
      </c>
      <c r="T419" s="247">
        <v>25.744700315457415</v>
      </c>
      <c r="U419" s="247">
        <v>399.49865852794244</v>
      </c>
      <c r="V419" s="255">
        <v>130.40134147205754</v>
      </c>
      <c r="W419" s="247">
        <v>130.40134147205754</v>
      </c>
      <c r="X419" s="256">
        <v>0.24608669838093516</v>
      </c>
    </row>
    <row r="420" spans="1:24" x14ac:dyDescent="0.25">
      <c r="A420" s="254">
        <v>45812</v>
      </c>
      <c r="B420" s="131" t="s">
        <v>108</v>
      </c>
      <c r="C420" s="131" t="s">
        <v>10</v>
      </c>
      <c r="D420" s="131">
        <v>1</v>
      </c>
      <c r="E420" s="130">
        <v>100</v>
      </c>
      <c r="F420" s="131" t="s">
        <v>100</v>
      </c>
      <c r="G420" s="247">
        <v>529.9</v>
      </c>
      <c r="H420" s="247">
        <v>529.9</v>
      </c>
      <c r="I420" s="247">
        <v>47.690999999999995</v>
      </c>
      <c r="J420" s="247">
        <v>123.24444444444444</v>
      </c>
      <c r="K420" s="247">
        <v>97.686645636172443</v>
      </c>
      <c r="L420" s="247">
        <v>88.131868131868146</v>
      </c>
      <c r="M420" s="247">
        <v>15.5</v>
      </c>
      <c r="N420" s="249">
        <v>25.744700315457415</v>
      </c>
      <c r="O420" s="250">
        <v>47.690999999999995</v>
      </c>
      <c r="P420" s="249">
        <v>123.24444444444444</v>
      </c>
      <c r="Q420" s="249">
        <v>97.686645636172443</v>
      </c>
      <c r="R420" s="249">
        <v>88.131868131868146</v>
      </c>
      <c r="S420" s="250">
        <v>15.5</v>
      </c>
      <c r="T420" s="247">
        <v>25.744700315457415</v>
      </c>
      <c r="U420" s="247">
        <v>397.99865852794244</v>
      </c>
      <c r="V420" s="255">
        <v>131.90134147205754</v>
      </c>
      <c r="W420" s="247">
        <v>131.90134147205754</v>
      </c>
      <c r="X420" s="256">
        <v>0.24891742115881779</v>
      </c>
    </row>
    <row r="421" spans="1:24" x14ac:dyDescent="0.25">
      <c r="A421" s="254">
        <v>45812</v>
      </c>
      <c r="B421" s="131" t="s">
        <v>108</v>
      </c>
      <c r="C421" s="131" t="s">
        <v>6</v>
      </c>
      <c r="D421" s="131">
        <v>1</v>
      </c>
      <c r="E421" s="130">
        <v>100</v>
      </c>
      <c r="F421" s="131" t="s">
        <v>100</v>
      </c>
      <c r="G421" s="247">
        <v>529.9</v>
      </c>
      <c r="H421" s="247">
        <v>529.9</v>
      </c>
      <c r="I421" s="247">
        <v>47.690999999999995</v>
      </c>
      <c r="J421" s="247">
        <v>124.74444444444444</v>
      </c>
      <c r="K421" s="247">
        <v>97.686645636172443</v>
      </c>
      <c r="L421" s="247">
        <v>88.131868131868146</v>
      </c>
      <c r="M421" s="247">
        <v>15.5</v>
      </c>
      <c r="N421" s="249">
        <v>25.744700315457415</v>
      </c>
      <c r="O421" s="250">
        <v>47.690999999999995</v>
      </c>
      <c r="P421" s="249">
        <v>124.74444444444444</v>
      </c>
      <c r="Q421" s="249">
        <v>97.686645636172443</v>
      </c>
      <c r="R421" s="249">
        <v>88.131868131868146</v>
      </c>
      <c r="S421" s="250">
        <v>15.5</v>
      </c>
      <c r="T421" s="247">
        <v>25.744700315457415</v>
      </c>
      <c r="U421" s="247">
        <v>399.49865852794244</v>
      </c>
      <c r="V421" s="255">
        <v>130.40134147205754</v>
      </c>
      <c r="W421" s="247">
        <v>130.40134147205754</v>
      </c>
      <c r="X421" s="256">
        <v>0.24608669838093516</v>
      </c>
    </row>
    <row r="422" spans="1:24" x14ac:dyDescent="0.25">
      <c r="A422" s="254">
        <v>45812</v>
      </c>
      <c r="B422" s="131" t="s">
        <v>108</v>
      </c>
      <c r="C422" s="131" t="s">
        <v>6</v>
      </c>
      <c r="D422" s="131">
        <v>2</v>
      </c>
      <c r="E422" s="130">
        <v>100</v>
      </c>
      <c r="F422" s="131" t="s">
        <v>100</v>
      </c>
      <c r="G422" s="247">
        <v>529.9</v>
      </c>
      <c r="H422" s="247">
        <v>1059.8</v>
      </c>
      <c r="I422" s="247">
        <v>95.381999999999991</v>
      </c>
      <c r="J422" s="247">
        <v>249.48888888888888</v>
      </c>
      <c r="K422" s="247">
        <v>195.37329127234489</v>
      </c>
      <c r="L422" s="247">
        <v>176.26373626373629</v>
      </c>
      <c r="M422" s="247">
        <v>31</v>
      </c>
      <c r="N422" s="249">
        <v>51.48940063091483</v>
      </c>
      <c r="O422" s="250">
        <v>47.690999999999995</v>
      </c>
      <c r="P422" s="249">
        <v>124.74444444444444</v>
      </c>
      <c r="Q422" s="249">
        <v>97.686645636172443</v>
      </c>
      <c r="R422" s="249">
        <v>88.131868131868146</v>
      </c>
      <c r="S422" s="250">
        <v>15.5</v>
      </c>
      <c r="T422" s="247">
        <v>25.744700315457415</v>
      </c>
      <c r="U422" s="247">
        <v>798.99731705588488</v>
      </c>
      <c r="V422" s="255">
        <v>260.80268294411508</v>
      </c>
      <c r="W422" s="247">
        <v>130.40134147205754</v>
      </c>
      <c r="X422" s="256">
        <v>0.24608669838093516</v>
      </c>
    </row>
    <row r="423" spans="1:24" x14ac:dyDescent="0.25">
      <c r="A423" s="254">
        <v>45812</v>
      </c>
      <c r="B423" s="131" t="s">
        <v>108</v>
      </c>
      <c r="C423" s="131" t="s">
        <v>7</v>
      </c>
      <c r="D423" s="131">
        <v>11</v>
      </c>
      <c r="E423" s="130">
        <v>100</v>
      </c>
      <c r="F423" s="131" t="s">
        <v>100</v>
      </c>
      <c r="G423" s="247">
        <v>529.9</v>
      </c>
      <c r="H423" s="247">
        <v>5828.9</v>
      </c>
      <c r="I423" s="247">
        <v>524.601</v>
      </c>
      <c r="J423" s="247">
        <v>1355.6888888888889</v>
      </c>
      <c r="K423" s="247">
        <v>1074.5531019978969</v>
      </c>
      <c r="L423" s="247">
        <v>969.4505494505496</v>
      </c>
      <c r="M423" s="247">
        <v>170.5</v>
      </c>
      <c r="N423" s="249">
        <v>283.19170347003154</v>
      </c>
      <c r="O423" s="250">
        <v>47.691000000000003</v>
      </c>
      <c r="P423" s="249">
        <v>123.24444444444444</v>
      </c>
      <c r="Q423" s="249">
        <v>97.686645636172443</v>
      </c>
      <c r="R423" s="249">
        <v>88.131868131868146</v>
      </c>
      <c r="S423" s="250">
        <v>15.5</v>
      </c>
      <c r="T423" s="247">
        <v>25.744700315457415</v>
      </c>
      <c r="U423" s="247">
        <v>4377.9852438073667</v>
      </c>
      <c r="V423" s="255">
        <v>1450.9147561926329</v>
      </c>
      <c r="W423" s="247">
        <v>131.90134147205754</v>
      </c>
      <c r="X423" s="256">
        <v>0.24891742115881779</v>
      </c>
    </row>
    <row r="424" spans="1:24" x14ac:dyDescent="0.25">
      <c r="A424" s="254">
        <v>45812</v>
      </c>
      <c r="B424" s="131" t="s">
        <v>108</v>
      </c>
      <c r="C424" s="131" t="s">
        <v>7</v>
      </c>
      <c r="D424" s="131">
        <v>1</v>
      </c>
      <c r="E424" s="130">
        <v>100</v>
      </c>
      <c r="F424" s="131" t="s">
        <v>340</v>
      </c>
      <c r="G424" s="247">
        <v>530.9</v>
      </c>
      <c r="H424" s="247">
        <v>530.9</v>
      </c>
      <c r="I424" s="247">
        <v>78.042299999999997</v>
      </c>
      <c r="J424" s="247">
        <v>123.24444444444444</v>
      </c>
      <c r="K424" s="247">
        <v>97.686645636172443</v>
      </c>
      <c r="L424" s="247">
        <v>88.131868131868146</v>
      </c>
      <c r="M424" s="247">
        <v>15.5</v>
      </c>
      <c r="N424" s="249">
        <v>25.744700315457415</v>
      </c>
      <c r="O424" s="250">
        <v>78.042299999999997</v>
      </c>
      <c r="P424" s="249">
        <v>123.24444444444444</v>
      </c>
      <c r="Q424" s="249">
        <v>97.686645636172443</v>
      </c>
      <c r="R424" s="249">
        <v>88.131868131868146</v>
      </c>
      <c r="S424" s="250">
        <v>15.5</v>
      </c>
      <c r="T424" s="247">
        <v>25.744700315457415</v>
      </c>
      <c r="U424" s="247">
        <v>428.34995852794242</v>
      </c>
      <c r="V424" s="255">
        <v>102.55004147205756</v>
      </c>
      <c r="W424" s="247">
        <v>102.55004147205756</v>
      </c>
      <c r="X424" s="256">
        <v>0.19316263226983907</v>
      </c>
    </row>
    <row r="425" spans="1:24" x14ac:dyDescent="0.25">
      <c r="A425" s="254">
        <v>45812</v>
      </c>
      <c r="B425" s="131" t="s">
        <v>108</v>
      </c>
      <c r="C425" s="131" t="s">
        <v>135</v>
      </c>
      <c r="D425" s="131">
        <v>3</v>
      </c>
      <c r="E425" s="130">
        <v>100</v>
      </c>
      <c r="F425" s="131" t="s">
        <v>340</v>
      </c>
      <c r="G425" s="247">
        <v>534.9</v>
      </c>
      <c r="H425" s="247">
        <v>1604.7</v>
      </c>
      <c r="I425" s="247">
        <v>235.89089999999999</v>
      </c>
      <c r="J425" s="247">
        <v>395.23333333333335</v>
      </c>
      <c r="K425" s="247">
        <v>293.05993690851733</v>
      </c>
      <c r="L425" s="247">
        <v>264.39560439560444</v>
      </c>
      <c r="M425" s="247">
        <v>46.5</v>
      </c>
      <c r="N425" s="249">
        <v>77.234100946372251</v>
      </c>
      <c r="O425" s="250">
        <v>78.630299999999991</v>
      </c>
      <c r="P425" s="249">
        <v>131.74444444444444</v>
      </c>
      <c r="Q425" s="249">
        <v>97.686645636172443</v>
      </c>
      <c r="R425" s="249">
        <v>88.131868131868146</v>
      </c>
      <c r="S425" s="250">
        <v>15.5</v>
      </c>
      <c r="T425" s="247">
        <v>25.744700315457415</v>
      </c>
      <c r="U425" s="247">
        <v>1312.3138755838272</v>
      </c>
      <c r="V425" s="255">
        <v>292.38612441617283</v>
      </c>
      <c r="W425" s="247">
        <v>97.462041472057606</v>
      </c>
      <c r="X425" s="256">
        <v>0.18220609734914489</v>
      </c>
    </row>
    <row r="426" spans="1:24" x14ac:dyDescent="0.25">
      <c r="A426" s="254">
        <v>45812</v>
      </c>
      <c r="B426" s="131" t="s">
        <v>108</v>
      </c>
      <c r="C426" s="131" t="s">
        <v>11</v>
      </c>
      <c r="D426" s="131">
        <v>3</v>
      </c>
      <c r="E426" s="130">
        <v>100</v>
      </c>
      <c r="F426" s="131" t="s">
        <v>340</v>
      </c>
      <c r="G426" s="247">
        <v>534.9</v>
      </c>
      <c r="H426" s="247">
        <v>1604.7</v>
      </c>
      <c r="I426" s="247">
        <v>235.89089999999999</v>
      </c>
      <c r="J426" s="247">
        <v>378.73333333333335</v>
      </c>
      <c r="K426" s="247">
        <v>293.05993690851733</v>
      </c>
      <c r="L426" s="247">
        <v>264.39560439560444</v>
      </c>
      <c r="M426" s="247">
        <v>46.5</v>
      </c>
      <c r="N426" s="249">
        <v>77.234100946372251</v>
      </c>
      <c r="O426" s="250">
        <v>78.630299999999991</v>
      </c>
      <c r="P426" s="249">
        <v>126.24444444444444</v>
      </c>
      <c r="Q426" s="249">
        <v>97.686645636172443</v>
      </c>
      <c r="R426" s="249">
        <v>88.131868131868146</v>
      </c>
      <c r="S426" s="250">
        <v>15.5</v>
      </c>
      <c r="T426" s="247">
        <v>25.744700315457415</v>
      </c>
      <c r="U426" s="247">
        <v>1295.8138755838272</v>
      </c>
      <c r="V426" s="255">
        <v>308.88612441617283</v>
      </c>
      <c r="W426" s="247">
        <v>102.96204147205761</v>
      </c>
      <c r="X426" s="256">
        <v>0.19248839310536101</v>
      </c>
    </row>
    <row r="427" spans="1:24" x14ac:dyDescent="0.25">
      <c r="A427" s="254">
        <v>45812</v>
      </c>
      <c r="B427" s="131" t="s">
        <v>108</v>
      </c>
      <c r="C427" s="131" t="s">
        <v>10</v>
      </c>
      <c r="D427" s="131">
        <v>4</v>
      </c>
      <c r="E427" s="130">
        <v>100</v>
      </c>
      <c r="F427" s="131" t="s">
        <v>340</v>
      </c>
      <c r="G427" s="247">
        <v>534.9</v>
      </c>
      <c r="H427" s="247">
        <v>2139.6</v>
      </c>
      <c r="I427" s="247">
        <v>314.52119999999996</v>
      </c>
      <c r="J427" s="247">
        <v>492.97777777777776</v>
      </c>
      <c r="K427" s="247">
        <v>390.74658254468977</v>
      </c>
      <c r="L427" s="247">
        <v>352.52747252747258</v>
      </c>
      <c r="M427" s="247">
        <v>62</v>
      </c>
      <c r="N427" s="249">
        <v>102.97880126182966</v>
      </c>
      <c r="O427" s="250">
        <v>78.630299999999991</v>
      </c>
      <c r="P427" s="249">
        <v>123.24444444444444</v>
      </c>
      <c r="Q427" s="249">
        <v>97.686645636172443</v>
      </c>
      <c r="R427" s="249">
        <v>88.131868131868146</v>
      </c>
      <c r="S427" s="250">
        <v>15.5</v>
      </c>
      <c r="T427" s="247">
        <v>25.744700315457415</v>
      </c>
      <c r="U427" s="247">
        <v>1715.7518341117698</v>
      </c>
      <c r="V427" s="255">
        <v>423.84816588823014</v>
      </c>
      <c r="W427" s="247">
        <v>105.96204147205754</v>
      </c>
      <c r="X427" s="256">
        <v>0.19809691806329696</v>
      </c>
    </row>
    <row r="428" spans="1:24" x14ac:dyDescent="0.25">
      <c r="A428" s="254">
        <v>45812</v>
      </c>
      <c r="B428" s="131" t="s">
        <v>108</v>
      </c>
      <c r="C428" s="131" t="s">
        <v>135</v>
      </c>
      <c r="D428" s="131">
        <v>2</v>
      </c>
      <c r="E428" s="130">
        <v>100</v>
      </c>
      <c r="F428" s="131" t="s">
        <v>340</v>
      </c>
      <c r="G428" s="247">
        <v>534.9</v>
      </c>
      <c r="H428" s="247">
        <v>1069.8</v>
      </c>
      <c r="I428" s="247">
        <v>157.26059999999998</v>
      </c>
      <c r="J428" s="247">
        <v>263.48888888888888</v>
      </c>
      <c r="K428" s="247">
        <v>195.37329127234489</v>
      </c>
      <c r="L428" s="247">
        <v>176.26373626373629</v>
      </c>
      <c r="M428" s="247">
        <v>31</v>
      </c>
      <c r="N428" s="249">
        <v>51.48940063091483</v>
      </c>
      <c r="O428" s="250">
        <v>78.630299999999991</v>
      </c>
      <c r="P428" s="249">
        <v>131.74444444444444</v>
      </c>
      <c r="Q428" s="249">
        <v>97.686645636172443</v>
      </c>
      <c r="R428" s="249">
        <v>88.131868131868146</v>
      </c>
      <c r="S428" s="250">
        <v>15.5</v>
      </c>
      <c r="T428" s="247">
        <v>25.744700315457415</v>
      </c>
      <c r="U428" s="247">
        <v>874.87591705588488</v>
      </c>
      <c r="V428" s="255">
        <v>194.92408294411507</v>
      </c>
      <c r="W428" s="247">
        <v>97.462041472057535</v>
      </c>
      <c r="X428" s="256">
        <v>0.18220609734914478</v>
      </c>
    </row>
    <row r="429" spans="1:24" x14ac:dyDescent="0.25">
      <c r="A429" s="254">
        <v>45812</v>
      </c>
      <c r="B429" s="131" t="s">
        <v>108</v>
      </c>
      <c r="C429" s="131" t="s">
        <v>7</v>
      </c>
      <c r="D429" s="131">
        <v>1</v>
      </c>
      <c r="E429" s="130">
        <v>100</v>
      </c>
      <c r="F429" s="131" t="s">
        <v>340</v>
      </c>
      <c r="G429" s="247">
        <v>536.9</v>
      </c>
      <c r="H429" s="247">
        <v>536.9</v>
      </c>
      <c r="I429" s="247">
        <v>78.924299999999988</v>
      </c>
      <c r="J429" s="247">
        <v>123.24444444444444</v>
      </c>
      <c r="K429" s="247">
        <v>97.686645636172443</v>
      </c>
      <c r="L429" s="247">
        <v>88.131868131868146</v>
      </c>
      <c r="M429" s="247">
        <v>15.5</v>
      </c>
      <c r="N429" s="249">
        <v>25.744700315457415</v>
      </c>
      <c r="O429" s="250">
        <v>78.924299999999988</v>
      </c>
      <c r="P429" s="249">
        <v>123.24444444444444</v>
      </c>
      <c r="Q429" s="249">
        <v>97.686645636172443</v>
      </c>
      <c r="R429" s="249">
        <v>88.131868131868146</v>
      </c>
      <c r="S429" s="250">
        <v>15.5</v>
      </c>
      <c r="T429" s="247">
        <v>25.744700315457415</v>
      </c>
      <c r="U429" s="247">
        <v>429.23195852794242</v>
      </c>
      <c r="V429" s="255">
        <v>107.66804147205755</v>
      </c>
      <c r="W429" s="247">
        <v>107.66804147205755</v>
      </c>
      <c r="X429" s="256">
        <v>0.20053648998334431</v>
      </c>
    </row>
    <row r="430" spans="1:24" x14ac:dyDescent="0.25">
      <c r="A430" s="254">
        <v>45812</v>
      </c>
      <c r="B430" s="131" t="s">
        <v>108</v>
      </c>
      <c r="C430" s="131" t="s">
        <v>11</v>
      </c>
      <c r="D430" s="131">
        <v>1</v>
      </c>
      <c r="E430" s="130">
        <v>100</v>
      </c>
      <c r="F430" s="131" t="s">
        <v>100</v>
      </c>
      <c r="G430" s="247">
        <v>539.9</v>
      </c>
      <c r="H430" s="247">
        <v>539.9</v>
      </c>
      <c r="I430" s="247">
        <v>48.590999999999994</v>
      </c>
      <c r="J430" s="247">
        <v>126.24444444444444</v>
      </c>
      <c r="K430" s="247">
        <v>97.686645636172443</v>
      </c>
      <c r="L430" s="247">
        <v>88.131868131868146</v>
      </c>
      <c r="M430" s="247">
        <v>15.5</v>
      </c>
      <c r="N430" s="249">
        <v>25.744700315457415</v>
      </c>
      <c r="O430" s="250">
        <v>48.590999999999994</v>
      </c>
      <c r="P430" s="249">
        <v>126.24444444444444</v>
      </c>
      <c r="Q430" s="249">
        <v>97.686645636172443</v>
      </c>
      <c r="R430" s="249">
        <v>88.131868131868146</v>
      </c>
      <c r="S430" s="250">
        <v>15.5</v>
      </c>
      <c r="T430" s="247">
        <v>25.744700315457415</v>
      </c>
      <c r="U430" s="247">
        <v>401.89865852794242</v>
      </c>
      <c r="V430" s="255">
        <v>138.00134147205756</v>
      </c>
      <c r="W430" s="247">
        <v>138.00134147205756</v>
      </c>
      <c r="X430" s="256">
        <v>0.25560537409160505</v>
      </c>
    </row>
    <row r="431" spans="1:24" x14ac:dyDescent="0.25">
      <c r="A431" s="254">
        <v>45812</v>
      </c>
      <c r="B431" s="131" t="s">
        <v>108</v>
      </c>
      <c r="C431" s="131" t="s">
        <v>135</v>
      </c>
      <c r="D431" s="131">
        <v>1</v>
      </c>
      <c r="E431" s="130">
        <v>100</v>
      </c>
      <c r="F431" s="131" t="s">
        <v>100</v>
      </c>
      <c r="G431" s="247">
        <v>539.9</v>
      </c>
      <c r="H431" s="247">
        <v>539.9</v>
      </c>
      <c r="I431" s="247">
        <v>48.590999999999994</v>
      </c>
      <c r="J431" s="247">
        <v>131.74444444444444</v>
      </c>
      <c r="K431" s="247">
        <v>97.686645636172443</v>
      </c>
      <c r="L431" s="247">
        <v>88.131868131868146</v>
      </c>
      <c r="M431" s="247">
        <v>15.5</v>
      </c>
      <c r="N431" s="249">
        <v>25.744700315457415</v>
      </c>
      <c r="O431" s="250">
        <v>48.590999999999994</v>
      </c>
      <c r="P431" s="249">
        <v>131.74444444444444</v>
      </c>
      <c r="Q431" s="249">
        <v>97.686645636172443</v>
      </c>
      <c r="R431" s="249">
        <v>88.131868131868146</v>
      </c>
      <c r="S431" s="250">
        <v>15.5</v>
      </c>
      <c r="T431" s="247">
        <v>25.744700315457415</v>
      </c>
      <c r="U431" s="247">
        <v>407.39865852794242</v>
      </c>
      <c r="V431" s="255">
        <v>132.50134147205756</v>
      </c>
      <c r="W431" s="247">
        <v>132.50134147205756</v>
      </c>
      <c r="X431" s="256">
        <v>0.24541830241166432</v>
      </c>
    </row>
    <row r="432" spans="1:24" x14ac:dyDescent="0.25">
      <c r="A432" s="254">
        <v>45812</v>
      </c>
      <c r="B432" s="131" t="s">
        <v>108</v>
      </c>
      <c r="C432" s="131" t="s">
        <v>135</v>
      </c>
      <c r="D432" s="131">
        <v>5</v>
      </c>
      <c r="E432" s="130">
        <v>100</v>
      </c>
      <c r="F432" s="131" t="s">
        <v>100</v>
      </c>
      <c r="G432" s="247">
        <v>539.9</v>
      </c>
      <c r="H432" s="247">
        <v>2699.5</v>
      </c>
      <c r="I432" s="247">
        <v>242.95499999999998</v>
      </c>
      <c r="J432" s="247">
        <v>658.72222222222217</v>
      </c>
      <c r="K432" s="247">
        <v>488.43322818086222</v>
      </c>
      <c r="L432" s="247">
        <v>440.65934065934073</v>
      </c>
      <c r="M432" s="247">
        <v>77.5</v>
      </c>
      <c r="N432" s="249">
        <v>128.72350157728707</v>
      </c>
      <c r="O432" s="250">
        <v>48.590999999999994</v>
      </c>
      <c r="P432" s="249">
        <v>131.74444444444444</v>
      </c>
      <c r="Q432" s="249">
        <v>97.686645636172443</v>
      </c>
      <c r="R432" s="249">
        <v>88.131868131868146</v>
      </c>
      <c r="S432" s="250">
        <v>15.5</v>
      </c>
      <c r="T432" s="247">
        <v>25.744700315457415</v>
      </c>
      <c r="U432" s="247">
        <v>2036.9932926397121</v>
      </c>
      <c r="V432" s="255">
        <v>662.50670736028792</v>
      </c>
      <c r="W432" s="247">
        <v>132.50134147205759</v>
      </c>
      <c r="X432" s="256">
        <v>0.24541830241166432</v>
      </c>
    </row>
    <row r="433" spans="1:24" x14ac:dyDescent="0.25">
      <c r="A433" s="254">
        <v>45812</v>
      </c>
      <c r="B433" s="131" t="s">
        <v>108</v>
      </c>
      <c r="C433" s="131" t="s">
        <v>7</v>
      </c>
      <c r="D433" s="131">
        <v>3</v>
      </c>
      <c r="E433" s="130">
        <v>100</v>
      </c>
      <c r="F433" s="131" t="s">
        <v>100</v>
      </c>
      <c r="G433" s="247">
        <v>541.9</v>
      </c>
      <c r="H433" s="247">
        <v>1625.7</v>
      </c>
      <c r="I433" s="247">
        <v>146.31299999999999</v>
      </c>
      <c r="J433" s="247">
        <v>369.73333333333335</v>
      </c>
      <c r="K433" s="247">
        <v>293.05993690851733</v>
      </c>
      <c r="L433" s="247">
        <v>264.39560439560444</v>
      </c>
      <c r="M433" s="247">
        <v>46.5</v>
      </c>
      <c r="N433" s="249">
        <v>77.234100946372251</v>
      </c>
      <c r="O433" s="250">
        <v>48.770999999999994</v>
      </c>
      <c r="P433" s="249">
        <v>123.24444444444444</v>
      </c>
      <c r="Q433" s="249">
        <v>97.686645636172443</v>
      </c>
      <c r="R433" s="249">
        <v>88.131868131868146</v>
      </c>
      <c r="S433" s="250">
        <v>15.5</v>
      </c>
      <c r="T433" s="247">
        <v>25.744700315457415</v>
      </c>
      <c r="U433" s="247">
        <v>1197.2359755838272</v>
      </c>
      <c r="V433" s="255">
        <v>428.46402441617283</v>
      </c>
      <c r="W433" s="247">
        <v>142.82134147205761</v>
      </c>
      <c r="X433" s="256">
        <v>0.26355663678180025</v>
      </c>
    </row>
    <row r="434" spans="1:24" x14ac:dyDescent="0.25">
      <c r="A434" s="254">
        <v>45812</v>
      </c>
      <c r="B434" s="131" t="s">
        <v>108</v>
      </c>
      <c r="C434" s="131" t="s">
        <v>6</v>
      </c>
      <c r="D434" s="131">
        <v>1</v>
      </c>
      <c r="E434" s="130">
        <v>100</v>
      </c>
      <c r="F434" s="131" t="s">
        <v>340</v>
      </c>
      <c r="G434" s="247">
        <v>546.9</v>
      </c>
      <c r="H434" s="247">
        <v>546.9</v>
      </c>
      <c r="I434" s="247">
        <v>80.394299999999987</v>
      </c>
      <c r="J434" s="247">
        <v>124.74444444444444</v>
      </c>
      <c r="K434" s="247">
        <v>97.686645636172443</v>
      </c>
      <c r="L434" s="247">
        <v>88.131868131868146</v>
      </c>
      <c r="M434" s="247">
        <v>15.5</v>
      </c>
      <c r="N434" s="249">
        <v>25.744700315457415</v>
      </c>
      <c r="O434" s="250">
        <v>80.394299999999987</v>
      </c>
      <c r="P434" s="249">
        <v>124.74444444444444</v>
      </c>
      <c r="Q434" s="249">
        <v>97.686645636172443</v>
      </c>
      <c r="R434" s="249">
        <v>88.131868131868146</v>
      </c>
      <c r="S434" s="250">
        <v>15.5</v>
      </c>
      <c r="T434" s="247">
        <v>25.744700315457415</v>
      </c>
      <c r="U434" s="247">
        <v>432.20195852794245</v>
      </c>
      <c r="V434" s="255">
        <v>114.69804147205753</v>
      </c>
      <c r="W434" s="247">
        <v>114.69804147205753</v>
      </c>
      <c r="X434" s="256">
        <v>0.20972397416722899</v>
      </c>
    </row>
    <row r="435" spans="1:24" x14ac:dyDescent="0.25">
      <c r="A435" s="254">
        <v>45812</v>
      </c>
      <c r="B435" s="131" t="s">
        <v>108</v>
      </c>
      <c r="C435" s="131" t="s">
        <v>7</v>
      </c>
      <c r="D435" s="131">
        <v>1</v>
      </c>
      <c r="E435" s="130">
        <v>100</v>
      </c>
      <c r="F435" s="131" t="s">
        <v>340</v>
      </c>
      <c r="G435" s="247">
        <v>546.9</v>
      </c>
      <c r="H435" s="247">
        <v>546.9</v>
      </c>
      <c r="I435" s="247">
        <v>80.394299999999987</v>
      </c>
      <c r="J435" s="247">
        <v>123.24444444444444</v>
      </c>
      <c r="K435" s="247">
        <v>97.686645636172443</v>
      </c>
      <c r="L435" s="247">
        <v>88.131868131868146</v>
      </c>
      <c r="M435" s="247">
        <v>15.5</v>
      </c>
      <c r="N435" s="249">
        <v>25.744700315457415</v>
      </c>
      <c r="O435" s="250">
        <v>80.394299999999987</v>
      </c>
      <c r="P435" s="249">
        <v>123.24444444444444</v>
      </c>
      <c r="Q435" s="249">
        <v>97.686645636172443</v>
      </c>
      <c r="R435" s="249">
        <v>88.131868131868146</v>
      </c>
      <c r="S435" s="250">
        <v>15.5</v>
      </c>
      <c r="T435" s="247">
        <v>25.744700315457415</v>
      </c>
      <c r="U435" s="247">
        <v>430.70195852794245</v>
      </c>
      <c r="V435" s="255">
        <v>116.19804147205753</v>
      </c>
      <c r="W435" s="247">
        <v>116.19804147205753</v>
      </c>
      <c r="X435" s="256">
        <v>0.21246670592806277</v>
      </c>
    </row>
    <row r="436" spans="1:24" x14ac:dyDescent="0.25">
      <c r="A436" s="254">
        <v>45812</v>
      </c>
      <c r="B436" s="131" t="s">
        <v>108</v>
      </c>
      <c r="C436" s="131" t="s">
        <v>6</v>
      </c>
      <c r="D436" s="131">
        <v>1</v>
      </c>
      <c r="E436" s="130">
        <v>100</v>
      </c>
      <c r="F436" s="131" t="s">
        <v>340</v>
      </c>
      <c r="G436" s="247">
        <v>546.9</v>
      </c>
      <c r="H436" s="247">
        <v>546.9</v>
      </c>
      <c r="I436" s="247">
        <v>80.394299999999987</v>
      </c>
      <c r="J436" s="247">
        <v>124.74444444444444</v>
      </c>
      <c r="K436" s="247">
        <v>97.686645636172443</v>
      </c>
      <c r="L436" s="247">
        <v>88.131868131868146</v>
      </c>
      <c r="M436" s="247">
        <v>15.5</v>
      </c>
      <c r="N436" s="249">
        <v>25.744700315457415</v>
      </c>
      <c r="O436" s="250">
        <v>80.394299999999987</v>
      </c>
      <c r="P436" s="249">
        <v>124.74444444444444</v>
      </c>
      <c r="Q436" s="249">
        <v>97.686645636172443</v>
      </c>
      <c r="R436" s="249">
        <v>88.131868131868146</v>
      </c>
      <c r="S436" s="250">
        <v>15.5</v>
      </c>
      <c r="T436" s="247">
        <v>25.744700315457415</v>
      </c>
      <c r="U436" s="247">
        <v>432.20195852794245</v>
      </c>
      <c r="V436" s="255">
        <v>114.69804147205753</v>
      </c>
      <c r="W436" s="247">
        <v>114.69804147205753</v>
      </c>
      <c r="X436" s="256">
        <v>0.20972397416722899</v>
      </c>
    </row>
    <row r="437" spans="1:24" x14ac:dyDescent="0.25">
      <c r="A437" s="254">
        <v>45812</v>
      </c>
      <c r="B437" s="131" t="s">
        <v>108</v>
      </c>
      <c r="C437" s="131" t="s">
        <v>7</v>
      </c>
      <c r="D437" s="131">
        <v>1</v>
      </c>
      <c r="E437" s="130">
        <v>100</v>
      </c>
      <c r="F437" s="131" t="s">
        <v>100</v>
      </c>
      <c r="G437" s="247">
        <v>547.9</v>
      </c>
      <c r="H437" s="247">
        <v>547.9</v>
      </c>
      <c r="I437" s="247">
        <v>49.310999999999993</v>
      </c>
      <c r="J437" s="247">
        <v>123.24444444444444</v>
      </c>
      <c r="K437" s="247">
        <v>97.686645636172443</v>
      </c>
      <c r="L437" s="247">
        <v>88.131868131868146</v>
      </c>
      <c r="M437" s="247">
        <v>15.5</v>
      </c>
      <c r="N437" s="249">
        <v>25.744700315457415</v>
      </c>
      <c r="O437" s="250">
        <v>49.310999999999993</v>
      </c>
      <c r="P437" s="249">
        <v>123.24444444444444</v>
      </c>
      <c r="Q437" s="249">
        <v>97.686645636172443</v>
      </c>
      <c r="R437" s="249">
        <v>88.131868131868146</v>
      </c>
      <c r="S437" s="250">
        <v>15.5</v>
      </c>
      <c r="T437" s="247">
        <v>25.744700315457415</v>
      </c>
      <c r="U437" s="247">
        <v>399.61865852794244</v>
      </c>
      <c r="V437" s="255">
        <v>148.28134147205753</v>
      </c>
      <c r="W437" s="247">
        <v>148.28134147205753</v>
      </c>
      <c r="X437" s="256">
        <v>0.27063577563799512</v>
      </c>
    </row>
    <row r="438" spans="1:24" x14ac:dyDescent="0.25">
      <c r="A438" s="254">
        <v>45812</v>
      </c>
      <c r="B438" s="131" t="s">
        <v>108</v>
      </c>
      <c r="C438" s="131" t="s">
        <v>357</v>
      </c>
      <c r="D438" s="131">
        <v>1</v>
      </c>
      <c r="E438" s="130">
        <v>100</v>
      </c>
      <c r="F438" s="131" t="s">
        <v>100</v>
      </c>
      <c r="G438" s="247">
        <v>548.73</v>
      </c>
      <c r="H438" s="247">
        <v>548.73</v>
      </c>
      <c r="I438" s="247">
        <v>49.3857</v>
      </c>
      <c r="J438" s="247">
        <v>104.84444444444443</v>
      </c>
      <c r="K438" s="247">
        <v>97.686645636172443</v>
      </c>
      <c r="L438" s="247">
        <v>88.131868131868146</v>
      </c>
      <c r="M438" s="247">
        <v>15.5</v>
      </c>
      <c r="N438" s="249">
        <v>25.744700315457415</v>
      </c>
      <c r="O438" s="250">
        <v>49.3857</v>
      </c>
      <c r="P438" s="249">
        <v>104.84444444444443</v>
      </c>
      <c r="Q438" s="249">
        <v>97.686645636172443</v>
      </c>
      <c r="R438" s="249">
        <v>88.131868131868146</v>
      </c>
      <c r="S438" s="250">
        <v>15.5</v>
      </c>
      <c r="T438" s="247">
        <v>25.744700315457415</v>
      </c>
      <c r="U438" s="247">
        <v>381.29335852794242</v>
      </c>
      <c r="V438" s="255">
        <v>167.4366414720576</v>
      </c>
      <c r="W438" s="247">
        <v>167.4366414720576</v>
      </c>
      <c r="X438" s="256">
        <v>0.30513484131003882</v>
      </c>
    </row>
    <row r="439" spans="1:24" x14ac:dyDescent="0.25">
      <c r="A439" s="254">
        <v>45812</v>
      </c>
      <c r="B439" s="131" t="s">
        <v>108</v>
      </c>
      <c r="C439" s="131" t="s">
        <v>13</v>
      </c>
      <c r="D439" s="131">
        <v>1</v>
      </c>
      <c r="E439" s="130">
        <v>100</v>
      </c>
      <c r="F439" s="131" t="s">
        <v>340</v>
      </c>
      <c r="G439" s="247">
        <v>549.9</v>
      </c>
      <c r="H439" s="247">
        <v>549.9</v>
      </c>
      <c r="I439" s="247">
        <v>80.835299999999989</v>
      </c>
      <c r="J439" s="247">
        <v>129.64444444444445</v>
      </c>
      <c r="K439" s="247">
        <v>97.686645636172443</v>
      </c>
      <c r="L439" s="247">
        <v>88.131868131868146</v>
      </c>
      <c r="M439" s="247">
        <v>15.5</v>
      </c>
      <c r="N439" s="249">
        <v>25.744700315457415</v>
      </c>
      <c r="O439" s="250">
        <v>80.835299999999989</v>
      </c>
      <c r="P439" s="249">
        <v>129.64444444444445</v>
      </c>
      <c r="Q439" s="249">
        <v>97.686645636172443</v>
      </c>
      <c r="R439" s="249">
        <v>88.131868131868146</v>
      </c>
      <c r="S439" s="250">
        <v>15.5</v>
      </c>
      <c r="T439" s="247">
        <v>25.744700315457415</v>
      </c>
      <c r="U439" s="247">
        <v>437.54295852794246</v>
      </c>
      <c r="V439" s="255">
        <v>112.35704147205752</v>
      </c>
      <c r="W439" s="247">
        <v>112.35704147205752</v>
      </c>
      <c r="X439" s="256">
        <v>0.20432267952729136</v>
      </c>
    </row>
    <row r="440" spans="1:24" x14ac:dyDescent="0.25">
      <c r="A440" s="254">
        <v>45812</v>
      </c>
      <c r="B440" s="131" t="s">
        <v>108</v>
      </c>
      <c r="C440" s="131" t="s">
        <v>7</v>
      </c>
      <c r="D440" s="131">
        <v>1</v>
      </c>
      <c r="E440" s="130">
        <v>280</v>
      </c>
      <c r="F440" s="131" t="s">
        <v>365</v>
      </c>
      <c r="G440" s="247">
        <v>549.9</v>
      </c>
      <c r="H440" s="247">
        <v>548.9</v>
      </c>
      <c r="I440" s="247">
        <v>0</v>
      </c>
      <c r="J440" s="247">
        <v>223.18888888888884</v>
      </c>
      <c r="K440" s="247">
        <v>97.686645636172443</v>
      </c>
      <c r="L440" s="247">
        <v>88.131868131868146</v>
      </c>
      <c r="M440" s="247">
        <v>15.5</v>
      </c>
      <c r="N440" s="249">
        <v>25.744700315457415</v>
      </c>
      <c r="O440" s="250">
        <v>0</v>
      </c>
      <c r="P440" s="249">
        <v>223.18888888888884</v>
      </c>
      <c r="Q440" s="249">
        <v>97.686645636172443</v>
      </c>
      <c r="R440" s="249">
        <v>88.131868131868146</v>
      </c>
      <c r="S440" s="250">
        <v>15.5</v>
      </c>
      <c r="T440" s="247">
        <v>25.744700315457415</v>
      </c>
      <c r="U440" s="247">
        <v>450.25210297238687</v>
      </c>
      <c r="V440" s="255">
        <v>98.647897027613112</v>
      </c>
      <c r="W440" s="247">
        <v>98.647897027613112</v>
      </c>
      <c r="X440" s="256">
        <v>0.18121094203966742</v>
      </c>
    </row>
    <row r="441" spans="1:24" x14ac:dyDescent="0.25">
      <c r="A441" s="254">
        <v>45812</v>
      </c>
      <c r="B441" s="131" t="s">
        <v>108</v>
      </c>
      <c r="C441" s="131" t="s">
        <v>135</v>
      </c>
      <c r="D441" s="131">
        <v>1</v>
      </c>
      <c r="E441" s="130">
        <v>100</v>
      </c>
      <c r="F441" s="131" t="s">
        <v>100</v>
      </c>
      <c r="G441" s="247">
        <v>551.9</v>
      </c>
      <c r="H441" s="247">
        <v>551.9</v>
      </c>
      <c r="I441" s="247">
        <v>49.670999999999999</v>
      </c>
      <c r="J441" s="247">
        <v>131.74444444444444</v>
      </c>
      <c r="K441" s="247">
        <v>97.686645636172443</v>
      </c>
      <c r="L441" s="247">
        <v>88.131868131868146</v>
      </c>
      <c r="M441" s="247">
        <v>15.5</v>
      </c>
      <c r="N441" s="249">
        <v>25.744700315457415</v>
      </c>
      <c r="O441" s="250">
        <v>49.670999999999999</v>
      </c>
      <c r="P441" s="249">
        <v>131.74444444444444</v>
      </c>
      <c r="Q441" s="249">
        <v>97.686645636172443</v>
      </c>
      <c r="R441" s="249">
        <v>88.131868131868146</v>
      </c>
      <c r="S441" s="250">
        <v>15.5</v>
      </c>
      <c r="T441" s="247">
        <v>25.744700315457415</v>
      </c>
      <c r="U441" s="247">
        <v>408.47865852794246</v>
      </c>
      <c r="V441" s="255">
        <v>143.42134147205752</v>
      </c>
      <c r="W441" s="247">
        <v>143.42134147205752</v>
      </c>
      <c r="X441" s="256">
        <v>0.25986834838205747</v>
      </c>
    </row>
    <row r="442" spans="1:24" x14ac:dyDescent="0.25">
      <c r="A442" s="254">
        <v>45812</v>
      </c>
      <c r="B442" s="131" t="s">
        <v>108</v>
      </c>
      <c r="C442" s="131" t="s">
        <v>135</v>
      </c>
      <c r="D442" s="131">
        <v>2</v>
      </c>
      <c r="E442" s="130">
        <v>100</v>
      </c>
      <c r="F442" s="131" t="s">
        <v>100</v>
      </c>
      <c r="G442" s="247">
        <v>551.9</v>
      </c>
      <c r="H442" s="247">
        <v>1103.8</v>
      </c>
      <c r="I442" s="247">
        <v>99.341999999999999</v>
      </c>
      <c r="J442" s="247">
        <v>263.48888888888888</v>
      </c>
      <c r="K442" s="247">
        <v>195.37329127234489</v>
      </c>
      <c r="L442" s="247">
        <v>176.26373626373629</v>
      </c>
      <c r="M442" s="247">
        <v>31</v>
      </c>
      <c r="N442" s="249">
        <v>51.48940063091483</v>
      </c>
      <c r="O442" s="250">
        <v>49.670999999999999</v>
      </c>
      <c r="P442" s="249">
        <v>131.74444444444444</v>
      </c>
      <c r="Q442" s="249">
        <v>97.686645636172443</v>
      </c>
      <c r="R442" s="249">
        <v>88.131868131868146</v>
      </c>
      <c r="S442" s="250">
        <v>15.5</v>
      </c>
      <c r="T442" s="247">
        <v>25.744700315457415</v>
      </c>
      <c r="U442" s="247">
        <v>816.95731705588491</v>
      </c>
      <c r="V442" s="255">
        <v>286.84268294411504</v>
      </c>
      <c r="W442" s="247">
        <v>143.42134147205752</v>
      </c>
      <c r="X442" s="256">
        <v>0.25986834838205747</v>
      </c>
    </row>
    <row r="443" spans="1:24" x14ac:dyDescent="0.25">
      <c r="A443" s="254">
        <v>45812</v>
      </c>
      <c r="B443" s="131" t="s">
        <v>108</v>
      </c>
      <c r="C443" s="131" t="s">
        <v>7</v>
      </c>
      <c r="D443" s="131">
        <v>1</v>
      </c>
      <c r="E443" s="130">
        <v>100</v>
      </c>
      <c r="F443" s="131" t="s">
        <v>340</v>
      </c>
      <c r="G443" s="247">
        <v>557.9</v>
      </c>
      <c r="H443" s="247">
        <v>557.9</v>
      </c>
      <c r="I443" s="247">
        <v>82.011299999999991</v>
      </c>
      <c r="J443" s="247">
        <v>123.24444444444444</v>
      </c>
      <c r="K443" s="247">
        <v>97.686645636172443</v>
      </c>
      <c r="L443" s="247">
        <v>88.131868131868146</v>
      </c>
      <c r="M443" s="247">
        <v>15.5</v>
      </c>
      <c r="N443" s="249">
        <v>25.744700315457415</v>
      </c>
      <c r="O443" s="250">
        <v>82.011299999999991</v>
      </c>
      <c r="P443" s="249">
        <v>123.24444444444444</v>
      </c>
      <c r="Q443" s="249">
        <v>97.686645636172443</v>
      </c>
      <c r="R443" s="249">
        <v>88.131868131868146</v>
      </c>
      <c r="S443" s="250">
        <v>15.5</v>
      </c>
      <c r="T443" s="247">
        <v>25.744700315457415</v>
      </c>
      <c r="U443" s="247">
        <v>432.31895852794241</v>
      </c>
      <c r="V443" s="255">
        <v>125.58104147205756</v>
      </c>
      <c r="W443" s="247">
        <v>125.58104147205756</v>
      </c>
      <c r="X443" s="256">
        <v>0.22509596965774792</v>
      </c>
    </row>
    <row r="444" spans="1:24" x14ac:dyDescent="0.25">
      <c r="A444" s="254">
        <v>45812</v>
      </c>
      <c r="B444" s="131" t="s">
        <v>108</v>
      </c>
      <c r="C444" s="131" t="s">
        <v>7</v>
      </c>
      <c r="D444" s="131">
        <v>1</v>
      </c>
      <c r="E444" s="130">
        <v>100</v>
      </c>
      <c r="F444" s="131" t="s">
        <v>340</v>
      </c>
      <c r="G444" s="247">
        <v>558.9</v>
      </c>
      <c r="H444" s="247">
        <v>558.9</v>
      </c>
      <c r="I444" s="247">
        <v>82.158299999999997</v>
      </c>
      <c r="J444" s="247">
        <v>123.24444444444444</v>
      </c>
      <c r="K444" s="247">
        <v>97.686645636172443</v>
      </c>
      <c r="L444" s="247">
        <v>88.131868131868146</v>
      </c>
      <c r="M444" s="247">
        <v>15.5</v>
      </c>
      <c r="N444" s="249">
        <v>25.744700315457415</v>
      </c>
      <c r="O444" s="250">
        <v>82.158299999999997</v>
      </c>
      <c r="P444" s="249">
        <v>123.24444444444444</v>
      </c>
      <c r="Q444" s="249">
        <v>97.686645636172443</v>
      </c>
      <c r="R444" s="249">
        <v>88.131868131868146</v>
      </c>
      <c r="S444" s="250">
        <v>15.5</v>
      </c>
      <c r="T444" s="247">
        <v>25.744700315457415</v>
      </c>
      <c r="U444" s="247">
        <v>432.46595852794246</v>
      </c>
      <c r="V444" s="255">
        <v>126.43404147205752</v>
      </c>
      <c r="W444" s="247">
        <v>126.43404147205752</v>
      </c>
      <c r="X444" s="256">
        <v>0.2262194336590759</v>
      </c>
    </row>
    <row r="445" spans="1:24" x14ac:dyDescent="0.25">
      <c r="A445" s="254">
        <v>45812</v>
      </c>
      <c r="B445" s="131" t="s">
        <v>108</v>
      </c>
      <c r="C445" s="131" t="s">
        <v>7</v>
      </c>
      <c r="D445" s="131">
        <v>1</v>
      </c>
      <c r="E445" s="130">
        <v>100</v>
      </c>
      <c r="F445" s="131" t="s">
        <v>100</v>
      </c>
      <c r="G445" s="247">
        <v>559.9</v>
      </c>
      <c r="H445" s="247">
        <v>559.9</v>
      </c>
      <c r="I445" s="247">
        <v>50.390999999999998</v>
      </c>
      <c r="J445" s="247">
        <v>123.24444444444444</v>
      </c>
      <c r="K445" s="247">
        <v>97.686645636172443</v>
      </c>
      <c r="L445" s="247">
        <v>88.131868131868146</v>
      </c>
      <c r="M445" s="247">
        <v>15.5</v>
      </c>
      <c r="N445" s="249">
        <v>25.744700315457415</v>
      </c>
      <c r="O445" s="250">
        <v>50.390999999999998</v>
      </c>
      <c r="P445" s="249">
        <v>123.24444444444444</v>
      </c>
      <c r="Q445" s="249">
        <v>97.686645636172443</v>
      </c>
      <c r="R445" s="249">
        <v>88.131868131868146</v>
      </c>
      <c r="S445" s="250">
        <v>15.5</v>
      </c>
      <c r="T445" s="247">
        <v>25.744700315457415</v>
      </c>
      <c r="U445" s="247">
        <v>400.69865852794243</v>
      </c>
      <c r="V445" s="255">
        <v>159.20134147205755</v>
      </c>
      <c r="W445" s="247">
        <v>159.20134147205755</v>
      </c>
      <c r="X445" s="256">
        <v>0.28433888457234785</v>
      </c>
    </row>
    <row r="446" spans="1:24" x14ac:dyDescent="0.25">
      <c r="A446" s="254">
        <v>45812</v>
      </c>
      <c r="B446" s="131" t="s">
        <v>108</v>
      </c>
      <c r="C446" s="131" t="s">
        <v>5</v>
      </c>
      <c r="D446" s="131">
        <v>4</v>
      </c>
      <c r="E446" s="130">
        <v>100</v>
      </c>
      <c r="F446" s="131" t="s">
        <v>216</v>
      </c>
      <c r="G446" s="247">
        <v>562.9</v>
      </c>
      <c r="H446" s="247">
        <v>2251.6</v>
      </c>
      <c r="I446" s="247">
        <v>290.45639999999997</v>
      </c>
      <c r="J446" s="247">
        <v>654.28888888888889</v>
      </c>
      <c r="K446" s="247">
        <v>390.74658254468977</v>
      </c>
      <c r="L446" s="247">
        <v>352.52747252747258</v>
      </c>
      <c r="M446" s="247">
        <v>62</v>
      </c>
      <c r="N446" s="249">
        <v>102.97880126182966</v>
      </c>
      <c r="O446" s="250">
        <v>72.614099999999993</v>
      </c>
      <c r="P446" s="249">
        <v>163.57222222222222</v>
      </c>
      <c r="Q446" s="249">
        <v>97.686645636172443</v>
      </c>
      <c r="R446" s="249">
        <v>88.131868131868146</v>
      </c>
      <c r="S446" s="250">
        <v>15.5</v>
      </c>
      <c r="T446" s="247">
        <v>25.744700315457415</v>
      </c>
      <c r="U446" s="247">
        <v>1852.9981452228808</v>
      </c>
      <c r="V446" s="255">
        <v>398.60185477711912</v>
      </c>
      <c r="W446" s="247">
        <v>99.650463694279779</v>
      </c>
      <c r="X446" s="256">
        <v>0.17703049155139416</v>
      </c>
    </row>
    <row r="447" spans="1:24" x14ac:dyDescent="0.25">
      <c r="A447" s="254">
        <v>45812</v>
      </c>
      <c r="B447" s="131" t="s">
        <v>108</v>
      </c>
      <c r="C447" s="131" t="s">
        <v>10</v>
      </c>
      <c r="D447" s="131">
        <v>1</v>
      </c>
      <c r="E447" s="130">
        <v>140</v>
      </c>
      <c r="F447" s="131" t="s">
        <v>100</v>
      </c>
      <c r="G447" s="247">
        <v>564.91</v>
      </c>
      <c r="H447" s="247">
        <v>564.91</v>
      </c>
      <c r="I447" s="247">
        <v>50.841899999999995</v>
      </c>
      <c r="J447" s="247">
        <v>142.44444444444443</v>
      </c>
      <c r="K447" s="247">
        <v>97.686645636172443</v>
      </c>
      <c r="L447" s="247">
        <v>88.131868131868146</v>
      </c>
      <c r="M447" s="247">
        <v>15.5</v>
      </c>
      <c r="N447" s="249">
        <v>25.744700315457415</v>
      </c>
      <c r="O447" s="250">
        <v>50.841899999999995</v>
      </c>
      <c r="P447" s="249">
        <v>142.44444444444443</v>
      </c>
      <c r="Q447" s="249">
        <v>97.686645636172443</v>
      </c>
      <c r="R447" s="249">
        <v>88.131868131868146</v>
      </c>
      <c r="S447" s="250">
        <v>15.5</v>
      </c>
      <c r="T447" s="247">
        <v>25.744700315457415</v>
      </c>
      <c r="U447" s="247">
        <v>420.34955852794241</v>
      </c>
      <c r="V447" s="255">
        <v>144.56044147205756</v>
      </c>
      <c r="W447" s="247">
        <v>144.56044147205756</v>
      </c>
      <c r="X447" s="256">
        <v>0.25589995127021575</v>
      </c>
    </row>
    <row r="448" spans="1:24" x14ac:dyDescent="0.25">
      <c r="A448" s="254">
        <v>45812</v>
      </c>
      <c r="B448" s="131" t="s">
        <v>108</v>
      </c>
      <c r="C448" s="131" t="s">
        <v>11</v>
      </c>
      <c r="D448" s="131">
        <v>1</v>
      </c>
      <c r="E448" s="130">
        <v>140</v>
      </c>
      <c r="F448" s="131" t="s">
        <v>100</v>
      </c>
      <c r="G448" s="247">
        <v>564.91</v>
      </c>
      <c r="H448" s="247">
        <v>564.91</v>
      </c>
      <c r="I448" s="247">
        <v>50.841899999999995</v>
      </c>
      <c r="J448" s="247">
        <v>145.44444444444443</v>
      </c>
      <c r="K448" s="247">
        <v>97.686645636172443</v>
      </c>
      <c r="L448" s="247">
        <v>88.131868131868146</v>
      </c>
      <c r="M448" s="247">
        <v>15.5</v>
      </c>
      <c r="N448" s="249">
        <v>25.744700315457415</v>
      </c>
      <c r="O448" s="250">
        <v>50.841899999999995</v>
      </c>
      <c r="P448" s="249">
        <v>145.44444444444443</v>
      </c>
      <c r="Q448" s="249">
        <v>97.686645636172443</v>
      </c>
      <c r="R448" s="249">
        <v>88.131868131868146</v>
      </c>
      <c r="S448" s="250">
        <v>15.5</v>
      </c>
      <c r="T448" s="247">
        <v>25.744700315457415</v>
      </c>
      <c r="U448" s="247">
        <v>423.34955852794241</v>
      </c>
      <c r="V448" s="255">
        <v>141.56044147205756</v>
      </c>
      <c r="W448" s="247">
        <v>141.56044147205756</v>
      </c>
      <c r="X448" s="256">
        <v>0.25058937082377292</v>
      </c>
    </row>
    <row r="449" spans="1:24" x14ac:dyDescent="0.25">
      <c r="A449" s="254">
        <v>45812</v>
      </c>
      <c r="B449" s="131" t="s">
        <v>108</v>
      </c>
      <c r="C449" s="131" t="s">
        <v>7</v>
      </c>
      <c r="D449" s="131">
        <v>11</v>
      </c>
      <c r="E449" s="130">
        <v>140</v>
      </c>
      <c r="F449" s="131" t="s">
        <v>100</v>
      </c>
      <c r="G449" s="247">
        <v>564.91</v>
      </c>
      <c r="H449" s="247">
        <v>6214.01</v>
      </c>
      <c r="I449" s="247">
        <v>559.26089999999999</v>
      </c>
      <c r="J449" s="247">
        <v>1566.8888888888887</v>
      </c>
      <c r="K449" s="247">
        <v>1074.5531019978969</v>
      </c>
      <c r="L449" s="247">
        <v>969.4505494505496</v>
      </c>
      <c r="M449" s="247">
        <v>170.5</v>
      </c>
      <c r="N449" s="249">
        <v>283.19170347003154</v>
      </c>
      <c r="O449" s="250">
        <v>50.841900000000003</v>
      </c>
      <c r="P449" s="249">
        <v>142.44444444444443</v>
      </c>
      <c r="Q449" s="249">
        <v>97.686645636172443</v>
      </c>
      <c r="R449" s="249">
        <v>88.131868131868146</v>
      </c>
      <c r="S449" s="250">
        <v>15.5</v>
      </c>
      <c r="T449" s="247">
        <v>25.744700315457415</v>
      </c>
      <c r="U449" s="247">
        <v>4623.8451438073671</v>
      </c>
      <c r="V449" s="255">
        <v>1590.1648561926331</v>
      </c>
      <c r="W449" s="247">
        <v>144.56044147205756</v>
      </c>
      <c r="X449" s="256">
        <v>0.25589995127021564</v>
      </c>
    </row>
    <row r="450" spans="1:24" x14ac:dyDescent="0.25">
      <c r="A450" s="254">
        <v>45812</v>
      </c>
      <c r="B450" s="131" t="s">
        <v>108</v>
      </c>
      <c r="C450" s="131" t="s">
        <v>9</v>
      </c>
      <c r="D450" s="131">
        <v>1</v>
      </c>
      <c r="E450" s="130">
        <v>140</v>
      </c>
      <c r="F450" s="131" t="s">
        <v>216</v>
      </c>
      <c r="G450" s="247">
        <v>567.9</v>
      </c>
      <c r="H450" s="247">
        <v>567.9</v>
      </c>
      <c r="I450" s="247">
        <v>73.259100000000004</v>
      </c>
      <c r="J450" s="247">
        <v>143.94444444444443</v>
      </c>
      <c r="K450" s="247">
        <v>97.686645636172443</v>
      </c>
      <c r="L450" s="247">
        <v>88.131868131868146</v>
      </c>
      <c r="M450" s="247">
        <v>15.5</v>
      </c>
      <c r="N450" s="249">
        <v>25.744700315457415</v>
      </c>
      <c r="O450" s="250">
        <v>73.259100000000004</v>
      </c>
      <c r="P450" s="249">
        <v>143.94444444444443</v>
      </c>
      <c r="Q450" s="249">
        <v>97.686645636172443</v>
      </c>
      <c r="R450" s="249">
        <v>88.131868131868146</v>
      </c>
      <c r="S450" s="250">
        <v>15.5</v>
      </c>
      <c r="T450" s="247">
        <v>25.744700315457415</v>
      </c>
      <c r="U450" s="247">
        <v>444.26675852794244</v>
      </c>
      <c r="V450" s="255">
        <v>123.63324147205753</v>
      </c>
      <c r="W450" s="247">
        <v>123.63324147205753</v>
      </c>
      <c r="X450" s="256">
        <v>0.21770248542359136</v>
      </c>
    </row>
    <row r="451" spans="1:24" x14ac:dyDescent="0.25">
      <c r="A451" s="254">
        <v>45812</v>
      </c>
      <c r="B451" s="131" t="s">
        <v>108</v>
      </c>
      <c r="C451" s="131" t="s">
        <v>6</v>
      </c>
      <c r="D451" s="131">
        <v>1</v>
      </c>
      <c r="E451" s="130">
        <v>140</v>
      </c>
      <c r="F451" s="131" t="s">
        <v>216</v>
      </c>
      <c r="G451" s="247">
        <v>567.9</v>
      </c>
      <c r="H451" s="247">
        <v>567.9</v>
      </c>
      <c r="I451" s="247">
        <v>73.259100000000004</v>
      </c>
      <c r="J451" s="247">
        <v>143.94444444444443</v>
      </c>
      <c r="K451" s="247">
        <v>97.686645636172443</v>
      </c>
      <c r="L451" s="247">
        <v>88.131868131868146</v>
      </c>
      <c r="M451" s="247">
        <v>15.5</v>
      </c>
      <c r="N451" s="249">
        <v>25.744700315457415</v>
      </c>
      <c r="O451" s="250">
        <v>73.259100000000004</v>
      </c>
      <c r="P451" s="249">
        <v>143.94444444444443</v>
      </c>
      <c r="Q451" s="249">
        <v>97.686645636172443</v>
      </c>
      <c r="R451" s="249">
        <v>88.131868131868146</v>
      </c>
      <c r="S451" s="250">
        <v>15.5</v>
      </c>
      <c r="T451" s="247">
        <v>25.744700315457415</v>
      </c>
      <c r="U451" s="247">
        <v>444.26675852794244</v>
      </c>
      <c r="V451" s="255">
        <v>123.63324147205753</v>
      </c>
      <c r="W451" s="247">
        <v>123.63324147205753</v>
      </c>
      <c r="X451" s="256">
        <v>0.21770248542359136</v>
      </c>
    </row>
    <row r="452" spans="1:24" x14ac:dyDescent="0.25">
      <c r="A452" s="254">
        <v>45812</v>
      </c>
      <c r="B452" s="131" t="s">
        <v>108</v>
      </c>
      <c r="C452" s="131" t="s">
        <v>7</v>
      </c>
      <c r="D452" s="131">
        <v>5</v>
      </c>
      <c r="E452" s="130">
        <v>140</v>
      </c>
      <c r="F452" s="131" t="s">
        <v>216</v>
      </c>
      <c r="G452" s="247">
        <v>567.9</v>
      </c>
      <c r="H452" s="247">
        <v>2839.5</v>
      </c>
      <c r="I452" s="247">
        <v>366.2955</v>
      </c>
      <c r="J452" s="247">
        <v>712.22222222222217</v>
      </c>
      <c r="K452" s="247">
        <v>488.43322818086222</v>
      </c>
      <c r="L452" s="247">
        <v>440.65934065934073</v>
      </c>
      <c r="M452" s="247">
        <v>77.5</v>
      </c>
      <c r="N452" s="249">
        <v>128.72350157728707</v>
      </c>
      <c r="O452" s="250">
        <v>73.259100000000004</v>
      </c>
      <c r="P452" s="249">
        <v>142.44444444444443</v>
      </c>
      <c r="Q452" s="249">
        <v>97.686645636172443</v>
      </c>
      <c r="R452" s="249">
        <v>88.131868131868146</v>
      </c>
      <c r="S452" s="250">
        <v>15.5</v>
      </c>
      <c r="T452" s="247">
        <v>25.744700315457415</v>
      </c>
      <c r="U452" s="247">
        <v>2213.8337926397121</v>
      </c>
      <c r="V452" s="255">
        <v>625.6662073602879</v>
      </c>
      <c r="W452" s="247">
        <v>125.13324147205758</v>
      </c>
      <c r="X452" s="256">
        <v>0.22034379551339592</v>
      </c>
    </row>
    <row r="453" spans="1:24" x14ac:dyDescent="0.25">
      <c r="A453" s="254">
        <v>45812</v>
      </c>
      <c r="B453" s="131" t="s">
        <v>108</v>
      </c>
      <c r="C453" s="131" t="s">
        <v>135</v>
      </c>
      <c r="D453" s="131">
        <v>1</v>
      </c>
      <c r="E453" s="130">
        <v>100</v>
      </c>
      <c r="F453" s="131" t="s">
        <v>100</v>
      </c>
      <c r="G453" s="247">
        <v>569.9</v>
      </c>
      <c r="H453" s="247">
        <v>569.9</v>
      </c>
      <c r="I453" s="247">
        <v>51.290999999999997</v>
      </c>
      <c r="J453" s="247">
        <v>131.74444444444444</v>
      </c>
      <c r="K453" s="247">
        <v>97.686645636172443</v>
      </c>
      <c r="L453" s="247">
        <v>88.131868131868146</v>
      </c>
      <c r="M453" s="247">
        <v>15.5</v>
      </c>
      <c r="N453" s="249">
        <v>25.744700315457415</v>
      </c>
      <c r="O453" s="250">
        <v>51.290999999999997</v>
      </c>
      <c r="P453" s="249">
        <v>131.74444444444444</v>
      </c>
      <c r="Q453" s="249">
        <v>97.686645636172443</v>
      </c>
      <c r="R453" s="249">
        <v>88.131868131868146</v>
      </c>
      <c r="S453" s="250">
        <v>15.5</v>
      </c>
      <c r="T453" s="247">
        <v>25.744700315457415</v>
      </c>
      <c r="U453" s="247">
        <v>410.09865852794246</v>
      </c>
      <c r="V453" s="255">
        <v>159.80134147205752</v>
      </c>
      <c r="W453" s="247">
        <v>159.80134147205752</v>
      </c>
      <c r="X453" s="256">
        <v>0.2804024240604624</v>
      </c>
    </row>
    <row r="454" spans="1:24" x14ac:dyDescent="0.25">
      <c r="A454" s="254">
        <v>45812</v>
      </c>
      <c r="B454" s="131" t="s">
        <v>108</v>
      </c>
      <c r="C454" s="131" t="s">
        <v>135</v>
      </c>
      <c r="D454" s="131">
        <v>1</v>
      </c>
      <c r="E454" s="130">
        <v>140</v>
      </c>
      <c r="F454" s="131" t="s">
        <v>216</v>
      </c>
      <c r="G454" s="247">
        <v>576.9</v>
      </c>
      <c r="H454" s="247">
        <v>576.9</v>
      </c>
      <c r="I454" s="247">
        <v>74.420100000000005</v>
      </c>
      <c r="J454" s="247">
        <v>150.94444444444443</v>
      </c>
      <c r="K454" s="247">
        <v>97.686645636172443</v>
      </c>
      <c r="L454" s="247">
        <v>88.131868131868146</v>
      </c>
      <c r="M454" s="247">
        <v>15.5</v>
      </c>
      <c r="N454" s="249">
        <v>25.744700315457415</v>
      </c>
      <c r="O454" s="250">
        <v>74.420100000000005</v>
      </c>
      <c r="P454" s="249">
        <v>150.94444444444443</v>
      </c>
      <c r="Q454" s="249">
        <v>97.686645636172443</v>
      </c>
      <c r="R454" s="249">
        <v>88.131868131868146</v>
      </c>
      <c r="S454" s="250">
        <v>15.5</v>
      </c>
      <c r="T454" s="247">
        <v>25.744700315457415</v>
      </c>
      <c r="U454" s="247">
        <v>452.42775852794244</v>
      </c>
      <c r="V454" s="255">
        <v>124.47224147205753</v>
      </c>
      <c r="W454" s="247">
        <v>124.47224147205753</v>
      </c>
      <c r="X454" s="256">
        <v>0.21576051563885862</v>
      </c>
    </row>
    <row r="455" spans="1:24" x14ac:dyDescent="0.25">
      <c r="A455" s="254">
        <v>45812</v>
      </c>
      <c r="B455" s="131" t="s">
        <v>108</v>
      </c>
      <c r="C455" s="131" t="s">
        <v>18</v>
      </c>
      <c r="D455" s="131">
        <v>1</v>
      </c>
      <c r="E455" s="130">
        <v>140</v>
      </c>
      <c r="F455" s="131" t="s">
        <v>340</v>
      </c>
      <c r="G455" s="247">
        <v>589.9</v>
      </c>
      <c r="H455" s="247">
        <v>589.9</v>
      </c>
      <c r="I455" s="247">
        <v>86.715299999999985</v>
      </c>
      <c r="J455" s="247">
        <v>167.17777777777775</v>
      </c>
      <c r="K455" s="247">
        <v>97.686645636172443</v>
      </c>
      <c r="L455" s="247">
        <v>88.131868131868146</v>
      </c>
      <c r="M455" s="247">
        <v>15.5</v>
      </c>
      <c r="N455" s="249">
        <v>25.744700315457415</v>
      </c>
      <c r="O455" s="250">
        <v>86.715299999999985</v>
      </c>
      <c r="P455" s="249">
        <v>167.17777777777775</v>
      </c>
      <c r="Q455" s="249">
        <v>97.686645636172443</v>
      </c>
      <c r="R455" s="249">
        <v>88.131868131868146</v>
      </c>
      <c r="S455" s="250">
        <v>15.5</v>
      </c>
      <c r="T455" s="247">
        <v>25.744700315457415</v>
      </c>
      <c r="U455" s="247">
        <v>480.95629186127576</v>
      </c>
      <c r="V455" s="255">
        <v>108.94370813872422</v>
      </c>
      <c r="W455" s="247">
        <v>108.94370813872422</v>
      </c>
      <c r="X455" s="256">
        <v>0.18468165475288054</v>
      </c>
    </row>
    <row r="456" spans="1:24" x14ac:dyDescent="0.25">
      <c r="A456" s="254">
        <v>45812</v>
      </c>
      <c r="B456" s="131" t="s">
        <v>108</v>
      </c>
      <c r="C456" s="131" t="s">
        <v>7</v>
      </c>
      <c r="D456" s="131">
        <v>1</v>
      </c>
      <c r="E456" s="130">
        <v>140</v>
      </c>
      <c r="F456" s="131" t="s">
        <v>340</v>
      </c>
      <c r="G456" s="247">
        <v>590.9</v>
      </c>
      <c r="H456" s="247">
        <v>590.9</v>
      </c>
      <c r="I456" s="247">
        <v>86.862299999999991</v>
      </c>
      <c r="J456" s="247">
        <v>142.44444444444443</v>
      </c>
      <c r="K456" s="247">
        <v>97.686645636172443</v>
      </c>
      <c r="L456" s="247">
        <v>88.131868131868146</v>
      </c>
      <c r="M456" s="247">
        <v>15.5</v>
      </c>
      <c r="N456" s="249">
        <v>25.744700315457415</v>
      </c>
      <c r="O456" s="250">
        <v>86.862299999999991</v>
      </c>
      <c r="P456" s="249">
        <v>142.44444444444443</v>
      </c>
      <c r="Q456" s="249">
        <v>97.686645636172443</v>
      </c>
      <c r="R456" s="249">
        <v>88.131868131868146</v>
      </c>
      <c r="S456" s="250">
        <v>15.5</v>
      </c>
      <c r="T456" s="247">
        <v>25.744700315457415</v>
      </c>
      <c r="U456" s="247">
        <v>456.3699585279424</v>
      </c>
      <c r="V456" s="255">
        <v>134.53004147205758</v>
      </c>
      <c r="W456" s="247">
        <v>134.53004147205758</v>
      </c>
      <c r="X456" s="256">
        <v>0.227669726640815</v>
      </c>
    </row>
    <row r="457" spans="1:24" x14ac:dyDescent="0.25">
      <c r="A457" s="254">
        <v>45812</v>
      </c>
      <c r="B457" s="131" t="s">
        <v>108</v>
      </c>
      <c r="C457" s="131" t="s">
        <v>6</v>
      </c>
      <c r="D457" s="131">
        <v>1</v>
      </c>
      <c r="E457" s="130">
        <v>140</v>
      </c>
      <c r="F457" s="131" t="s">
        <v>340</v>
      </c>
      <c r="G457" s="247">
        <v>604.9</v>
      </c>
      <c r="H457" s="247">
        <v>604.9</v>
      </c>
      <c r="I457" s="247">
        <v>88.920299999999997</v>
      </c>
      <c r="J457" s="247">
        <v>143.94444444444443</v>
      </c>
      <c r="K457" s="247">
        <v>97.686645636172443</v>
      </c>
      <c r="L457" s="247">
        <v>88.131868131868146</v>
      </c>
      <c r="M457" s="247">
        <v>15.5</v>
      </c>
      <c r="N457" s="249">
        <v>25.744700315457415</v>
      </c>
      <c r="O457" s="250">
        <v>88.920299999999997</v>
      </c>
      <c r="P457" s="249">
        <v>143.94444444444443</v>
      </c>
      <c r="Q457" s="249">
        <v>97.686645636172443</v>
      </c>
      <c r="R457" s="249">
        <v>88.131868131868146</v>
      </c>
      <c r="S457" s="250">
        <v>15.5</v>
      </c>
      <c r="T457" s="247">
        <v>25.744700315457415</v>
      </c>
      <c r="U457" s="247">
        <v>459.92795852794245</v>
      </c>
      <c r="V457" s="255">
        <v>144.97204147205753</v>
      </c>
      <c r="W457" s="247">
        <v>144.97204147205753</v>
      </c>
      <c r="X457" s="256">
        <v>0.23966282273443137</v>
      </c>
    </row>
    <row r="458" spans="1:24" x14ac:dyDescent="0.25">
      <c r="A458" s="254">
        <v>45812</v>
      </c>
      <c r="B458" s="131" t="s">
        <v>108</v>
      </c>
      <c r="C458" s="131" t="s">
        <v>135</v>
      </c>
      <c r="D458" s="131">
        <v>2</v>
      </c>
      <c r="E458" s="130">
        <v>140</v>
      </c>
      <c r="F458" s="131" t="s">
        <v>340</v>
      </c>
      <c r="G458" s="247">
        <v>604.9</v>
      </c>
      <c r="H458" s="247">
        <v>1209.8</v>
      </c>
      <c r="I458" s="247">
        <v>177.84059999999999</v>
      </c>
      <c r="J458" s="247">
        <v>301.88888888888886</v>
      </c>
      <c r="K458" s="247">
        <v>195.37329127234489</v>
      </c>
      <c r="L458" s="247">
        <v>176.26373626373629</v>
      </c>
      <c r="M458" s="247">
        <v>31</v>
      </c>
      <c r="N458" s="249">
        <v>51.48940063091483</v>
      </c>
      <c r="O458" s="250">
        <v>88.920299999999997</v>
      </c>
      <c r="P458" s="249">
        <v>150.94444444444443</v>
      </c>
      <c r="Q458" s="249">
        <v>97.686645636172443</v>
      </c>
      <c r="R458" s="249">
        <v>88.131868131868146</v>
      </c>
      <c r="S458" s="250">
        <v>15.5</v>
      </c>
      <c r="T458" s="247">
        <v>25.744700315457415</v>
      </c>
      <c r="U458" s="247">
        <v>933.8559170558849</v>
      </c>
      <c r="V458" s="255">
        <v>275.94408294411505</v>
      </c>
      <c r="W458" s="247">
        <v>137.97204147205753</v>
      </c>
      <c r="X458" s="256">
        <v>0.22809066204671438</v>
      </c>
    </row>
    <row r="459" spans="1:24" x14ac:dyDescent="0.25">
      <c r="A459" s="254">
        <v>45812</v>
      </c>
      <c r="B459" s="131" t="s">
        <v>108</v>
      </c>
      <c r="C459" s="131" t="s">
        <v>7</v>
      </c>
      <c r="D459" s="131">
        <v>7</v>
      </c>
      <c r="E459" s="130">
        <v>140</v>
      </c>
      <c r="F459" s="131" t="s">
        <v>340</v>
      </c>
      <c r="G459" s="247">
        <v>604.9</v>
      </c>
      <c r="H459" s="247">
        <v>4234.3</v>
      </c>
      <c r="I459" s="247">
        <v>622.44209999999998</v>
      </c>
      <c r="J459" s="247">
        <v>997.11111111111097</v>
      </c>
      <c r="K459" s="247">
        <v>683.8065194532071</v>
      </c>
      <c r="L459" s="247">
        <v>616.92307692307702</v>
      </c>
      <c r="M459" s="247">
        <v>108.5</v>
      </c>
      <c r="N459" s="249">
        <v>180.21290220820191</v>
      </c>
      <c r="O459" s="250">
        <v>88.920299999999997</v>
      </c>
      <c r="P459" s="249">
        <v>142.44444444444443</v>
      </c>
      <c r="Q459" s="249">
        <v>97.686645636172443</v>
      </c>
      <c r="R459" s="249">
        <v>88.131868131868146</v>
      </c>
      <c r="S459" s="250">
        <v>15.5</v>
      </c>
      <c r="T459" s="247">
        <v>25.744700315457415</v>
      </c>
      <c r="U459" s="247">
        <v>3208.9957096955973</v>
      </c>
      <c r="V459" s="255">
        <v>1025.3042903044029</v>
      </c>
      <c r="W459" s="247">
        <v>146.47204147205755</v>
      </c>
      <c r="X459" s="256">
        <v>0.24214257145322785</v>
      </c>
    </row>
    <row r="460" spans="1:24" x14ac:dyDescent="0.25">
      <c r="A460" s="254">
        <v>45812</v>
      </c>
      <c r="B460" s="131" t="s">
        <v>108</v>
      </c>
      <c r="C460" s="131" t="s">
        <v>5</v>
      </c>
      <c r="D460" s="131">
        <v>4</v>
      </c>
      <c r="E460" s="130">
        <v>100</v>
      </c>
      <c r="F460" s="131" t="s">
        <v>340</v>
      </c>
      <c r="G460" s="247">
        <v>609.9</v>
      </c>
      <c r="H460" s="247">
        <v>2439.6</v>
      </c>
      <c r="I460" s="247">
        <v>358.62119999999999</v>
      </c>
      <c r="J460" s="247">
        <v>654.28888888888889</v>
      </c>
      <c r="K460" s="247">
        <v>390.74658254468977</v>
      </c>
      <c r="L460" s="247">
        <v>352.52747252747258</v>
      </c>
      <c r="M460" s="247">
        <v>62</v>
      </c>
      <c r="N460" s="249">
        <v>102.97880126182966</v>
      </c>
      <c r="O460" s="250">
        <v>89.655299999999997</v>
      </c>
      <c r="P460" s="249">
        <v>163.57222222222222</v>
      </c>
      <c r="Q460" s="249">
        <v>97.686645636172443</v>
      </c>
      <c r="R460" s="249">
        <v>88.131868131868146</v>
      </c>
      <c r="S460" s="250">
        <v>15.5</v>
      </c>
      <c r="T460" s="247">
        <v>25.744700315457415</v>
      </c>
      <c r="U460" s="247">
        <v>1921.1629452228808</v>
      </c>
      <c r="V460" s="255">
        <v>518.4370547771191</v>
      </c>
      <c r="W460" s="247">
        <v>129.60926369427978</v>
      </c>
      <c r="X460" s="256">
        <v>0.21250904032510212</v>
      </c>
    </row>
    <row r="461" spans="1:24" x14ac:dyDescent="0.25">
      <c r="A461" s="254">
        <v>45812</v>
      </c>
      <c r="B461" s="131" t="s">
        <v>108</v>
      </c>
      <c r="C461" s="131" t="s">
        <v>7</v>
      </c>
      <c r="D461" s="131">
        <v>2</v>
      </c>
      <c r="E461" s="130">
        <v>200</v>
      </c>
      <c r="F461" s="131" t="s">
        <v>100</v>
      </c>
      <c r="G461" s="247">
        <v>629.79999999999995</v>
      </c>
      <c r="H461" s="247">
        <v>1259.5999999999999</v>
      </c>
      <c r="I461" s="247">
        <v>113.36399999999999</v>
      </c>
      <c r="J461" s="247">
        <v>369.57777777777773</v>
      </c>
      <c r="K461" s="247">
        <v>195.37329127234489</v>
      </c>
      <c r="L461" s="247">
        <v>176.26373626373629</v>
      </c>
      <c r="M461" s="247">
        <v>31</v>
      </c>
      <c r="N461" s="249">
        <v>51.48940063091483</v>
      </c>
      <c r="O461" s="250">
        <v>56.681999999999995</v>
      </c>
      <c r="P461" s="249">
        <v>184.78888888888886</v>
      </c>
      <c r="Q461" s="249">
        <v>97.686645636172443</v>
      </c>
      <c r="R461" s="249">
        <v>88.131868131868146</v>
      </c>
      <c r="S461" s="250">
        <v>15.5</v>
      </c>
      <c r="T461" s="247">
        <v>25.744700315457415</v>
      </c>
      <c r="U461" s="247">
        <v>937.06820594477369</v>
      </c>
      <c r="V461" s="255">
        <v>322.53179405522621</v>
      </c>
      <c r="W461" s="247">
        <v>161.26589702761311</v>
      </c>
      <c r="X461" s="256">
        <v>0.25605890287013833</v>
      </c>
    </row>
    <row r="462" spans="1:24" x14ac:dyDescent="0.25">
      <c r="A462" s="254">
        <v>45812</v>
      </c>
      <c r="B462" s="131" t="s">
        <v>108</v>
      </c>
      <c r="C462" s="131" t="s">
        <v>6</v>
      </c>
      <c r="D462" s="131">
        <v>2</v>
      </c>
      <c r="E462" s="130">
        <v>200</v>
      </c>
      <c r="F462" s="131" t="s">
        <v>100</v>
      </c>
      <c r="G462" s="247">
        <v>629.91</v>
      </c>
      <c r="H462" s="247">
        <v>1259.82</v>
      </c>
      <c r="I462" s="247">
        <v>113.38379999999999</v>
      </c>
      <c r="J462" s="247">
        <v>372.57777777777773</v>
      </c>
      <c r="K462" s="247">
        <v>195.37329127234489</v>
      </c>
      <c r="L462" s="247">
        <v>176.26373626373629</v>
      </c>
      <c r="M462" s="247">
        <v>31</v>
      </c>
      <c r="N462" s="249">
        <v>51.48940063091483</v>
      </c>
      <c r="O462" s="250">
        <v>56.691899999999997</v>
      </c>
      <c r="P462" s="249">
        <v>186.28888888888886</v>
      </c>
      <c r="Q462" s="249">
        <v>97.686645636172443</v>
      </c>
      <c r="R462" s="249">
        <v>88.131868131868146</v>
      </c>
      <c r="S462" s="250">
        <v>15.5</v>
      </c>
      <c r="T462" s="247">
        <v>25.744700315457415</v>
      </c>
      <c r="U462" s="247">
        <v>940.08800594477373</v>
      </c>
      <c r="V462" s="255">
        <v>319.73199405522621</v>
      </c>
      <c r="W462" s="247">
        <v>159.8659970276131</v>
      </c>
      <c r="X462" s="256">
        <v>0.25379180680988256</v>
      </c>
    </row>
    <row r="463" spans="1:24" x14ac:dyDescent="0.25">
      <c r="A463" s="254">
        <v>45812</v>
      </c>
      <c r="B463" s="131" t="s">
        <v>108</v>
      </c>
      <c r="C463" s="131" t="s">
        <v>6</v>
      </c>
      <c r="D463" s="131">
        <v>1</v>
      </c>
      <c r="E463" s="130">
        <v>200</v>
      </c>
      <c r="F463" s="131" t="s">
        <v>216</v>
      </c>
      <c r="G463" s="247">
        <v>637.9</v>
      </c>
      <c r="H463" s="247">
        <v>637.9</v>
      </c>
      <c r="I463" s="247">
        <v>82.289100000000005</v>
      </c>
      <c r="J463" s="247">
        <v>186.28888888888886</v>
      </c>
      <c r="K463" s="247">
        <v>97.686645636172443</v>
      </c>
      <c r="L463" s="247">
        <v>88.131868131868146</v>
      </c>
      <c r="M463" s="247">
        <v>15.5</v>
      </c>
      <c r="N463" s="249">
        <v>25.744700315457415</v>
      </c>
      <c r="O463" s="250">
        <v>82.289100000000005</v>
      </c>
      <c r="P463" s="249">
        <v>186.28888888888886</v>
      </c>
      <c r="Q463" s="249">
        <v>97.686645636172443</v>
      </c>
      <c r="R463" s="249">
        <v>88.131868131868146</v>
      </c>
      <c r="S463" s="250">
        <v>15.5</v>
      </c>
      <c r="T463" s="247">
        <v>25.744700315457415</v>
      </c>
      <c r="U463" s="247">
        <v>495.64120297238685</v>
      </c>
      <c r="V463" s="255">
        <v>142.25879702761313</v>
      </c>
      <c r="W463" s="247">
        <v>142.25879702761313</v>
      </c>
      <c r="X463" s="256">
        <v>0.22301112561155845</v>
      </c>
    </row>
    <row r="464" spans="1:24" x14ac:dyDescent="0.25">
      <c r="A464" s="254">
        <v>45812</v>
      </c>
      <c r="B464" s="131" t="s">
        <v>108</v>
      </c>
      <c r="C464" s="131" t="s">
        <v>7</v>
      </c>
      <c r="D464" s="131">
        <v>4</v>
      </c>
      <c r="E464" s="130">
        <v>200</v>
      </c>
      <c r="F464" s="131" t="s">
        <v>216</v>
      </c>
      <c r="G464" s="247">
        <v>637.9</v>
      </c>
      <c r="H464" s="247">
        <v>2551.6</v>
      </c>
      <c r="I464" s="247">
        <v>329.15640000000002</v>
      </c>
      <c r="J464" s="247">
        <v>739.15555555555545</v>
      </c>
      <c r="K464" s="247">
        <v>390.74658254468977</v>
      </c>
      <c r="L464" s="247">
        <v>352.52747252747258</v>
      </c>
      <c r="M464" s="247">
        <v>62</v>
      </c>
      <c r="N464" s="249">
        <v>102.97880126182966</v>
      </c>
      <c r="O464" s="250">
        <v>82.289100000000005</v>
      </c>
      <c r="P464" s="249">
        <v>184.78888888888886</v>
      </c>
      <c r="Q464" s="249">
        <v>97.686645636172443</v>
      </c>
      <c r="R464" s="249">
        <v>88.131868131868146</v>
      </c>
      <c r="S464" s="250">
        <v>15.5</v>
      </c>
      <c r="T464" s="247">
        <v>25.744700315457415</v>
      </c>
      <c r="U464" s="247">
        <v>1976.5648118895474</v>
      </c>
      <c r="V464" s="255">
        <v>575.03518811045251</v>
      </c>
      <c r="W464" s="247">
        <v>143.75879702761313</v>
      </c>
      <c r="X464" s="256">
        <v>0.22536259135854073</v>
      </c>
    </row>
    <row r="465" spans="1:24" x14ac:dyDescent="0.25">
      <c r="A465" s="254">
        <v>45812</v>
      </c>
      <c r="B465" s="131" t="s">
        <v>108</v>
      </c>
      <c r="C465" s="131" t="s">
        <v>7</v>
      </c>
      <c r="D465" s="131">
        <v>1</v>
      </c>
      <c r="E465" s="130">
        <v>140</v>
      </c>
      <c r="F465" s="131" t="s">
        <v>340</v>
      </c>
      <c r="G465" s="247">
        <v>638.9</v>
      </c>
      <c r="H465" s="247">
        <v>638.9</v>
      </c>
      <c r="I465" s="247">
        <v>93.918299999999988</v>
      </c>
      <c r="J465" s="247">
        <v>142.44444444444443</v>
      </c>
      <c r="K465" s="247">
        <v>97.686645636172443</v>
      </c>
      <c r="L465" s="247">
        <v>88.131868131868146</v>
      </c>
      <c r="M465" s="247">
        <v>15.5</v>
      </c>
      <c r="N465" s="249">
        <v>25.744700315457415</v>
      </c>
      <c r="O465" s="250">
        <v>93.918299999999988</v>
      </c>
      <c r="P465" s="249">
        <v>142.44444444444443</v>
      </c>
      <c r="Q465" s="249">
        <v>97.686645636172443</v>
      </c>
      <c r="R465" s="249">
        <v>88.131868131868146</v>
      </c>
      <c r="S465" s="250">
        <v>15.5</v>
      </c>
      <c r="T465" s="247">
        <v>25.744700315457415</v>
      </c>
      <c r="U465" s="247">
        <v>463.42595852794238</v>
      </c>
      <c r="V465" s="255">
        <v>175.47404147205759</v>
      </c>
      <c r="W465" s="247">
        <v>175.47404147205759</v>
      </c>
      <c r="X465" s="256">
        <v>0.27465024490852652</v>
      </c>
    </row>
    <row r="466" spans="1:24" x14ac:dyDescent="0.25">
      <c r="A466" s="254">
        <v>45812</v>
      </c>
      <c r="B466" s="131" t="s">
        <v>108</v>
      </c>
      <c r="C466" s="131" t="s">
        <v>7</v>
      </c>
      <c r="D466" s="131">
        <v>2</v>
      </c>
      <c r="E466" s="130">
        <v>200</v>
      </c>
      <c r="F466" s="131" t="s">
        <v>100</v>
      </c>
      <c r="G466" s="247">
        <v>641.79999999999995</v>
      </c>
      <c r="H466" s="247">
        <v>1283.5999999999999</v>
      </c>
      <c r="I466" s="247">
        <v>115.52399999999999</v>
      </c>
      <c r="J466" s="247">
        <v>369.57777777777773</v>
      </c>
      <c r="K466" s="247">
        <v>195.37329127234489</v>
      </c>
      <c r="L466" s="247">
        <v>176.26373626373629</v>
      </c>
      <c r="M466" s="247">
        <v>31</v>
      </c>
      <c r="N466" s="249">
        <v>51.48940063091483</v>
      </c>
      <c r="O466" s="250">
        <v>57.761999999999993</v>
      </c>
      <c r="P466" s="249">
        <v>184.78888888888886</v>
      </c>
      <c r="Q466" s="249">
        <v>97.686645636172443</v>
      </c>
      <c r="R466" s="249">
        <v>88.131868131868146</v>
      </c>
      <c r="S466" s="250">
        <v>15.5</v>
      </c>
      <c r="T466" s="247">
        <v>25.744700315457415</v>
      </c>
      <c r="U466" s="247">
        <v>939.22820594477366</v>
      </c>
      <c r="V466" s="255">
        <v>344.37179405522625</v>
      </c>
      <c r="W466" s="247">
        <v>172.18589702761312</v>
      </c>
      <c r="X466" s="256">
        <v>0.26828590998381602</v>
      </c>
    </row>
    <row r="467" spans="1:24" x14ac:dyDescent="0.25">
      <c r="A467" s="254">
        <v>45812</v>
      </c>
      <c r="B467" s="131" t="s">
        <v>108</v>
      </c>
      <c r="C467" s="131" t="s">
        <v>7</v>
      </c>
      <c r="D467" s="131">
        <v>1</v>
      </c>
      <c r="E467" s="130">
        <v>200</v>
      </c>
      <c r="F467" s="131" t="s">
        <v>340</v>
      </c>
      <c r="G467" s="247">
        <v>644.9</v>
      </c>
      <c r="H467" s="247">
        <v>644.9</v>
      </c>
      <c r="I467" s="247">
        <v>94.800299999999993</v>
      </c>
      <c r="J467" s="247">
        <v>184.78888888888886</v>
      </c>
      <c r="K467" s="247">
        <v>97.686645636172443</v>
      </c>
      <c r="L467" s="247">
        <v>88.131868131868146</v>
      </c>
      <c r="M467" s="247">
        <v>15.5</v>
      </c>
      <c r="N467" s="249">
        <v>25.744700315457415</v>
      </c>
      <c r="O467" s="250">
        <v>94.800299999999993</v>
      </c>
      <c r="P467" s="249">
        <v>184.78888888888886</v>
      </c>
      <c r="Q467" s="249">
        <v>97.686645636172443</v>
      </c>
      <c r="R467" s="249">
        <v>88.131868131868146</v>
      </c>
      <c r="S467" s="250">
        <v>15.5</v>
      </c>
      <c r="T467" s="247">
        <v>25.744700315457415</v>
      </c>
      <c r="U467" s="247">
        <v>506.65240297238688</v>
      </c>
      <c r="V467" s="255">
        <v>138.2475970276131</v>
      </c>
      <c r="W467" s="247">
        <v>138.2475970276131</v>
      </c>
      <c r="X467" s="256">
        <v>0.2143705954839713</v>
      </c>
    </row>
    <row r="468" spans="1:24" x14ac:dyDescent="0.25">
      <c r="A468" s="254">
        <v>45812</v>
      </c>
      <c r="B468" s="131" t="s">
        <v>108</v>
      </c>
      <c r="C468" s="131" t="s">
        <v>7</v>
      </c>
      <c r="D468" s="131">
        <v>1</v>
      </c>
      <c r="E468" s="130">
        <v>200</v>
      </c>
      <c r="F468" s="131" t="s">
        <v>100</v>
      </c>
      <c r="G468" s="247">
        <v>647.79999999999995</v>
      </c>
      <c r="H468" s="247">
        <v>647.79999999999995</v>
      </c>
      <c r="I468" s="247">
        <v>58.301999999999992</v>
      </c>
      <c r="J468" s="247">
        <v>184.78888888888886</v>
      </c>
      <c r="K468" s="247">
        <v>97.686645636172443</v>
      </c>
      <c r="L468" s="247">
        <v>88.131868131868146</v>
      </c>
      <c r="M468" s="247">
        <v>15.5</v>
      </c>
      <c r="N468" s="249">
        <v>25.744700315457415</v>
      </c>
      <c r="O468" s="250">
        <v>58.301999999999992</v>
      </c>
      <c r="P468" s="249">
        <v>184.78888888888886</v>
      </c>
      <c r="Q468" s="249">
        <v>97.686645636172443</v>
      </c>
      <c r="R468" s="249">
        <v>88.131868131868146</v>
      </c>
      <c r="S468" s="250">
        <v>15.5</v>
      </c>
      <c r="T468" s="247">
        <v>25.744700315457415</v>
      </c>
      <c r="U468" s="247">
        <v>470.15410297238685</v>
      </c>
      <c r="V468" s="255">
        <v>177.6458970276131</v>
      </c>
      <c r="W468" s="247">
        <v>177.6458970276131</v>
      </c>
      <c r="X468" s="256">
        <v>0.27422954156778806</v>
      </c>
    </row>
    <row r="469" spans="1:24" x14ac:dyDescent="0.25">
      <c r="A469" s="254">
        <v>45812</v>
      </c>
      <c r="B469" s="131" t="s">
        <v>108</v>
      </c>
      <c r="C469" s="131" t="s">
        <v>135</v>
      </c>
      <c r="D469" s="131">
        <v>1</v>
      </c>
      <c r="E469" s="130">
        <v>140</v>
      </c>
      <c r="F469" s="131" t="s">
        <v>340</v>
      </c>
      <c r="G469" s="247">
        <v>648.9</v>
      </c>
      <c r="H469" s="247">
        <v>648.9</v>
      </c>
      <c r="I469" s="247">
        <v>95.388299999999987</v>
      </c>
      <c r="J469" s="247">
        <v>150.94444444444443</v>
      </c>
      <c r="K469" s="247">
        <v>97.686645636172443</v>
      </c>
      <c r="L469" s="247">
        <v>88.131868131868146</v>
      </c>
      <c r="M469" s="247">
        <v>15.5</v>
      </c>
      <c r="N469" s="249">
        <v>25.744700315457415</v>
      </c>
      <c r="O469" s="250">
        <v>95.388299999999987</v>
      </c>
      <c r="P469" s="249">
        <v>150.94444444444443</v>
      </c>
      <c r="Q469" s="249">
        <v>97.686645636172443</v>
      </c>
      <c r="R469" s="249">
        <v>88.131868131868146</v>
      </c>
      <c r="S469" s="250">
        <v>15.5</v>
      </c>
      <c r="T469" s="247">
        <v>25.744700315457415</v>
      </c>
      <c r="U469" s="247">
        <v>473.39595852794241</v>
      </c>
      <c r="V469" s="255">
        <v>175.50404147205757</v>
      </c>
      <c r="W469" s="247">
        <v>175.50404147205757</v>
      </c>
      <c r="X469" s="256">
        <v>0.2704639258314957</v>
      </c>
    </row>
    <row r="470" spans="1:24" x14ac:dyDescent="0.25">
      <c r="A470" s="254">
        <v>45812</v>
      </c>
      <c r="B470" s="131" t="s">
        <v>108</v>
      </c>
      <c r="C470" s="131" t="s">
        <v>9</v>
      </c>
      <c r="D470" s="131">
        <v>1</v>
      </c>
      <c r="E470" s="130">
        <v>140</v>
      </c>
      <c r="F470" s="131" t="s">
        <v>340</v>
      </c>
      <c r="G470" s="247">
        <v>654.9</v>
      </c>
      <c r="H470" s="247">
        <v>654.9</v>
      </c>
      <c r="I470" s="247">
        <v>96.270299999999992</v>
      </c>
      <c r="J470" s="247">
        <v>143.94444444444443</v>
      </c>
      <c r="K470" s="247">
        <v>97.686645636172443</v>
      </c>
      <c r="L470" s="247">
        <v>88.131868131868146</v>
      </c>
      <c r="M470" s="247">
        <v>15.5</v>
      </c>
      <c r="N470" s="249">
        <v>25.744700315457415</v>
      </c>
      <c r="O470" s="250">
        <v>96.270299999999992</v>
      </c>
      <c r="P470" s="249">
        <v>143.94444444444443</v>
      </c>
      <c r="Q470" s="249">
        <v>97.686645636172443</v>
      </c>
      <c r="R470" s="249">
        <v>88.131868131868146</v>
      </c>
      <c r="S470" s="250">
        <v>15.5</v>
      </c>
      <c r="T470" s="247">
        <v>25.744700315457415</v>
      </c>
      <c r="U470" s="247">
        <v>467.27795852794242</v>
      </c>
      <c r="V470" s="255">
        <v>187.62204147205756</v>
      </c>
      <c r="W470" s="247">
        <v>187.62204147205756</v>
      </c>
      <c r="X470" s="256">
        <v>0.28648960371363197</v>
      </c>
    </row>
    <row r="471" spans="1:24" x14ac:dyDescent="0.25">
      <c r="A471" s="254">
        <v>45812</v>
      </c>
      <c r="B471" s="131" t="s">
        <v>108</v>
      </c>
      <c r="C471" s="131" t="s">
        <v>11</v>
      </c>
      <c r="D471" s="131">
        <v>1</v>
      </c>
      <c r="E471" s="130">
        <v>140</v>
      </c>
      <c r="F471" s="131" t="s">
        <v>340</v>
      </c>
      <c r="G471" s="247">
        <v>654.9</v>
      </c>
      <c r="H471" s="247">
        <v>654.9</v>
      </c>
      <c r="I471" s="247">
        <v>96.270299999999992</v>
      </c>
      <c r="J471" s="247">
        <v>145.44444444444443</v>
      </c>
      <c r="K471" s="247">
        <v>97.686645636172443</v>
      </c>
      <c r="L471" s="247">
        <v>88.131868131868146</v>
      </c>
      <c r="M471" s="247">
        <v>15.5</v>
      </c>
      <c r="N471" s="249">
        <v>25.744700315457415</v>
      </c>
      <c r="O471" s="250">
        <v>96.270299999999992</v>
      </c>
      <c r="P471" s="249">
        <v>145.44444444444443</v>
      </c>
      <c r="Q471" s="249">
        <v>97.686645636172443</v>
      </c>
      <c r="R471" s="249">
        <v>88.131868131868146</v>
      </c>
      <c r="S471" s="250">
        <v>15.5</v>
      </c>
      <c r="T471" s="247">
        <v>25.744700315457415</v>
      </c>
      <c r="U471" s="247">
        <v>468.77795852794242</v>
      </c>
      <c r="V471" s="255">
        <v>186.12204147205756</v>
      </c>
      <c r="W471" s="247">
        <v>186.12204147205756</v>
      </c>
      <c r="X471" s="256">
        <v>0.2841991776943924</v>
      </c>
    </row>
    <row r="472" spans="1:24" x14ac:dyDescent="0.25">
      <c r="A472" s="254">
        <v>45812</v>
      </c>
      <c r="B472" s="131" t="s">
        <v>108</v>
      </c>
      <c r="C472" s="131" t="s">
        <v>7</v>
      </c>
      <c r="D472" s="131">
        <v>1</v>
      </c>
      <c r="E472" s="130">
        <v>140</v>
      </c>
      <c r="F472" s="131" t="s">
        <v>340</v>
      </c>
      <c r="G472" s="247">
        <v>670.9</v>
      </c>
      <c r="H472" s="247">
        <v>670.9</v>
      </c>
      <c r="I472" s="247">
        <v>98.622299999999996</v>
      </c>
      <c r="J472" s="247">
        <v>142.44444444444443</v>
      </c>
      <c r="K472" s="247">
        <v>97.686645636172443</v>
      </c>
      <c r="L472" s="247">
        <v>88.131868131868146</v>
      </c>
      <c r="M472" s="247">
        <v>15.5</v>
      </c>
      <c r="N472" s="249">
        <v>25.744700315457415</v>
      </c>
      <c r="O472" s="250">
        <v>98.622299999999996</v>
      </c>
      <c r="P472" s="249">
        <v>142.44444444444443</v>
      </c>
      <c r="Q472" s="249">
        <v>97.686645636172443</v>
      </c>
      <c r="R472" s="249">
        <v>88.131868131868146</v>
      </c>
      <c r="S472" s="250">
        <v>15.5</v>
      </c>
      <c r="T472" s="247">
        <v>25.744700315457415</v>
      </c>
      <c r="U472" s="247">
        <v>468.12995852794245</v>
      </c>
      <c r="V472" s="255">
        <v>202.77004147205753</v>
      </c>
      <c r="W472" s="247">
        <v>202.77004147205753</v>
      </c>
      <c r="X472" s="256">
        <v>0.30223586446870998</v>
      </c>
    </row>
    <row r="473" spans="1:24" x14ac:dyDescent="0.25">
      <c r="A473" s="254">
        <v>45812</v>
      </c>
      <c r="B473" s="131" t="s">
        <v>108</v>
      </c>
      <c r="C473" s="131" t="s">
        <v>7</v>
      </c>
      <c r="D473" s="131">
        <v>2</v>
      </c>
      <c r="E473" s="130">
        <v>200</v>
      </c>
      <c r="F473" s="131" t="s">
        <v>340</v>
      </c>
      <c r="G473" s="247">
        <v>674.9</v>
      </c>
      <c r="H473" s="247">
        <v>1349.8</v>
      </c>
      <c r="I473" s="247">
        <v>198.42059999999998</v>
      </c>
      <c r="J473" s="247">
        <v>369.57777777777773</v>
      </c>
      <c r="K473" s="247">
        <v>195.37329127234489</v>
      </c>
      <c r="L473" s="247">
        <v>176.26373626373629</v>
      </c>
      <c r="M473" s="247">
        <v>31</v>
      </c>
      <c r="N473" s="249">
        <v>51.48940063091483</v>
      </c>
      <c r="O473" s="250">
        <v>99.210299999999989</v>
      </c>
      <c r="P473" s="249">
        <v>184.78888888888886</v>
      </c>
      <c r="Q473" s="249">
        <v>97.686645636172443</v>
      </c>
      <c r="R473" s="249">
        <v>88.131868131868146</v>
      </c>
      <c r="S473" s="250">
        <v>15.5</v>
      </c>
      <c r="T473" s="247">
        <v>25.744700315457415</v>
      </c>
      <c r="U473" s="247">
        <v>1022.1248059447737</v>
      </c>
      <c r="V473" s="255">
        <v>327.67519405522626</v>
      </c>
      <c r="W473" s="247">
        <v>163.83759702761313</v>
      </c>
      <c r="X473" s="256">
        <v>0.24275833016389559</v>
      </c>
    </row>
    <row r="474" spans="1:24" x14ac:dyDescent="0.25">
      <c r="A474" s="254">
        <v>45812</v>
      </c>
      <c r="B474" s="131" t="s">
        <v>108</v>
      </c>
      <c r="C474" s="131" t="s">
        <v>135</v>
      </c>
      <c r="D474" s="131">
        <v>1</v>
      </c>
      <c r="E474" s="130">
        <v>200</v>
      </c>
      <c r="F474" s="131" t="s">
        <v>340</v>
      </c>
      <c r="G474" s="247">
        <v>676.9</v>
      </c>
      <c r="H474" s="247">
        <v>676.9</v>
      </c>
      <c r="I474" s="247">
        <v>99.504299999999986</v>
      </c>
      <c r="J474" s="247">
        <v>193.28888888888886</v>
      </c>
      <c r="K474" s="247">
        <v>97.686645636172443</v>
      </c>
      <c r="L474" s="247">
        <v>88.131868131868146</v>
      </c>
      <c r="M474" s="247">
        <v>15.5</v>
      </c>
      <c r="N474" s="249">
        <v>25.744700315457415</v>
      </c>
      <c r="O474" s="250">
        <v>99.504299999999986</v>
      </c>
      <c r="P474" s="249">
        <v>193.28888888888886</v>
      </c>
      <c r="Q474" s="249">
        <v>97.686645636172443</v>
      </c>
      <c r="R474" s="249">
        <v>88.131868131868146</v>
      </c>
      <c r="S474" s="250">
        <v>15.5</v>
      </c>
      <c r="T474" s="247">
        <v>25.744700315457415</v>
      </c>
      <c r="U474" s="247">
        <v>519.85640297238683</v>
      </c>
      <c r="V474" s="255">
        <v>157.04359702761315</v>
      </c>
      <c r="W474" s="247">
        <v>157.04359702761315</v>
      </c>
      <c r="X474" s="256">
        <v>0.23200413211347784</v>
      </c>
    </row>
    <row r="475" spans="1:24" x14ac:dyDescent="0.25">
      <c r="A475" s="254">
        <v>45812</v>
      </c>
      <c r="B475" s="131" t="s">
        <v>108</v>
      </c>
      <c r="C475" s="131" t="s">
        <v>135</v>
      </c>
      <c r="D475" s="131">
        <v>3</v>
      </c>
      <c r="E475" s="130">
        <v>200</v>
      </c>
      <c r="F475" s="131" t="s">
        <v>340</v>
      </c>
      <c r="G475" s="247">
        <v>689.9</v>
      </c>
      <c r="H475" s="247">
        <v>2069.6999999999998</v>
      </c>
      <c r="I475" s="247">
        <v>304.24589999999995</v>
      </c>
      <c r="J475" s="247">
        <v>579.86666666666656</v>
      </c>
      <c r="K475" s="247">
        <v>293.05993690851733</v>
      </c>
      <c r="L475" s="247">
        <v>264.39560439560444</v>
      </c>
      <c r="M475" s="247">
        <v>46.5</v>
      </c>
      <c r="N475" s="249">
        <v>77.234100946372251</v>
      </c>
      <c r="O475" s="250">
        <v>101.41529999999999</v>
      </c>
      <c r="P475" s="249">
        <v>193.28888888888886</v>
      </c>
      <c r="Q475" s="249">
        <v>97.686645636172443</v>
      </c>
      <c r="R475" s="249">
        <v>88.131868131868146</v>
      </c>
      <c r="S475" s="250">
        <v>15.5</v>
      </c>
      <c r="T475" s="247">
        <v>25.744700315457415</v>
      </c>
      <c r="U475" s="247">
        <v>1565.3022089171607</v>
      </c>
      <c r="V475" s="255">
        <v>504.39779108283915</v>
      </c>
      <c r="W475" s="247">
        <v>168.13259702761306</v>
      </c>
      <c r="X475" s="256">
        <v>0.24370575014873619</v>
      </c>
    </row>
    <row r="476" spans="1:24" x14ac:dyDescent="0.25">
      <c r="A476" s="254">
        <v>45812</v>
      </c>
      <c r="B476" s="131" t="s">
        <v>108</v>
      </c>
      <c r="C476" s="131" t="s">
        <v>7</v>
      </c>
      <c r="D476" s="131">
        <v>1</v>
      </c>
      <c r="E476" s="130">
        <v>280</v>
      </c>
      <c r="F476" s="131" t="s">
        <v>100</v>
      </c>
      <c r="G476" s="247">
        <v>694.91</v>
      </c>
      <c r="H476" s="247">
        <v>694.91</v>
      </c>
      <c r="I476" s="247">
        <v>62.541899999999998</v>
      </c>
      <c r="J476" s="247">
        <v>223.18888888888884</v>
      </c>
      <c r="K476" s="247">
        <v>97.686645636172443</v>
      </c>
      <c r="L476" s="247">
        <v>88.131868131868146</v>
      </c>
      <c r="M476" s="247">
        <v>15.5</v>
      </c>
      <c r="N476" s="249">
        <v>25.744700315457415</v>
      </c>
      <c r="O476" s="250">
        <v>62.541899999999998</v>
      </c>
      <c r="P476" s="249">
        <v>223.18888888888884</v>
      </c>
      <c r="Q476" s="249">
        <v>97.686645636172443</v>
      </c>
      <c r="R476" s="249">
        <v>88.131868131868146</v>
      </c>
      <c r="S476" s="250">
        <v>15.5</v>
      </c>
      <c r="T476" s="247">
        <v>25.744700315457415</v>
      </c>
      <c r="U476" s="247">
        <v>512.79400297238681</v>
      </c>
      <c r="V476" s="255">
        <v>182.11599702761316</v>
      </c>
      <c r="W476" s="247">
        <v>182.11599702761316</v>
      </c>
      <c r="X476" s="256">
        <v>0.26207134309135455</v>
      </c>
    </row>
    <row r="477" spans="1:24" x14ac:dyDescent="0.25">
      <c r="A477" s="254">
        <v>45812</v>
      </c>
      <c r="B477" s="131" t="s">
        <v>108</v>
      </c>
      <c r="C477" s="131" t="s">
        <v>18</v>
      </c>
      <c r="D477" s="131">
        <v>1</v>
      </c>
      <c r="E477" s="130">
        <v>140</v>
      </c>
      <c r="F477" s="131" t="s">
        <v>340</v>
      </c>
      <c r="G477" s="247">
        <v>696.9</v>
      </c>
      <c r="H477" s="247">
        <v>696.9</v>
      </c>
      <c r="I477" s="247">
        <v>102.44429999999998</v>
      </c>
      <c r="J477" s="247">
        <v>167.17777777777775</v>
      </c>
      <c r="K477" s="247">
        <v>97.686645636172443</v>
      </c>
      <c r="L477" s="247">
        <v>88.131868131868146</v>
      </c>
      <c r="M477" s="247">
        <v>15.5</v>
      </c>
      <c r="N477" s="249">
        <v>25.744700315457415</v>
      </c>
      <c r="O477" s="250">
        <v>102.44429999999998</v>
      </c>
      <c r="P477" s="249">
        <v>167.17777777777775</v>
      </c>
      <c r="Q477" s="249">
        <v>97.686645636172443</v>
      </c>
      <c r="R477" s="249">
        <v>88.131868131868146</v>
      </c>
      <c r="S477" s="250">
        <v>15.5</v>
      </c>
      <c r="T477" s="247">
        <v>25.744700315457415</v>
      </c>
      <c r="U477" s="247">
        <v>496.68529186127574</v>
      </c>
      <c r="V477" s="255">
        <v>200.21470813872423</v>
      </c>
      <c r="W477" s="247">
        <v>200.21470813872423</v>
      </c>
      <c r="X477" s="256">
        <v>0.28729331057357477</v>
      </c>
    </row>
    <row r="478" spans="1:24" x14ac:dyDescent="0.25">
      <c r="A478" s="254">
        <v>45812</v>
      </c>
      <c r="B478" s="131" t="s">
        <v>108</v>
      </c>
      <c r="C478" s="131" t="s">
        <v>5</v>
      </c>
      <c r="D478" s="131">
        <v>1</v>
      </c>
      <c r="E478" s="130">
        <v>140</v>
      </c>
      <c r="F478" s="131" t="s">
        <v>340</v>
      </c>
      <c r="G478" s="247">
        <v>696.9</v>
      </c>
      <c r="H478" s="247">
        <v>696.9</v>
      </c>
      <c r="I478" s="247">
        <v>102.44429999999998</v>
      </c>
      <c r="J478" s="247">
        <v>182.77222222222221</v>
      </c>
      <c r="K478" s="247">
        <v>97.686645636172443</v>
      </c>
      <c r="L478" s="247">
        <v>88.131868131868146</v>
      </c>
      <c r="M478" s="247">
        <v>15.5</v>
      </c>
      <c r="N478" s="249">
        <v>25.744700315457415</v>
      </c>
      <c r="O478" s="250">
        <v>102.44429999999998</v>
      </c>
      <c r="P478" s="249">
        <v>182.77222222222221</v>
      </c>
      <c r="Q478" s="249">
        <v>97.686645636172443</v>
      </c>
      <c r="R478" s="249">
        <v>88.131868131868146</v>
      </c>
      <c r="S478" s="250">
        <v>15.5</v>
      </c>
      <c r="T478" s="247">
        <v>25.744700315457415</v>
      </c>
      <c r="U478" s="247">
        <v>512.27973630572023</v>
      </c>
      <c r="V478" s="255">
        <v>184.62026369427974</v>
      </c>
      <c r="W478" s="247">
        <v>184.62026369427974</v>
      </c>
      <c r="X478" s="256">
        <v>0.2649164352048784</v>
      </c>
    </row>
    <row r="479" spans="1:24" x14ac:dyDescent="0.25">
      <c r="A479" s="254">
        <v>45812</v>
      </c>
      <c r="B479" s="131" t="s">
        <v>108</v>
      </c>
      <c r="C479" s="131" t="s">
        <v>7</v>
      </c>
      <c r="D479" s="131">
        <v>2</v>
      </c>
      <c r="E479" s="130">
        <v>280</v>
      </c>
      <c r="F479" s="131" t="s">
        <v>216</v>
      </c>
      <c r="G479" s="247">
        <v>698.9</v>
      </c>
      <c r="H479" s="247">
        <v>1397.8</v>
      </c>
      <c r="I479" s="247">
        <v>180.31620000000001</v>
      </c>
      <c r="J479" s="247">
        <v>446.37777777777768</v>
      </c>
      <c r="K479" s="247">
        <v>195.37329127234489</v>
      </c>
      <c r="L479" s="247">
        <v>176.26373626373629</v>
      </c>
      <c r="M479" s="247">
        <v>31</v>
      </c>
      <c r="N479" s="249">
        <v>51.48940063091483</v>
      </c>
      <c r="O479" s="250">
        <v>90.158100000000005</v>
      </c>
      <c r="P479" s="249">
        <v>223.18888888888884</v>
      </c>
      <c r="Q479" s="249">
        <v>97.686645636172443</v>
      </c>
      <c r="R479" s="249">
        <v>88.131868131868146</v>
      </c>
      <c r="S479" s="250">
        <v>15.5</v>
      </c>
      <c r="T479" s="247">
        <v>25.744700315457415</v>
      </c>
      <c r="U479" s="247">
        <v>1080.8204059447737</v>
      </c>
      <c r="V479" s="255">
        <v>316.97959405522624</v>
      </c>
      <c r="W479" s="247">
        <v>158.48979702761312</v>
      </c>
      <c r="X479" s="256">
        <v>0.22677034915955518</v>
      </c>
    </row>
    <row r="480" spans="1:24" x14ac:dyDescent="0.25">
      <c r="A480" s="254">
        <v>45812</v>
      </c>
      <c r="B480" s="131" t="s">
        <v>108</v>
      </c>
      <c r="C480" s="131" t="s">
        <v>5</v>
      </c>
      <c r="D480" s="131">
        <v>1</v>
      </c>
      <c r="E480" s="130">
        <v>200</v>
      </c>
      <c r="F480" s="131" t="s">
        <v>216</v>
      </c>
      <c r="G480" s="247">
        <v>698.9</v>
      </c>
      <c r="H480" s="247">
        <v>698.9</v>
      </c>
      <c r="I480" s="247">
        <v>90.158100000000005</v>
      </c>
      <c r="J480" s="247">
        <v>235.74444444444444</v>
      </c>
      <c r="K480" s="247">
        <v>97.686645636172443</v>
      </c>
      <c r="L480" s="247">
        <v>88.131868131868146</v>
      </c>
      <c r="M480" s="247">
        <v>15.5</v>
      </c>
      <c r="N480" s="249">
        <v>25.744700315457415</v>
      </c>
      <c r="O480" s="250">
        <v>90.158100000000005</v>
      </c>
      <c r="P480" s="249">
        <v>235.74444444444444</v>
      </c>
      <c r="Q480" s="249">
        <v>97.686645636172443</v>
      </c>
      <c r="R480" s="249">
        <v>88.131868131868146</v>
      </c>
      <c r="S480" s="250">
        <v>15.5</v>
      </c>
      <c r="T480" s="247">
        <v>25.744700315457415</v>
      </c>
      <c r="U480" s="247">
        <v>552.96575852794251</v>
      </c>
      <c r="V480" s="255">
        <v>145.93424147205747</v>
      </c>
      <c r="W480" s="247">
        <v>145.93424147205747</v>
      </c>
      <c r="X480" s="256">
        <v>0.20880561092009939</v>
      </c>
    </row>
    <row r="481" spans="1:24" x14ac:dyDescent="0.25">
      <c r="A481" s="254">
        <v>45812</v>
      </c>
      <c r="B481" s="131" t="s">
        <v>108</v>
      </c>
      <c r="C481" s="131" t="s">
        <v>135</v>
      </c>
      <c r="D481" s="131">
        <v>1</v>
      </c>
      <c r="E481" s="130">
        <v>280</v>
      </c>
      <c r="F481" s="131" t="s">
        <v>216</v>
      </c>
      <c r="G481" s="247">
        <v>699.9</v>
      </c>
      <c r="H481" s="247">
        <v>699.9</v>
      </c>
      <c r="I481" s="247">
        <v>90.287099999999995</v>
      </c>
      <c r="J481" s="247">
        <v>231.68888888888884</v>
      </c>
      <c r="K481" s="247">
        <v>97.686645636172443</v>
      </c>
      <c r="L481" s="247">
        <v>88.131868131868146</v>
      </c>
      <c r="M481" s="247">
        <v>15.5</v>
      </c>
      <c r="N481" s="249">
        <v>25.744700315457415</v>
      </c>
      <c r="O481" s="250">
        <v>90.287099999999995</v>
      </c>
      <c r="P481" s="249">
        <v>231.68888888888884</v>
      </c>
      <c r="Q481" s="249">
        <v>97.686645636172443</v>
      </c>
      <c r="R481" s="249">
        <v>88.131868131868146</v>
      </c>
      <c r="S481" s="250">
        <v>15.5</v>
      </c>
      <c r="T481" s="247">
        <v>25.744700315457415</v>
      </c>
      <c r="U481" s="247">
        <v>549.03920297238676</v>
      </c>
      <c r="V481" s="255">
        <v>150.86079702761322</v>
      </c>
      <c r="W481" s="247">
        <v>150.86079702761322</v>
      </c>
      <c r="X481" s="256">
        <v>0.21554621664182486</v>
      </c>
    </row>
    <row r="482" spans="1:24" x14ac:dyDescent="0.25">
      <c r="A482" s="254">
        <v>45812</v>
      </c>
      <c r="B482" s="131" t="s">
        <v>108</v>
      </c>
      <c r="C482" s="131" t="s">
        <v>18</v>
      </c>
      <c r="D482" s="131">
        <v>1</v>
      </c>
      <c r="E482" s="130">
        <v>140</v>
      </c>
      <c r="F482" s="131" t="s">
        <v>340</v>
      </c>
      <c r="G482" s="247">
        <v>709.9</v>
      </c>
      <c r="H482" s="247">
        <v>709.9</v>
      </c>
      <c r="I482" s="247">
        <v>104.35529999999999</v>
      </c>
      <c r="J482" s="247">
        <v>167.17777777777775</v>
      </c>
      <c r="K482" s="247">
        <v>97.686645636172443</v>
      </c>
      <c r="L482" s="247">
        <v>88.131868131868146</v>
      </c>
      <c r="M482" s="247">
        <v>15.5</v>
      </c>
      <c r="N482" s="249">
        <v>25.744700315457415</v>
      </c>
      <c r="O482" s="250">
        <v>104.35529999999999</v>
      </c>
      <c r="P482" s="249">
        <v>167.17777777777775</v>
      </c>
      <c r="Q482" s="249">
        <v>97.686645636172443</v>
      </c>
      <c r="R482" s="249">
        <v>88.131868131868146</v>
      </c>
      <c r="S482" s="250">
        <v>15.5</v>
      </c>
      <c r="T482" s="247">
        <v>25.744700315457415</v>
      </c>
      <c r="U482" s="247">
        <v>498.59629186127574</v>
      </c>
      <c r="V482" s="255">
        <v>211.30370813872423</v>
      </c>
      <c r="W482" s="247">
        <v>211.30370813872423</v>
      </c>
      <c r="X482" s="256">
        <v>0.29765277946009894</v>
      </c>
    </row>
    <row r="483" spans="1:24" x14ac:dyDescent="0.25">
      <c r="A483" s="254">
        <v>45812</v>
      </c>
      <c r="B483" s="131" t="s">
        <v>108</v>
      </c>
      <c r="C483" s="131" t="s">
        <v>11</v>
      </c>
      <c r="D483" s="131">
        <v>1</v>
      </c>
      <c r="E483" s="130">
        <v>200</v>
      </c>
      <c r="F483" s="131" t="s">
        <v>340</v>
      </c>
      <c r="G483" s="247">
        <v>716.9</v>
      </c>
      <c r="H483" s="247">
        <v>716.9</v>
      </c>
      <c r="I483" s="247">
        <v>105.3843</v>
      </c>
      <c r="J483" s="247">
        <v>187.78888888888886</v>
      </c>
      <c r="K483" s="247">
        <v>97.686645636172443</v>
      </c>
      <c r="L483" s="247">
        <v>88.131868131868146</v>
      </c>
      <c r="M483" s="247">
        <v>15.5</v>
      </c>
      <c r="N483" s="249">
        <v>25.744700315457415</v>
      </c>
      <c r="O483" s="250">
        <v>105.3843</v>
      </c>
      <c r="P483" s="249">
        <v>187.78888888888886</v>
      </c>
      <c r="Q483" s="249">
        <v>97.686645636172443</v>
      </c>
      <c r="R483" s="249">
        <v>88.131868131868146</v>
      </c>
      <c r="S483" s="250">
        <v>15.5</v>
      </c>
      <c r="T483" s="247">
        <v>25.744700315457415</v>
      </c>
      <c r="U483" s="247">
        <v>520.23640297238683</v>
      </c>
      <c r="V483" s="255">
        <v>196.66359702761315</v>
      </c>
      <c r="W483" s="247">
        <v>196.66359702761315</v>
      </c>
      <c r="X483" s="256">
        <v>0.27432500631554352</v>
      </c>
    </row>
    <row r="484" spans="1:24" x14ac:dyDescent="0.25">
      <c r="A484" s="254">
        <v>45812</v>
      </c>
      <c r="B484" s="131" t="s">
        <v>108</v>
      </c>
      <c r="C484" s="131" t="s">
        <v>5</v>
      </c>
      <c r="D484" s="131">
        <v>3</v>
      </c>
      <c r="E484" s="130">
        <v>140</v>
      </c>
      <c r="F484" s="131" t="s">
        <v>340</v>
      </c>
      <c r="G484" s="247">
        <v>729.9</v>
      </c>
      <c r="H484" s="247">
        <v>2189.6999999999998</v>
      </c>
      <c r="I484" s="247">
        <v>321.88589999999994</v>
      </c>
      <c r="J484" s="247">
        <v>548.31666666666661</v>
      </c>
      <c r="K484" s="247">
        <v>293.05993690851733</v>
      </c>
      <c r="L484" s="247">
        <v>264.39560439560444</v>
      </c>
      <c r="M484" s="247">
        <v>46.5</v>
      </c>
      <c r="N484" s="249">
        <v>77.234100946372251</v>
      </c>
      <c r="O484" s="250">
        <v>107.29529999999998</v>
      </c>
      <c r="P484" s="249">
        <v>182.77222222222221</v>
      </c>
      <c r="Q484" s="249">
        <v>97.686645636172443</v>
      </c>
      <c r="R484" s="249">
        <v>88.131868131868146</v>
      </c>
      <c r="S484" s="250">
        <v>15.5</v>
      </c>
      <c r="T484" s="247">
        <v>25.744700315457415</v>
      </c>
      <c r="U484" s="247">
        <v>1551.3922089171606</v>
      </c>
      <c r="V484" s="255">
        <v>638.30779108283923</v>
      </c>
      <c r="W484" s="247">
        <v>212.76926369427974</v>
      </c>
      <c r="X484" s="256">
        <v>0.29150467693420984</v>
      </c>
    </row>
    <row r="485" spans="1:24" x14ac:dyDescent="0.25">
      <c r="A485" s="254">
        <v>45812</v>
      </c>
      <c r="B485" s="131" t="s">
        <v>108</v>
      </c>
      <c r="C485" s="131" t="s">
        <v>18</v>
      </c>
      <c r="D485" s="131">
        <v>1</v>
      </c>
      <c r="E485" s="130">
        <v>200</v>
      </c>
      <c r="F485" s="131" t="s">
        <v>340</v>
      </c>
      <c r="G485" s="247">
        <v>734.9</v>
      </c>
      <c r="H485" s="247">
        <v>734.9</v>
      </c>
      <c r="I485" s="247">
        <v>108.0303</v>
      </c>
      <c r="J485" s="247">
        <v>200.42222222222222</v>
      </c>
      <c r="K485" s="247">
        <v>97.686645636172443</v>
      </c>
      <c r="L485" s="247">
        <v>88.131868131868146</v>
      </c>
      <c r="M485" s="247">
        <v>15.5</v>
      </c>
      <c r="N485" s="249">
        <v>25.744700315457415</v>
      </c>
      <c r="O485" s="250">
        <v>108.0303</v>
      </c>
      <c r="P485" s="249">
        <v>200.42222222222222</v>
      </c>
      <c r="Q485" s="249">
        <v>97.686645636172443</v>
      </c>
      <c r="R485" s="249">
        <v>88.131868131868146</v>
      </c>
      <c r="S485" s="250">
        <v>15.5</v>
      </c>
      <c r="T485" s="247">
        <v>25.744700315457415</v>
      </c>
      <c r="U485" s="247">
        <v>535.51573630572022</v>
      </c>
      <c r="V485" s="255">
        <v>199.38426369427975</v>
      </c>
      <c r="W485" s="247">
        <v>199.38426369427975</v>
      </c>
      <c r="X485" s="256">
        <v>0.27130801972279189</v>
      </c>
    </row>
    <row r="486" spans="1:24" x14ac:dyDescent="0.25">
      <c r="A486" s="254">
        <v>45812</v>
      </c>
      <c r="B486" s="131" t="s">
        <v>108</v>
      </c>
      <c r="C486" s="131" t="s">
        <v>6</v>
      </c>
      <c r="D486" s="131">
        <v>1</v>
      </c>
      <c r="E486" s="130">
        <v>280</v>
      </c>
      <c r="F486" s="131" t="s">
        <v>340</v>
      </c>
      <c r="G486" s="247">
        <v>749.9</v>
      </c>
      <c r="H486" s="247">
        <v>749.9</v>
      </c>
      <c r="I486" s="247">
        <v>110.2353</v>
      </c>
      <c r="J486" s="247">
        <v>224.68888888888884</v>
      </c>
      <c r="K486" s="247">
        <v>97.686645636172443</v>
      </c>
      <c r="L486" s="247">
        <v>88.131868131868146</v>
      </c>
      <c r="M486" s="247">
        <v>15.5</v>
      </c>
      <c r="N486" s="249">
        <v>25.744700315457415</v>
      </c>
      <c r="O486" s="250">
        <v>110.2353</v>
      </c>
      <c r="P486" s="249">
        <v>224.68888888888884</v>
      </c>
      <c r="Q486" s="249">
        <v>97.686645636172443</v>
      </c>
      <c r="R486" s="249">
        <v>88.131868131868146</v>
      </c>
      <c r="S486" s="250">
        <v>15.5</v>
      </c>
      <c r="T486" s="247">
        <v>25.744700315457415</v>
      </c>
      <c r="U486" s="247">
        <v>561.9874029723868</v>
      </c>
      <c r="V486" s="255">
        <v>187.91259702761317</v>
      </c>
      <c r="W486" s="247">
        <v>187.91259702761317</v>
      </c>
      <c r="X486" s="256">
        <v>0.25058354050888543</v>
      </c>
    </row>
    <row r="487" spans="1:24" x14ac:dyDescent="0.25">
      <c r="A487" s="254">
        <v>45812</v>
      </c>
      <c r="B487" s="131" t="s">
        <v>108</v>
      </c>
      <c r="C487" s="131" t="s">
        <v>11</v>
      </c>
      <c r="D487" s="131">
        <v>1</v>
      </c>
      <c r="E487" s="130">
        <v>200</v>
      </c>
      <c r="F487" s="131" t="s">
        <v>340</v>
      </c>
      <c r="G487" s="247">
        <v>760.9</v>
      </c>
      <c r="H487" s="247">
        <v>760.9</v>
      </c>
      <c r="I487" s="247">
        <v>111.85229999999999</v>
      </c>
      <c r="J487" s="247">
        <v>187.78888888888886</v>
      </c>
      <c r="K487" s="247">
        <v>97.686645636172443</v>
      </c>
      <c r="L487" s="247">
        <v>88.131868131868146</v>
      </c>
      <c r="M487" s="247">
        <v>15.5</v>
      </c>
      <c r="N487" s="249">
        <v>25.744700315457415</v>
      </c>
      <c r="O487" s="250">
        <v>111.85229999999999</v>
      </c>
      <c r="P487" s="249">
        <v>187.78888888888886</v>
      </c>
      <c r="Q487" s="249">
        <v>97.686645636172443</v>
      </c>
      <c r="R487" s="249">
        <v>88.131868131868146</v>
      </c>
      <c r="S487" s="250">
        <v>15.5</v>
      </c>
      <c r="T487" s="247">
        <v>25.744700315457415</v>
      </c>
      <c r="U487" s="247">
        <v>526.7044029723869</v>
      </c>
      <c r="V487" s="255">
        <v>234.19559702761308</v>
      </c>
      <c r="W487" s="247">
        <v>234.19559702761308</v>
      </c>
      <c r="X487" s="256">
        <v>0.3077876160173651</v>
      </c>
    </row>
    <row r="488" spans="1:24" x14ac:dyDescent="0.25">
      <c r="A488" s="254">
        <v>45812</v>
      </c>
      <c r="B488" s="131" t="s">
        <v>108</v>
      </c>
      <c r="C488" s="131" t="s">
        <v>5</v>
      </c>
      <c r="D488" s="131">
        <v>1</v>
      </c>
      <c r="E488" s="130">
        <v>280</v>
      </c>
      <c r="F488" s="131" t="s">
        <v>340</v>
      </c>
      <c r="G488" s="247">
        <v>799.9</v>
      </c>
      <c r="H488" s="247">
        <v>799.9</v>
      </c>
      <c r="I488" s="247">
        <v>117.58529999999999</v>
      </c>
      <c r="J488" s="247">
        <v>274.14444444444439</v>
      </c>
      <c r="K488" s="247">
        <v>97.686645636172443</v>
      </c>
      <c r="L488" s="247">
        <v>88.131868131868146</v>
      </c>
      <c r="M488" s="247">
        <v>15.5</v>
      </c>
      <c r="N488" s="249">
        <v>25.744700315457415</v>
      </c>
      <c r="O488" s="250">
        <v>117.58529999999999</v>
      </c>
      <c r="P488" s="249">
        <v>274.14444444444439</v>
      </c>
      <c r="Q488" s="249">
        <v>97.686645636172443</v>
      </c>
      <c r="R488" s="249">
        <v>88.131868131868146</v>
      </c>
      <c r="S488" s="250">
        <v>15.5</v>
      </c>
      <c r="T488" s="247">
        <v>25.744700315457415</v>
      </c>
      <c r="U488" s="247">
        <v>618.79295852794235</v>
      </c>
      <c r="V488" s="255">
        <v>181.10704147205763</v>
      </c>
      <c r="W488" s="247">
        <v>181.10704147205763</v>
      </c>
      <c r="X488" s="256">
        <v>0.22641210335299117</v>
      </c>
    </row>
    <row r="489" spans="1:24" x14ac:dyDescent="0.25">
      <c r="A489" s="254">
        <v>45812</v>
      </c>
      <c r="B489" s="131" t="s">
        <v>108</v>
      </c>
      <c r="C489" s="131" t="s">
        <v>5</v>
      </c>
      <c r="D489" s="131">
        <v>1</v>
      </c>
      <c r="E489" s="130">
        <v>280</v>
      </c>
      <c r="F489" s="131" t="s">
        <v>100</v>
      </c>
      <c r="G489" s="247">
        <v>827.8</v>
      </c>
      <c r="H489" s="247">
        <v>827.8</v>
      </c>
      <c r="I489" s="247">
        <v>74.501999999999995</v>
      </c>
      <c r="J489" s="247">
        <v>274.14444444444439</v>
      </c>
      <c r="K489" s="247">
        <v>97.686645636172443</v>
      </c>
      <c r="L489" s="247">
        <v>88.131868131868146</v>
      </c>
      <c r="M489" s="247">
        <v>15.5</v>
      </c>
      <c r="N489" s="249">
        <v>25.744700315457415</v>
      </c>
      <c r="O489" s="250">
        <v>74.501999999999995</v>
      </c>
      <c r="P489" s="249">
        <v>274.14444444444439</v>
      </c>
      <c r="Q489" s="249">
        <v>97.686645636172443</v>
      </c>
      <c r="R489" s="249">
        <v>88.131868131868146</v>
      </c>
      <c r="S489" s="250">
        <v>15.5</v>
      </c>
      <c r="T489" s="247">
        <v>25.744700315457415</v>
      </c>
      <c r="U489" s="247">
        <v>575.70965852794245</v>
      </c>
      <c r="V489" s="255">
        <v>252.0903414720575</v>
      </c>
      <c r="W489" s="247">
        <v>252.0903414720575</v>
      </c>
      <c r="X489" s="256">
        <v>0.3045304922349088</v>
      </c>
    </row>
    <row r="490" spans="1:24" x14ac:dyDescent="0.25">
      <c r="A490" s="254">
        <v>45812</v>
      </c>
      <c r="B490" s="131" t="s">
        <v>108</v>
      </c>
      <c r="C490" s="131" t="s">
        <v>5</v>
      </c>
      <c r="D490" s="131">
        <v>1</v>
      </c>
      <c r="E490" s="130">
        <v>280</v>
      </c>
      <c r="F490" s="131" t="s">
        <v>100</v>
      </c>
      <c r="G490" s="247">
        <v>869.8</v>
      </c>
      <c r="H490" s="247">
        <v>869.8</v>
      </c>
      <c r="I490" s="247">
        <v>78.281999999999996</v>
      </c>
      <c r="J490" s="247">
        <v>274.14444444444439</v>
      </c>
      <c r="K490" s="247">
        <v>97.686645636172443</v>
      </c>
      <c r="L490" s="247">
        <v>88.131868131868146</v>
      </c>
      <c r="M490" s="247">
        <v>15.5</v>
      </c>
      <c r="N490" s="249">
        <v>25.744700315457415</v>
      </c>
      <c r="O490" s="250">
        <v>78.281999999999996</v>
      </c>
      <c r="P490" s="249">
        <v>274.14444444444439</v>
      </c>
      <c r="Q490" s="249">
        <v>97.686645636172443</v>
      </c>
      <c r="R490" s="249">
        <v>88.131868131868146</v>
      </c>
      <c r="S490" s="250">
        <v>15.5</v>
      </c>
      <c r="T490" s="247">
        <v>25.744700315457415</v>
      </c>
      <c r="U490" s="247">
        <v>579.48965852794242</v>
      </c>
      <c r="V490" s="255">
        <v>290.31034147205753</v>
      </c>
      <c r="W490" s="247">
        <v>290.31034147205753</v>
      </c>
      <c r="X490" s="256">
        <v>0.33376677566343704</v>
      </c>
    </row>
    <row r="491" spans="1:24" x14ac:dyDescent="0.25">
      <c r="X491" s="256"/>
    </row>
    <row r="492" spans="1:24" x14ac:dyDescent="0.25">
      <c r="X492" s="256"/>
    </row>
    <row r="493" spans="1:24" x14ac:dyDescent="0.25">
      <c r="X493" s="256"/>
    </row>
    <row r="494" spans="1:24" x14ac:dyDescent="0.25">
      <c r="X494" s="256"/>
    </row>
    <row r="495" spans="1:24" x14ac:dyDescent="0.25">
      <c r="X495" s="256"/>
    </row>
    <row r="496" spans="1:24" x14ac:dyDescent="0.25">
      <c r="X496" s="256"/>
    </row>
    <row r="497" spans="24:24" x14ac:dyDescent="0.25">
      <c r="X497" s="256"/>
    </row>
    <row r="498" spans="24:24" x14ac:dyDescent="0.25">
      <c r="X498" s="256"/>
    </row>
    <row r="499" spans="24:24" x14ac:dyDescent="0.25">
      <c r="X499" s="256"/>
    </row>
    <row r="500" spans="24:24" x14ac:dyDescent="0.25">
      <c r="X500" s="256"/>
    </row>
    <row r="501" spans="24:24" x14ac:dyDescent="0.25">
      <c r="X501" s="256"/>
    </row>
    <row r="502" spans="24:24" x14ac:dyDescent="0.25">
      <c r="X502" s="256"/>
    </row>
    <row r="503" spans="24:24" x14ac:dyDescent="0.25">
      <c r="X503" s="256"/>
    </row>
    <row r="504" spans="24:24" x14ac:dyDescent="0.25">
      <c r="X504" s="256"/>
    </row>
    <row r="505" spans="24:24" x14ac:dyDescent="0.25">
      <c r="X505" s="256"/>
    </row>
    <row r="506" spans="24:24" x14ac:dyDescent="0.25">
      <c r="X506" s="256"/>
    </row>
    <row r="507" spans="24:24" x14ac:dyDescent="0.25">
      <c r="X507" s="256"/>
    </row>
    <row r="508" spans="24:24" x14ac:dyDescent="0.25">
      <c r="X508" s="256"/>
    </row>
    <row r="509" spans="24:24" x14ac:dyDescent="0.25">
      <c r="X509" s="256"/>
    </row>
    <row r="510" spans="24:24" x14ac:dyDescent="0.25">
      <c r="X510" s="256"/>
    </row>
    <row r="511" spans="24:24" x14ac:dyDescent="0.25">
      <c r="X511" s="256"/>
    </row>
    <row r="512" spans="24:24" x14ac:dyDescent="0.25">
      <c r="X512" s="256"/>
    </row>
    <row r="513" spans="24:24" x14ac:dyDescent="0.25">
      <c r="X513" s="256"/>
    </row>
    <row r="514" spans="24:24" x14ac:dyDescent="0.25">
      <c r="X514" s="256"/>
    </row>
    <row r="515" spans="24:24" x14ac:dyDescent="0.25">
      <c r="X515" s="256"/>
    </row>
    <row r="516" spans="24:24" x14ac:dyDescent="0.25">
      <c r="X516" s="256"/>
    </row>
    <row r="517" spans="24:24" x14ac:dyDescent="0.25">
      <c r="X517" s="256"/>
    </row>
    <row r="518" spans="24:24" x14ac:dyDescent="0.25">
      <c r="X518" s="256"/>
    </row>
    <row r="519" spans="24:24" x14ac:dyDescent="0.25">
      <c r="X519" s="256"/>
    </row>
    <row r="520" spans="24:24" x14ac:dyDescent="0.25">
      <c r="X520" s="256"/>
    </row>
    <row r="521" spans="24:24" x14ac:dyDescent="0.25">
      <c r="X521" s="256"/>
    </row>
    <row r="522" spans="24:24" x14ac:dyDescent="0.25">
      <c r="X522" s="256"/>
    </row>
    <row r="523" spans="24:24" x14ac:dyDescent="0.25">
      <c r="X523" s="256"/>
    </row>
    <row r="524" spans="24:24" x14ac:dyDescent="0.25">
      <c r="X524" s="256"/>
    </row>
    <row r="525" spans="24:24" x14ac:dyDescent="0.25">
      <c r="X525" s="256"/>
    </row>
    <row r="526" spans="24:24" x14ac:dyDescent="0.25">
      <c r="X526" s="256"/>
    </row>
    <row r="527" spans="24:24" x14ac:dyDescent="0.25">
      <c r="X527" s="256"/>
    </row>
    <row r="528" spans="24:24" x14ac:dyDescent="0.25">
      <c r="X528" s="256"/>
    </row>
    <row r="529" spans="24:24" x14ac:dyDescent="0.25">
      <c r="X529" s="256"/>
    </row>
    <row r="530" spans="24:24" x14ac:dyDescent="0.25">
      <c r="X530" s="256"/>
    </row>
    <row r="531" spans="24:24" x14ac:dyDescent="0.25">
      <c r="X531" s="256"/>
    </row>
    <row r="532" spans="24:24" x14ac:dyDescent="0.25">
      <c r="X532" s="256"/>
    </row>
    <row r="533" spans="24:24" x14ac:dyDescent="0.25">
      <c r="X533" s="256"/>
    </row>
    <row r="534" spans="24:24" x14ac:dyDescent="0.25">
      <c r="X534" s="256"/>
    </row>
    <row r="535" spans="24:24" x14ac:dyDescent="0.25">
      <c r="X535" s="256"/>
    </row>
    <row r="536" spans="24:24" x14ac:dyDescent="0.25">
      <c r="X536" s="256"/>
    </row>
    <row r="537" spans="24:24" x14ac:dyDescent="0.25">
      <c r="X537" s="256"/>
    </row>
    <row r="538" spans="24:24" x14ac:dyDescent="0.25">
      <c r="X538" s="256"/>
    </row>
    <row r="539" spans="24:24" x14ac:dyDescent="0.25">
      <c r="X539" s="256"/>
    </row>
    <row r="540" spans="24:24" x14ac:dyDescent="0.25">
      <c r="X540" s="256"/>
    </row>
    <row r="541" spans="24:24" x14ac:dyDescent="0.25">
      <c r="X541" s="256"/>
    </row>
    <row r="542" spans="24:24" x14ac:dyDescent="0.25">
      <c r="X542" s="256"/>
    </row>
    <row r="543" spans="24:24" x14ac:dyDescent="0.25">
      <c r="X543" s="256"/>
    </row>
    <row r="544" spans="24:24" x14ac:dyDescent="0.25">
      <c r="X544" s="256"/>
    </row>
    <row r="545" spans="24:24" x14ac:dyDescent="0.25">
      <c r="X545" s="256"/>
    </row>
    <row r="546" spans="24:24" x14ac:dyDescent="0.25">
      <c r="X546" s="256"/>
    </row>
    <row r="547" spans="24:24" x14ac:dyDescent="0.25">
      <c r="X547" s="256"/>
    </row>
    <row r="548" spans="24:24" x14ac:dyDescent="0.25">
      <c r="X548" s="256"/>
    </row>
    <row r="549" spans="24:24" x14ac:dyDescent="0.25">
      <c r="X549" s="256"/>
    </row>
    <row r="550" spans="24:24" x14ac:dyDescent="0.25">
      <c r="X550" s="256"/>
    </row>
    <row r="551" spans="24:24" x14ac:dyDescent="0.25">
      <c r="X551" s="256"/>
    </row>
    <row r="552" spans="24:24" x14ac:dyDescent="0.25">
      <c r="X552" s="256"/>
    </row>
    <row r="553" spans="24:24" x14ac:dyDescent="0.25">
      <c r="X553" s="256"/>
    </row>
    <row r="554" spans="24:24" x14ac:dyDescent="0.25">
      <c r="X554" s="256"/>
    </row>
    <row r="555" spans="24:24" x14ac:dyDescent="0.25">
      <c r="X555" s="256"/>
    </row>
    <row r="556" spans="24:24" x14ac:dyDescent="0.25">
      <c r="X556" s="256"/>
    </row>
    <row r="557" spans="24:24" x14ac:dyDescent="0.25">
      <c r="X557" s="256"/>
    </row>
    <row r="558" spans="24:24" x14ac:dyDescent="0.25">
      <c r="X558" s="256"/>
    </row>
    <row r="559" spans="24:24" x14ac:dyDescent="0.25">
      <c r="X559" s="256"/>
    </row>
    <row r="560" spans="24:24" x14ac:dyDescent="0.25">
      <c r="X560" s="256"/>
    </row>
    <row r="561" spans="24:24" x14ac:dyDescent="0.25">
      <c r="X561" s="256"/>
    </row>
    <row r="562" spans="24:24" x14ac:dyDescent="0.25">
      <c r="X562" s="256"/>
    </row>
    <row r="563" spans="24:24" x14ac:dyDescent="0.25">
      <c r="X563" s="256"/>
    </row>
    <row r="564" spans="24:24" x14ac:dyDescent="0.25">
      <c r="X564" s="256"/>
    </row>
    <row r="565" spans="24:24" x14ac:dyDescent="0.25">
      <c r="X565" s="256"/>
    </row>
    <row r="566" spans="24:24" x14ac:dyDescent="0.25">
      <c r="X566" s="256"/>
    </row>
    <row r="567" spans="24:24" x14ac:dyDescent="0.25">
      <c r="X567" s="256"/>
    </row>
    <row r="568" spans="24:24" x14ac:dyDescent="0.25">
      <c r="X568" s="256"/>
    </row>
    <row r="569" spans="24:24" x14ac:dyDescent="0.25">
      <c r="X569" s="256"/>
    </row>
    <row r="570" spans="24:24" x14ac:dyDescent="0.25">
      <c r="X570" s="256"/>
    </row>
    <row r="571" spans="24:24" x14ac:dyDescent="0.25">
      <c r="X571" s="256"/>
    </row>
    <row r="572" spans="24:24" x14ac:dyDescent="0.25">
      <c r="X572" s="256"/>
    </row>
    <row r="573" spans="24:24" x14ac:dyDescent="0.25">
      <c r="X573" s="256"/>
    </row>
    <row r="574" spans="24:24" x14ac:dyDescent="0.25">
      <c r="X574" s="256"/>
    </row>
    <row r="575" spans="24:24" x14ac:dyDescent="0.25">
      <c r="X575" s="256"/>
    </row>
    <row r="576" spans="24:24" x14ac:dyDescent="0.25">
      <c r="X576" s="256"/>
    </row>
    <row r="577" spans="24:24" x14ac:dyDescent="0.25">
      <c r="X577" s="256"/>
    </row>
    <row r="578" spans="24:24" x14ac:dyDescent="0.25">
      <c r="X578" s="256"/>
    </row>
    <row r="579" spans="24:24" x14ac:dyDescent="0.25">
      <c r="X579" s="256"/>
    </row>
    <row r="580" spans="24:24" x14ac:dyDescent="0.25">
      <c r="X580" s="256"/>
    </row>
    <row r="581" spans="24:24" x14ac:dyDescent="0.25">
      <c r="X581" s="256"/>
    </row>
    <row r="582" spans="24:24" x14ac:dyDescent="0.25">
      <c r="X582" s="256"/>
    </row>
    <row r="583" spans="24:24" x14ac:dyDescent="0.25">
      <c r="X583" s="256"/>
    </row>
    <row r="584" spans="24:24" x14ac:dyDescent="0.25">
      <c r="X584" s="256"/>
    </row>
    <row r="585" spans="24:24" x14ac:dyDescent="0.25">
      <c r="X585" s="256"/>
    </row>
    <row r="586" spans="24:24" x14ac:dyDescent="0.25">
      <c r="X586" s="256"/>
    </row>
    <row r="587" spans="24:24" x14ac:dyDescent="0.25">
      <c r="X587" s="256"/>
    </row>
    <row r="588" spans="24:24" x14ac:dyDescent="0.25">
      <c r="X588" s="256"/>
    </row>
    <row r="589" spans="24:24" x14ac:dyDescent="0.25">
      <c r="X589" s="256"/>
    </row>
    <row r="590" spans="24:24" x14ac:dyDescent="0.25">
      <c r="X590" s="256"/>
    </row>
    <row r="591" spans="24:24" x14ac:dyDescent="0.25">
      <c r="X591" s="256"/>
    </row>
    <row r="592" spans="24:24" x14ac:dyDescent="0.25">
      <c r="X592" s="256"/>
    </row>
    <row r="593" spans="24:24" x14ac:dyDescent="0.25">
      <c r="X593" s="256"/>
    </row>
    <row r="594" spans="24:24" x14ac:dyDescent="0.25">
      <c r="X594" s="256"/>
    </row>
    <row r="595" spans="24:24" x14ac:dyDescent="0.25">
      <c r="X595" s="256"/>
    </row>
    <row r="596" spans="24:24" x14ac:dyDescent="0.25">
      <c r="X596" s="256"/>
    </row>
    <row r="597" spans="24:24" x14ac:dyDescent="0.25">
      <c r="X597" s="256"/>
    </row>
    <row r="598" spans="24:24" x14ac:dyDescent="0.25">
      <c r="X598" s="256"/>
    </row>
    <row r="599" spans="24:24" x14ac:dyDescent="0.25">
      <c r="X599" s="256"/>
    </row>
    <row r="600" spans="24:24" x14ac:dyDescent="0.25">
      <c r="X600" s="256"/>
    </row>
    <row r="601" spans="24:24" x14ac:dyDescent="0.25">
      <c r="X601" s="256"/>
    </row>
    <row r="602" spans="24:24" x14ac:dyDescent="0.25">
      <c r="X602" s="256"/>
    </row>
    <row r="603" spans="24:24" x14ac:dyDescent="0.25">
      <c r="X603" s="256"/>
    </row>
    <row r="604" spans="24:24" x14ac:dyDescent="0.25">
      <c r="X604" s="256"/>
    </row>
    <row r="605" spans="24:24" x14ac:dyDescent="0.25">
      <c r="X605" s="256"/>
    </row>
    <row r="606" spans="24:24" x14ac:dyDescent="0.25">
      <c r="X606" s="256"/>
    </row>
    <row r="607" spans="24:24" x14ac:dyDescent="0.25">
      <c r="X607" s="256"/>
    </row>
    <row r="608" spans="24:24" x14ac:dyDescent="0.25">
      <c r="X608" s="256"/>
    </row>
    <row r="609" spans="24:24" x14ac:dyDescent="0.25">
      <c r="X609" s="256"/>
    </row>
    <row r="610" spans="24:24" x14ac:dyDescent="0.25">
      <c r="X610" s="256"/>
    </row>
    <row r="611" spans="24:24" x14ac:dyDescent="0.25">
      <c r="X611" s="256"/>
    </row>
    <row r="612" spans="24:24" x14ac:dyDescent="0.25">
      <c r="X612" s="256"/>
    </row>
    <row r="613" spans="24:24" x14ac:dyDescent="0.25">
      <c r="X613" s="256"/>
    </row>
    <row r="614" spans="24:24" x14ac:dyDescent="0.25">
      <c r="X614" s="256"/>
    </row>
    <row r="615" spans="24:24" x14ac:dyDescent="0.25">
      <c r="X615" s="256"/>
    </row>
    <row r="616" spans="24:24" x14ac:dyDescent="0.25">
      <c r="X616" s="256"/>
    </row>
    <row r="617" spans="24:24" x14ac:dyDescent="0.25">
      <c r="X617" s="256"/>
    </row>
    <row r="618" spans="24:24" x14ac:dyDescent="0.25">
      <c r="X618" s="256"/>
    </row>
    <row r="619" spans="24:24" x14ac:dyDescent="0.25">
      <c r="X619" s="256"/>
    </row>
    <row r="620" spans="24:24" x14ac:dyDescent="0.25">
      <c r="X620" s="256"/>
    </row>
    <row r="621" spans="24:24" x14ac:dyDescent="0.25">
      <c r="X621" s="256"/>
    </row>
    <row r="622" spans="24:24" x14ac:dyDescent="0.25">
      <c r="X622" s="256"/>
    </row>
    <row r="623" spans="24:24" x14ac:dyDescent="0.25">
      <c r="X623" s="256"/>
    </row>
    <row r="624" spans="24:24" x14ac:dyDescent="0.25">
      <c r="X624" s="256"/>
    </row>
    <row r="625" spans="24:24" x14ac:dyDescent="0.25">
      <c r="X625" s="256"/>
    </row>
    <row r="626" spans="24:24" x14ac:dyDescent="0.25">
      <c r="X626" s="256"/>
    </row>
    <row r="627" spans="24:24" x14ac:dyDescent="0.25">
      <c r="X627" s="256"/>
    </row>
    <row r="628" spans="24:24" x14ac:dyDescent="0.25">
      <c r="X628" s="256"/>
    </row>
    <row r="629" spans="24:24" x14ac:dyDescent="0.25">
      <c r="X629" s="256"/>
    </row>
    <row r="630" spans="24:24" x14ac:dyDescent="0.25">
      <c r="X630" s="256"/>
    </row>
    <row r="631" spans="24:24" x14ac:dyDescent="0.25">
      <c r="X631" s="256"/>
    </row>
    <row r="632" spans="24:24" x14ac:dyDescent="0.25">
      <c r="X632" s="256"/>
    </row>
    <row r="633" spans="24:24" x14ac:dyDescent="0.25">
      <c r="X633" s="256"/>
    </row>
    <row r="634" spans="24:24" x14ac:dyDescent="0.25">
      <c r="X634" s="256"/>
    </row>
    <row r="635" spans="24:24" x14ac:dyDescent="0.25">
      <c r="X635" s="256"/>
    </row>
    <row r="636" spans="24:24" x14ac:dyDescent="0.25">
      <c r="X636" s="256"/>
    </row>
    <row r="637" spans="24:24" x14ac:dyDescent="0.25">
      <c r="X637" s="256"/>
    </row>
    <row r="638" spans="24:24" x14ac:dyDescent="0.25">
      <c r="X638" s="256"/>
    </row>
    <row r="639" spans="24:24" x14ac:dyDescent="0.25">
      <c r="X639" s="256"/>
    </row>
    <row r="640" spans="24:24" x14ac:dyDescent="0.25">
      <c r="X640" s="256"/>
    </row>
    <row r="641" spans="24:24" x14ac:dyDescent="0.25">
      <c r="X641" s="256"/>
    </row>
    <row r="642" spans="24:24" x14ac:dyDescent="0.25">
      <c r="X642" s="256"/>
    </row>
    <row r="643" spans="24:24" x14ac:dyDescent="0.25">
      <c r="X643" s="256"/>
    </row>
    <row r="644" spans="24:24" x14ac:dyDescent="0.25">
      <c r="X644" s="256"/>
    </row>
    <row r="645" spans="24:24" x14ac:dyDescent="0.25">
      <c r="X645" s="256"/>
    </row>
    <row r="646" spans="24:24" x14ac:dyDescent="0.25">
      <c r="X646" s="256"/>
    </row>
    <row r="647" spans="24:24" x14ac:dyDescent="0.25">
      <c r="X647" s="256"/>
    </row>
    <row r="648" spans="24:24" x14ac:dyDescent="0.25">
      <c r="X648" s="256"/>
    </row>
    <row r="649" spans="24:24" x14ac:dyDescent="0.25">
      <c r="X649" s="256"/>
    </row>
    <row r="650" spans="24:24" x14ac:dyDescent="0.25">
      <c r="X650" s="256"/>
    </row>
    <row r="651" spans="24:24" x14ac:dyDescent="0.25">
      <c r="X651" s="256"/>
    </row>
    <row r="652" spans="24:24" x14ac:dyDescent="0.25">
      <c r="X652" s="256"/>
    </row>
    <row r="653" spans="24:24" x14ac:dyDescent="0.25">
      <c r="X653" s="256"/>
    </row>
    <row r="654" spans="24:24" x14ac:dyDescent="0.25">
      <c r="X654" s="256"/>
    </row>
    <row r="655" spans="24:24" x14ac:dyDescent="0.25">
      <c r="X655" s="256"/>
    </row>
    <row r="656" spans="24:24" x14ac:dyDescent="0.25">
      <c r="X656" s="256"/>
    </row>
    <row r="657" spans="24:24" x14ac:dyDescent="0.25">
      <c r="X657" s="256"/>
    </row>
    <row r="658" spans="24:24" x14ac:dyDescent="0.25">
      <c r="X658" s="256"/>
    </row>
    <row r="659" spans="24:24" x14ac:dyDescent="0.25">
      <c r="X659" s="256"/>
    </row>
    <row r="660" spans="24:24" x14ac:dyDescent="0.25">
      <c r="X660" s="256"/>
    </row>
    <row r="661" spans="24:24" x14ac:dyDescent="0.25">
      <c r="X661" s="256"/>
    </row>
    <row r="662" spans="24:24" x14ac:dyDescent="0.25">
      <c r="X662" s="256"/>
    </row>
    <row r="663" spans="24:24" x14ac:dyDescent="0.25">
      <c r="X663" s="256"/>
    </row>
    <row r="664" spans="24:24" x14ac:dyDescent="0.25">
      <c r="X664" s="256"/>
    </row>
    <row r="665" spans="24:24" x14ac:dyDescent="0.25">
      <c r="X665" s="256"/>
    </row>
    <row r="666" spans="24:24" x14ac:dyDescent="0.25">
      <c r="X666" s="256"/>
    </row>
    <row r="667" spans="24:24" x14ac:dyDescent="0.25">
      <c r="X667" s="256"/>
    </row>
    <row r="668" spans="24:24" x14ac:dyDescent="0.25">
      <c r="X668" s="256"/>
    </row>
    <row r="669" spans="24:24" x14ac:dyDescent="0.25">
      <c r="X669" s="256"/>
    </row>
    <row r="670" spans="24:24" x14ac:dyDescent="0.25">
      <c r="X670" s="256"/>
    </row>
    <row r="671" spans="24:24" x14ac:dyDescent="0.25">
      <c r="X671" s="256"/>
    </row>
    <row r="672" spans="24:24" x14ac:dyDescent="0.25">
      <c r="X672" s="256"/>
    </row>
    <row r="673" spans="24:24" x14ac:dyDescent="0.25">
      <c r="X673" s="256"/>
    </row>
    <row r="674" spans="24:24" x14ac:dyDescent="0.25">
      <c r="X674" s="256"/>
    </row>
    <row r="675" spans="24:24" x14ac:dyDescent="0.25">
      <c r="X675" s="256"/>
    </row>
    <row r="676" spans="24:24" x14ac:dyDescent="0.25">
      <c r="X676" s="256"/>
    </row>
    <row r="677" spans="24:24" x14ac:dyDescent="0.25">
      <c r="X677" s="256"/>
    </row>
    <row r="678" spans="24:24" x14ac:dyDescent="0.25">
      <c r="X678" s="256"/>
    </row>
    <row r="679" spans="24:24" x14ac:dyDescent="0.25">
      <c r="X679" s="256"/>
    </row>
    <row r="680" spans="24:24" x14ac:dyDescent="0.25">
      <c r="X680" s="256"/>
    </row>
    <row r="681" spans="24:24" x14ac:dyDescent="0.25">
      <c r="X681" s="256"/>
    </row>
    <row r="682" spans="24:24" x14ac:dyDescent="0.25">
      <c r="X682" s="256"/>
    </row>
    <row r="683" spans="24:24" x14ac:dyDescent="0.25">
      <c r="X683" s="256"/>
    </row>
    <row r="684" spans="24:24" x14ac:dyDescent="0.25">
      <c r="X684" s="256"/>
    </row>
    <row r="685" spans="24:24" x14ac:dyDescent="0.25">
      <c r="X685" s="256"/>
    </row>
    <row r="686" spans="24:24" x14ac:dyDescent="0.25">
      <c r="X686" s="256"/>
    </row>
    <row r="687" spans="24:24" x14ac:dyDescent="0.25">
      <c r="X687" s="256"/>
    </row>
    <row r="688" spans="24:24" x14ac:dyDescent="0.25">
      <c r="X688" s="256"/>
    </row>
    <row r="689" spans="24:24" x14ac:dyDescent="0.25">
      <c r="X689" s="256"/>
    </row>
    <row r="690" spans="24:24" x14ac:dyDescent="0.25">
      <c r="X690" s="256"/>
    </row>
    <row r="691" spans="24:24" x14ac:dyDescent="0.25">
      <c r="X691" s="256"/>
    </row>
    <row r="692" spans="24:24" x14ac:dyDescent="0.25">
      <c r="X692" s="256"/>
    </row>
    <row r="693" spans="24:24" x14ac:dyDescent="0.25">
      <c r="X693" s="256"/>
    </row>
    <row r="694" spans="24:24" x14ac:dyDescent="0.25">
      <c r="X694" s="256"/>
    </row>
    <row r="695" spans="24:24" x14ac:dyDescent="0.25">
      <c r="X695" s="256"/>
    </row>
    <row r="696" spans="24:24" x14ac:dyDescent="0.25">
      <c r="X696" s="256"/>
    </row>
    <row r="697" spans="24:24" x14ac:dyDescent="0.25">
      <c r="X697" s="256"/>
    </row>
    <row r="698" spans="24:24" x14ac:dyDescent="0.25">
      <c r="X698" s="256"/>
    </row>
    <row r="699" spans="24:24" x14ac:dyDescent="0.25">
      <c r="X699" s="256"/>
    </row>
    <row r="700" spans="24:24" x14ac:dyDescent="0.25">
      <c r="X700" s="256"/>
    </row>
    <row r="701" spans="24:24" x14ac:dyDescent="0.25">
      <c r="X701" s="256"/>
    </row>
    <row r="702" spans="24:24" x14ac:dyDescent="0.25">
      <c r="X702" s="256"/>
    </row>
    <row r="703" spans="24:24" x14ac:dyDescent="0.25">
      <c r="X703" s="256"/>
    </row>
    <row r="704" spans="24:24" x14ac:dyDescent="0.25">
      <c r="X704" s="256"/>
    </row>
    <row r="705" spans="24:24" x14ac:dyDescent="0.25">
      <c r="X705" s="256"/>
    </row>
    <row r="706" spans="24:24" x14ac:dyDescent="0.25">
      <c r="X706" s="256"/>
    </row>
    <row r="707" spans="24:24" x14ac:dyDescent="0.25">
      <c r="X707" s="256"/>
    </row>
    <row r="708" spans="24:24" x14ac:dyDescent="0.25">
      <c r="X708" s="256"/>
    </row>
    <row r="709" spans="24:24" x14ac:dyDescent="0.25">
      <c r="X709" s="256"/>
    </row>
    <row r="710" spans="24:24" x14ac:dyDescent="0.25">
      <c r="X710" s="256"/>
    </row>
    <row r="711" spans="24:24" x14ac:dyDescent="0.25">
      <c r="X711" s="256"/>
    </row>
    <row r="712" spans="24:24" x14ac:dyDescent="0.25">
      <c r="X712" s="256"/>
    </row>
    <row r="713" spans="24:24" x14ac:dyDescent="0.25">
      <c r="X713" s="256"/>
    </row>
    <row r="714" spans="24:24" x14ac:dyDescent="0.25">
      <c r="X714" s="256"/>
    </row>
    <row r="715" spans="24:24" x14ac:dyDescent="0.25">
      <c r="X715" s="256"/>
    </row>
    <row r="716" spans="24:24" x14ac:dyDescent="0.25">
      <c r="X716" s="256"/>
    </row>
    <row r="717" spans="24:24" x14ac:dyDescent="0.25">
      <c r="X717" s="256"/>
    </row>
    <row r="718" spans="24:24" x14ac:dyDescent="0.25">
      <c r="X718" s="256"/>
    </row>
    <row r="719" spans="24:24" x14ac:dyDescent="0.25">
      <c r="X719" s="256"/>
    </row>
    <row r="720" spans="24:24" x14ac:dyDescent="0.25">
      <c r="X720" s="256"/>
    </row>
    <row r="721" spans="24:24" x14ac:dyDescent="0.25">
      <c r="X721" s="256"/>
    </row>
    <row r="722" spans="24:24" x14ac:dyDescent="0.25">
      <c r="X722" s="256"/>
    </row>
    <row r="723" spans="24:24" x14ac:dyDescent="0.25">
      <c r="X723" s="256"/>
    </row>
    <row r="724" spans="24:24" x14ac:dyDescent="0.25">
      <c r="X724" s="256"/>
    </row>
    <row r="725" spans="24:24" x14ac:dyDescent="0.25">
      <c r="X725" s="256"/>
    </row>
    <row r="726" spans="24:24" x14ac:dyDescent="0.25">
      <c r="X726" s="256"/>
    </row>
    <row r="727" spans="24:24" x14ac:dyDescent="0.25">
      <c r="X727" s="256"/>
    </row>
    <row r="728" spans="24:24" x14ac:dyDescent="0.25">
      <c r="X728" s="256"/>
    </row>
    <row r="729" spans="24:24" x14ac:dyDescent="0.25">
      <c r="X729" s="256"/>
    </row>
    <row r="730" spans="24:24" x14ac:dyDescent="0.25">
      <c r="X730" s="256"/>
    </row>
    <row r="731" spans="24:24" x14ac:dyDescent="0.25">
      <c r="X731" s="256"/>
    </row>
    <row r="732" spans="24:24" x14ac:dyDescent="0.25">
      <c r="X732" s="256"/>
    </row>
    <row r="733" spans="24:24" x14ac:dyDescent="0.25">
      <c r="X733" s="256"/>
    </row>
    <row r="734" spans="24:24" x14ac:dyDescent="0.25">
      <c r="X734" s="256"/>
    </row>
    <row r="735" spans="24:24" x14ac:dyDescent="0.25">
      <c r="X735" s="256"/>
    </row>
    <row r="736" spans="24:24" x14ac:dyDescent="0.25">
      <c r="X736" s="256"/>
    </row>
    <row r="737" spans="24:24" x14ac:dyDescent="0.25">
      <c r="X737" s="256"/>
    </row>
    <row r="738" spans="24:24" x14ac:dyDescent="0.25">
      <c r="X738" s="256"/>
    </row>
    <row r="739" spans="24:24" x14ac:dyDescent="0.25">
      <c r="X739" s="256"/>
    </row>
    <row r="740" spans="24:24" x14ac:dyDescent="0.25">
      <c r="X740" s="256"/>
    </row>
    <row r="741" spans="24:24" x14ac:dyDescent="0.25">
      <c r="X741" s="256"/>
    </row>
    <row r="742" spans="24:24" x14ac:dyDescent="0.25">
      <c r="X742" s="256"/>
    </row>
    <row r="743" spans="24:24" x14ac:dyDescent="0.25">
      <c r="X743" s="256"/>
    </row>
    <row r="744" spans="24:24" x14ac:dyDescent="0.25">
      <c r="X744" s="256"/>
    </row>
    <row r="745" spans="24:24" x14ac:dyDescent="0.25">
      <c r="X745" s="256"/>
    </row>
    <row r="746" spans="24:24" x14ac:dyDescent="0.25">
      <c r="X746" s="256"/>
    </row>
    <row r="747" spans="24:24" x14ac:dyDescent="0.25">
      <c r="X747" s="256"/>
    </row>
    <row r="748" spans="24:24" x14ac:dyDescent="0.25">
      <c r="X748" s="256"/>
    </row>
    <row r="749" spans="24:24" x14ac:dyDescent="0.25">
      <c r="X749" s="256"/>
    </row>
    <row r="750" spans="24:24" x14ac:dyDescent="0.25">
      <c r="X750" s="256"/>
    </row>
    <row r="751" spans="24:24" x14ac:dyDescent="0.25">
      <c r="X751" s="256"/>
    </row>
    <row r="752" spans="24:24" x14ac:dyDescent="0.25">
      <c r="X752" s="256"/>
    </row>
    <row r="753" spans="24:24" x14ac:dyDescent="0.25">
      <c r="X753" s="256"/>
    </row>
    <row r="754" spans="24:24" x14ac:dyDescent="0.25">
      <c r="X754" s="256"/>
    </row>
    <row r="755" spans="24:24" x14ac:dyDescent="0.25">
      <c r="X755" s="256"/>
    </row>
    <row r="756" spans="24:24" x14ac:dyDescent="0.25">
      <c r="X756" s="256"/>
    </row>
    <row r="757" spans="24:24" x14ac:dyDescent="0.25">
      <c r="X757" s="256"/>
    </row>
    <row r="758" spans="24:24" x14ac:dyDescent="0.25">
      <c r="X758" s="256"/>
    </row>
    <row r="759" spans="24:24" x14ac:dyDescent="0.25">
      <c r="X759" s="256"/>
    </row>
    <row r="760" spans="24:24" x14ac:dyDescent="0.25">
      <c r="X760" s="256"/>
    </row>
    <row r="761" spans="24:24" x14ac:dyDescent="0.25">
      <c r="X761" s="256"/>
    </row>
    <row r="762" spans="24:24" x14ac:dyDescent="0.25">
      <c r="X762" s="256"/>
    </row>
    <row r="763" spans="24:24" x14ac:dyDescent="0.25">
      <c r="X763" s="256"/>
    </row>
    <row r="764" spans="24:24" x14ac:dyDescent="0.25">
      <c r="X764" s="256"/>
    </row>
    <row r="765" spans="24:24" x14ac:dyDescent="0.25">
      <c r="X765" s="256"/>
    </row>
    <row r="766" spans="24:24" x14ac:dyDescent="0.25">
      <c r="X766" s="256"/>
    </row>
    <row r="767" spans="24:24" x14ac:dyDescent="0.25">
      <c r="X767" s="256"/>
    </row>
    <row r="768" spans="24:24" x14ac:dyDescent="0.25">
      <c r="X768" s="256"/>
    </row>
    <row r="769" spans="24:24" x14ac:dyDescent="0.25">
      <c r="X769" s="256"/>
    </row>
    <row r="770" spans="24:24" x14ac:dyDescent="0.25">
      <c r="X770" s="256"/>
    </row>
    <row r="771" spans="24:24" x14ac:dyDescent="0.25">
      <c r="X771" s="256"/>
    </row>
    <row r="772" spans="24:24" x14ac:dyDescent="0.25">
      <c r="X772" s="256"/>
    </row>
    <row r="773" spans="24:24" x14ac:dyDescent="0.25">
      <c r="X773" s="256"/>
    </row>
    <row r="774" spans="24:24" x14ac:dyDescent="0.25">
      <c r="X774" s="256"/>
    </row>
    <row r="775" spans="24:24" x14ac:dyDescent="0.25">
      <c r="X775" s="256"/>
    </row>
    <row r="776" spans="24:24" x14ac:dyDescent="0.25">
      <c r="X776" s="256"/>
    </row>
    <row r="777" spans="24:24" x14ac:dyDescent="0.25">
      <c r="X777" s="256"/>
    </row>
    <row r="778" spans="24:24" x14ac:dyDescent="0.25">
      <c r="X778" s="256"/>
    </row>
    <row r="779" spans="24:24" x14ac:dyDescent="0.25">
      <c r="X779" s="256"/>
    </row>
    <row r="780" spans="24:24" x14ac:dyDescent="0.25">
      <c r="X780" s="256"/>
    </row>
    <row r="781" spans="24:24" x14ac:dyDescent="0.25">
      <c r="X781" s="256"/>
    </row>
    <row r="782" spans="24:24" x14ac:dyDescent="0.25">
      <c r="X782" s="256"/>
    </row>
    <row r="783" spans="24:24" x14ac:dyDescent="0.25">
      <c r="X783" s="256"/>
    </row>
    <row r="784" spans="24:24" x14ac:dyDescent="0.25">
      <c r="X784" s="256"/>
    </row>
    <row r="785" spans="24:24" x14ac:dyDescent="0.25">
      <c r="X785" s="256"/>
    </row>
    <row r="786" spans="24:24" x14ac:dyDescent="0.25">
      <c r="X786" s="256"/>
    </row>
    <row r="787" spans="24:24" x14ac:dyDescent="0.25">
      <c r="X787" s="256"/>
    </row>
    <row r="788" spans="24:24" x14ac:dyDescent="0.25">
      <c r="X788" s="256"/>
    </row>
    <row r="789" spans="24:24" x14ac:dyDescent="0.25">
      <c r="X789" s="256"/>
    </row>
    <row r="790" spans="24:24" x14ac:dyDescent="0.25">
      <c r="X790" s="256"/>
    </row>
    <row r="791" spans="24:24" x14ac:dyDescent="0.25">
      <c r="X791" s="256"/>
    </row>
    <row r="792" spans="24:24" x14ac:dyDescent="0.25">
      <c r="X792" s="256"/>
    </row>
    <row r="793" spans="24:24" x14ac:dyDescent="0.25">
      <c r="X793" s="256"/>
    </row>
    <row r="794" spans="24:24" x14ac:dyDescent="0.25">
      <c r="X794" s="256"/>
    </row>
    <row r="795" spans="24:24" x14ac:dyDescent="0.25">
      <c r="X795" s="256"/>
    </row>
    <row r="796" spans="24:24" x14ac:dyDescent="0.25">
      <c r="X796" s="256"/>
    </row>
    <row r="797" spans="24:24" x14ac:dyDescent="0.25">
      <c r="X797" s="256"/>
    </row>
    <row r="798" spans="24:24" x14ac:dyDescent="0.25">
      <c r="X798" s="256"/>
    </row>
    <row r="799" spans="24:24" x14ac:dyDescent="0.25">
      <c r="X799" s="256"/>
    </row>
    <row r="800" spans="24:24" x14ac:dyDescent="0.25">
      <c r="X800" s="256"/>
    </row>
    <row r="801" spans="24:24" x14ac:dyDescent="0.25">
      <c r="X801" s="256"/>
    </row>
    <row r="802" spans="24:24" x14ac:dyDescent="0.25">
      <c r="X802" s="256"/>
    </row>
    <row r="803" spans="24:24" x14ac:dyDescent="0.25">
      <c r="X803" s="256"/>
    </row>
    <row r="804" spans="24:24" x14ac:dyDescent="0.25">
      <c r="X804" s="256"/>
    </row>
    <row r="805" spans="24:24" x14ac:dyDescent="0.25">
      <c r="X805" s="256"/>
    </row>
    <row r="806" spans="24:24" x14ac:dyDescent="0.25">
      <c r="X806" s="256"/>
    </row>
    <row r="807" spans="24:24" x14ac:dyDescent="0.25">
      <c r="X807" s="256"/>
    </row>
    <row r="808" spans="24:24" x14ac:dyDescent="0.25">
      <c r="X808" s="256"/>
    </row>
    <row r="809" spans="24:24" x14ac:dyDescent="0.25">
      <c r="X809" s="256"/>
    </row>
    <row r="810" spans="24:24" x14ac:dyDescent="0.25">
      <c r="X810" s="256"/>
    </row>
    <row r="811" spans="24:24" x14ac:dyDescent="0.25">
      <c r="X811" s="256"/>
    </row>
    <row r="812" spans="24:24" x14ac:dyDescent="0.25">
      <c r="X812" s="256"/>
    </row>
    <row r="813" spans="24:24" x14ac:dyDescent="0.25">
      <c r="X813" s="256"/>
    </row>
    <row r="814" spans="24:24" x14ac:dyDescent="0.25">
      <c r="X814" s="256"/>
    </row>
    <row r="815" spans="24:24" x14ac:dyDescent="0.25">
      <c r="X815" s="256"/>
    </row>
    <row r="816" spans="24:24" x14ac:dyDescent="0.25">
      <c r="X816" s="256"/>
    </row>
    <row r="817" spans="24:24" x14ac:dyDescent="0.25">
      <c r="X817" s="256"/>
    </row>
    <row r="818" spans="24:24" x14ac:dyDescent="0.25">
      <c r="X818" s="256"/>
    </row>
    <row r="819" spans="24:24" x14ac:dyDescent="0.25">
      <c r="X819" s="256"/>
    </row>
    <row r="820" spans="24:24" x14ac:dyDescent="0.25">
      <c r="X820" s="256"/>
    </row>
    <row r="821" spans="24:24" x14ac:dyDescent="0.25">
      <c r="X821" s="256"/>
    </row>
    <row r="822" spans="24:24" x14ac:dyDescent="0.25">
      <c r="X822" s="256"/>
    </row>
    <row r="823" spans="24:24" x14ac:dyDescent="0.25">
      <c r="X823" s="256"/>
    </row>
    <row r="824" spans="24:24" x14ac:dyDescent="0.25">
      <c r="X824" s="256"/>
    </row>
    <row r="825" spans="24:24" x14ac:dyDescent="0.25">
      <c r="X825" s="256"/>
    </row>
    <row r="826" spans="24:24" x14ac:dyDescent="0.25">
      <c r="X826" s="256"/>
    </row>
    <row r="827" spans="24:24" x14ac:dyDescent="0.25">
      <c r="X827" s="256"/>
    </row>
    <row r="828" spans="24:24" x14ac:dyDescent="0.25">
      <c r="X828" s="256"/>
    </row>
    <row r="829" spans="24:24" x14ac:dyDescent="0.25">
      <c r="X829" s="256"/>
    </row>
    <row r="830" spans="24:24" x14ac:dyDescent="0.25">
      <c r="X830" s="256"/>
    </row>
    <row r="831" spans="24:24" x14ac:dyDescent="0.25">
      <c r="X831" s="256"/>
    </row>
    <row r="832" spans="24:24" x14ac:dyDescent="0.25">
      <c r="X832" s="256"/>
    </row>
    <row r="833" spans="24:24" x14ac:dyDescent="0.25">
      <c r="X833" s="256"/>
    </row>
    <row r="834" spans="24:24" x14ac:dyDescent="0.25">
      <c r="X834" s="256"/>
    </row>
    <row r="835" spans="24:24" x14ac:dyDescent="0.25">
      <c r="X835" s="256"/>
    </row>
    <row r="836" spans="24:24" x14ac:dyDescent="0.25">
      <c r="X836" s="256"/>
    </row>
    <row r="837" spans="24:24" x14ac:dyDescent="0.25">
      <c r="X837" s="256"/>
    </row>
    <row r="838" spans="24:24" x14ac:dyDescent="0.25">
      <c r="X838" s="256"/>
    </row>
    <row r="839" spans="24:24" x14ac:dyDescent="0.25">
      <c r="X839" s="256"/>
    </row>
    <row r="840" spans="24:24" x14ac:dyDescent="0.25">
      <c r="X840" s="256"/>
    </row>
    <row r="841" spans="24:24" x14ac:dyDescent="0.25">
      <c r="X841" s="256"/>
    </row>
    <row r="842" spans="24:24" x14ac:dyDescent="0.25">
      <c r="X842" s="256"/>
    </row>
    <row r="843" spans="24:24" x14ac:dyDescent="0.25">
      <c r="X843" s="256"/>
    </row>
    <row r="844" spans="24:24" x14ac:dyDescent="0.25">
      <c r="X844" s="256"/>
    </row>
    <row r="845" spans="24:24" x14ac:dyDescent="0.25">
      <c r="X845" s="256"/>
    </row>
    <row r="846" spans="24:24" x14ac:dyDescent="0.25">
      <c r="X846" s="256"/>
    </row>
    <row r="847" spans="24:24" x14ac:dyDescent="0.25">
      <c r="X847" s="256"/>
    </row>
    <row r="848" spans="24:24" x14ac:dyDescent="0.25">
      <c r="X848" s="256"/>
    </row>
    <row r="849" spans="24:24" x14ac:dyDescent="0.25">
      <c r="X849" s="256"/>
    </row>
    <row r="850" spans="24:24" x14ac:dyDescent="0.25">
      <c r="X850" s="256"/>
    </row>
    <row r="851" spans="24:24" x14ac:dyDescent="0.25">
      <c r="X851" s="256"/>
    </row>
    <row r="852" spans="24:24" x14ac:dyDescent="0.25">
      <c r="X852" s="256"/>
    </row>
    <row r="853" spans="24:24" x14ac:dyDescent="0.25">
      <c r="X853" s="256"/>
    </row>
    <row r="854" spans="24:24" x14ac:dyDescent="0.25">
      <c r="X854" s="256"/>
    </row>
    <row r="855" spans="24:24" x14ac:dyDescent="0.25">
      <c r="X855" s="256"/>
    </row>
    <row r="856" spans="24:24" x14ac:dyDescent="0.25">
      <c r="X856" s="256"/>
    </row>
    <row r="857" spans="24:24" x14ac:dyDescent="0.25">
      <c r="X857" s="256"/>
    </row>
    <row r="858" spans="24:24" x14ac:dyDescent="0.25">
      <c r="X858" s="256"/>
    </row>
    <row r="859" spans="24:24" x14ac:dyDescent="0.25">
      <c r="X859" s="256"/>
    </row>
    <row r="860" spans="24:24" x14ac:dyDescent="0.25">
      <c r="X860" s="256"/>
    </row>
    <row r="861" spans="24:24" x14ac:dyDescent="0.25">
      <c r="X861" s="256"/>
    </row>
    <row r="862" spans="24:24" x14ac:dyDescent="0.25">
      <c r="X862" s="256"/>
    </row>
    <row r="863" spans="24:24" x14ac:dyDescent="0.25">
      <c r="X863" s="256"/>
    </row>
    <row r="864" spans="24:24" x14ac:dyDescent="0.25">
      <c r="X864" s="256"/>
    </row>
    <row r="865" spans="24:24" x14ac:dyDescent="0.25">
      <c r="X865" s="256"/>
    </row>
    <row r="866" spans="24:24" x14ac:dyDescent="0.25">
      <c r="X866" s="256"/>
    </row>
    <row r="867" spans="24:24" x14ac:dyDescent="0.25">
      <c r="X867" s="256"/>
    </row>
    <row r="868" spans="24:24" x14ac:dyDescent="0.25">
      <c r="X868" s="256"/>
    </row>
    <row r="869" spans="24:24" x14ac:dyDescent="0.25">
      <c r="X869" s="256"/>
    </row>
    <row r="870" spans="24:24" x14ac:dyDescent="0.25">
      <c r="X870" s="256"/>
    </row>
    <row r="871" spans="24:24" x14ac:dyDescent="0.25">
      <c r="X871" s="256"/>
    </row>
    <row r="872" spans="24:24" x14ac:dyDescent="0.25">
      <c r="X872" s="256"/>
    </row>
    <row r="873" spans="24:24" x14ac:dyDescent="0.25">
      <c r="X873" s="256"/>
    </row>
    <row r="874" spans="24:24" x14ac:dyDescent="0.25">
      <c r="X874" s="256"/>
    </row>
    <row r="875" spans="24:24" x14ac:dyDescent="0.25">
      <c r="X875" s="256"/>
    </row>
    <row r="876" spans="24:24" x14ac:dyDescent="0.25">
      <c r="X876" s="256"/>
    </row>
    <row r="877" spans="24:24" x14ac:dyDescent="0.25">
      <c r="X877" s="256"/>
    </row>
    <row r="878" spans="24:24" x14ac:dyDescent="0.25">
      <c r="X878" s="256"/>
    </row>
    <row r="879" spans="24:24" x14ac:dyDescent="0.25">
      <c r="X879" s="256"/>
    </row>
    <row r="880" spans="24:24" x14ac:dyDescent="0.25">
      <c r="X880" s="256"/>
    </row>
    <row r="881" spans="24:24" x14ac:dyDescent="0.25">
      <c r="X881" s="256"/>
    </row>
    <row r="882" spans="24:24" x14ac:dyDescent="0.25">
      <c r="X882" s="256"/>
    </row>
    <row r="883" spans="24:24" x14ac:dyDescent="0.25">
      <c r="X883" s="256"/>
    </row>
    <row r="884" spans="24:24" x14ac:dyDescent="0.25">
      <c r="X884" s="256"/>
    </row>
    <row r="885" spans="24:24" x14ac:dyDescent="0.25">
      <c r="X885" s="256"/>
    </row>
    <row r="886" spans="24:24" x14ac:dyDescent="0.25">
      <c r="X886" s="256"/>
    </row>
    <row r="887" spans="24:24" x14ac:dyDescent="0.25">
      <c r="X887" s="256"/>
    </row>
    <row r="888" spans="24:24" x14ac:dyDescent="0.25">
      <c r="X888" s="256"/>
    </row>
    <row r="889" spans="24:24" x14ac:dyDescent="0.25">
      <c r="X889" s="256"/>
    </row>
    <row r="890" spans="24:24" x14ac:dyDescent="0.25">
      <c r="X890" s="256"/>
    </row>
    <row r="891" spans="24:24" x14ac:dyDescent="0.25">
      <c r="X891" s="256"/>
    </row>
    <row r="892" spans="24:24" x14ac:dyDescent="0.25">
      <c r="X892" s="256"/>
    </row>
    <row r="893" spans="24:24" x14ac:dyDescent="0.25">
      <c r="X893" s="256"/>
    </row>
    <row r="894" spans="24:24" x14ac:dyDescent="0.25">
      <c r="X894" s="256"/>
    </row>
    <row r="895" spans="24:24" x14ac:dyDescent="0.25">
      <c r="X895" s="256"/>
    </row>
    <row r="896" spans="24:24" x14ac:dyDescent="0.25">
      <c r="X896" s="256"/>
    </row>
    <row r="897" spans="24:24" x14ac:dyDescent="0.25">
      <c r="X897" s="256"/>
    </row>
    <row r="898" spans="24:24" x14ac:dyDescent="0.25">
      <c r="X898" s="256"/>
    </row>
    <row r="899" spans="24:24" x14ac:dyDescent="0.25">
      <c r="X899" s="256"/>
    </row>
    <row r="900" spans="24:24" x14ac:dyDescent="0.25">
      <c r="X900" s="256"/>
    </row>
    <row r="901" spans="24:24" x14ac:dyDescent="0.25">
      <c r="X901" s="256"/>
    </row>
    <row r="902" spans="24:24" x14ac:dyDescent="0.25">
      <c r="X902" s="256"/>
    </row>
    <row r="903" spans="24:24" x14ac:dyDescent="0.25">
      <c r="X903" s="256"/>
    </row>
    <row r="904" spans="24:24" x14ac:dyDescent="0.25">
      <c r="X904" s="256"/>
    </row>
    <row r="905" spans="24:24" x14ac:dyDescent="0.25">
      <c r="X905" s="256"/>
    </row>
    <row r="906" spans="24:24" x14ac:dyDescent="0.25">
      <c r="X906" s="256"/>
    </row>
    <row r="907" spans="24:24" x14ac:dyDescent="0.25">
      <c r="X907" s="256"/>
    </row>
    <row r="908" spans="24:24" x14ac:dyDescent="0.25">
      <c r="X908" s="256"/>
    </row>
    <row r="909" spans="24:24" x14ac:dyDescent="0.25">
      <c r="X909" s="256"/>
    </row>
    <row r="910" spans="24:24" x14ac:dyDescent="0.25">
      <c r="X910" s="256"/>
    </row>
    <row r="911" spans="24:24" x14ac:dyDescent="0.25">
      <c r="X911" s="256"/>
    </row>
    <row r="912" spans="24:24" x14ac:dyDescent="0.25">
      <c r="X912" s="256"/>
    </row>
    <row r="913" spans="24:24" x14ac:dyDescent="0.25">
      <c r="X913" s="256"/>
    </row>
    <row r="914" spans="24:24" x14ac:dyDescent="0.25">
      <c r="X914" s="256"/>
    </row>
    <row r="915" spans="24:24" x14ac:dyDescent="0.25">
      <c r="X915" s="256"/>
    </row>
    <row r="916" spans="24:24" x14ac:dyDescent="0.25">
      <c r="X916" s="256"/>
    </row>
    <row r="917" spans="24:24" x14ac:dyDescent="0.25">
      <c r="X917" s="256"/>
    </row>
    <row r="918" spans="24:24" x14ac:dyDescent="0.25">
      <c r="X918" s="256"/>
    </row>
    <row r="919" spans="24:24" x14ac:dyDescent="0.25">
      <c r="X919" s="256"/>
    </row>
    <row r="920" spans="24:24" x14ac:dyDescent="0.25">
      <c r="X920" s="256"/>
    </row>
    <row r="921" spans="24:24" x14ac:dyDescent="0.25">
      <c r="X921" s="256"/>
    </row>
    <row r="922" spans="24:24" x14ac:dyDescent="0.25">
      <c r="X922" s="256"/>
    </row>
    <row r="923" spans="24:24" x14ac:dyDescent="0.25">
      <c r="X923" s="256"/>
    </row>
    <row r="924" spans="24:24" x14ac:dyDescent="0.25">
      <c r="X924" s="256"/>
    </row>
    <row r="925" spans="24:24" x14ac:dyDescent="0.25">
      <c r="X925" s="256"/>
    </row>
    <row r="926" spans="24:24" x14ac:dyDescent="0.25">
      <c r="X926" s="256"/>
    </row>
    <row r="927" spans="24:24" x14ac:dyDescent="0.25">
      <c r="X927" s="256"/>
    </row>
    <row r="928" spans="24:24" x14ac:dyDescent="0.25">
      <c r="X928" s="256"/>
    </row>
    <row r="929" spans="24:24" x14ac:dyDescent="0.25">
      <c r="X929" s="256"/>
    </row>
    <row r="930" spans="24:24" x14ac:dyDescent="0.25">
      <c r="X930" s="256"/>
    </row>
    <row r="931" spans="24:24" x14ac:dyDescent="0.25">
      <c r="X931" s="256"/>
    </row>
    <row r="932" spans="24:24" x14ac:dyDescent="0.25">
      <c r="X932" s="256"/>
    </row>
    <row r="933" spans="24:24" x14ac:dyDescent="0.25">
      <c r="X933" s="256"/>
    </row>
    <row r="934" spans="24:24" x14ac:dyDescent="0.25">
      <c r="X934" s="256"/>
    </row>
    <row r="935" spans="24:24" x14ac:dyDescent="0.25">
      <c r="X935" s="256"/>
    </row>
    <row r="936" spans="24:24" x14ac:dyDescent="0.25">
      <c r="X936" s="256"/>
    </row>
    <row r="937" spans="24:24" x14ac:dyDescent="0.25">
      <c r="X937" s="256"/>
    </row>
    <row r="938" spans="24:24" x14ac:dyDescent="0.25">
      <c r="X938" s="256"/>
    </row>
    <row r="939" spans="24:24" x14ac:dyDescent="0.25">
      <c r="X939" s="256"/>
    </row>
    <row r="940" spans="24:24" x14ac:dyDescent="0.25">
      <c r="X940" s="256"/>
    </row>
    <row r="941" spans="24:24" x14ac:dyDescent="0.25">
      <c r="X941" s="256"/>
    </row>
    <row r="942" spans="24:24" x14ac:dyDescent="0.25">
      <c r="X942" s="256"/>
    </row>
    <row r="943" spans="24:24" x14ac:dyDescent="0.25">
      <c r="X943" s="256"/>
    </row>
    <row r="944" spans="24:24" x14ac:dyDescent="0.25">
      <c r="X944" s="256"/>
    </row>
    <row r="945" spans="24:24" x14ac:dyDescent="0.25">
      <c r="X945" s="256"/>
    </row>
    <row r="946" spans="24:24" x14ac:dyDescent="0.25">
      <c r="X946" s="256"/>
    </row>
    <row r="947" spans="24:24" x14ac:dyDescent="0.25">
      <c r="X947" s="256"/>
    </row>
    <row r="948" spans="24:24" x14ac:dyDescent="0.25">
      <c r="X948" s="256"/>
    </row>
    <row r="949" spans="24:24" x14ac:dyDescent="0.25">
      <c r="X949" s="256"/>
    </row>
    <row r="950" spans="24:24" x14ac:dyDescent="0.25">
      <c r="X950" s="256"/>
    </row>
    <row r="951" spans="24:24" x14ac:dyDescent="0.25">
      <c r="X951" s="256"/>
    </row>
    <row r="952" spans="24:24" x14ac:dyDescent="0.25">
      <c r="X952" s="256"/>
    </row>
    <row r="953" spans="24:24" x14ac:dyDescent="0.25">
      <c r="X953" s="256"/>
    </row>
    <row r="954" spans="24:24" x14ac:dyDescent="0.25">
      <c r="X954" s="256"/>
    </row>
    <row r="955" spans="24:24" x14ac:dyDescent="0.25">
      <c r="X955" s="256"/>
    </row>
    <row r="956" spans="24:24" x14ac:dyDescent="0.25">
      <c r="X956" s="256"/>
    </row>
    <row r="957" spans="24:24" x14ac:dyDescent="0.25">
      <c r="X957" s="256"/>
    </row>
    <row r="958" spans="24:24" x14ac:dyDescent="0.25">
      <c r="X958" s="256"/>
    </row>
    <row r="959" spans="24:24" x14ac:dyDescent="0.25">
      <c r="X959" s="256"/>
    </row>
    <row r="960" spans="24:24" x14ac:dyDescent="0.25">
      <c r="X960" s="256"/>
    </row>
    <row r="961" spans="24:24" x14ac:dyDescent="0.25">
      <c r="X961" s="256"/>
    </row>
    <row r="962" spans="24:24" x14ac:dyDescent="0.25">
      <c r="X962" s="256"/>
    </row>
    <row r="963" spans="24:24" x14ac:dyDescent="0.25">
      <c r="X963" s="256"/>
    </row>
    <row r="964" spans="24:24" x14ac:dyDescent="0.25">
      <c r="X964" s="256"/>
    </row>
    <row r="965" spans="24:24" x14ac:dyDescent="0.25">
      <c r="X965" s="256"/>
    </row>
    <row r="966" spans="24:24" x14ac:dyDescent="0.25">
      <c r="X966" s="256"/>
    </row>
    <row r="967" spans="24:24" x14ac:dyDescent="0.25">
      <c r="X967" s="256"/>
    </row>
    <row r="968" spans="24:24" x14ac:dyDescent="0.25">
      <c r="X968" s="256"/>
    </row>
    <row r="969" spans="24:24" x14ac:dyDescent="0.25">
      <c r="X969" s="256"/>
    </row>
    <row r="970" spans="24:24" x14ac:dyDescent="0.25">
      <c r="X970" s="256"/>
    </row>
    <row r="971" spans="24:24" x14ac:dyDescent="0.25">
      <c r="X971" s="256"/>
    </row>
    <row r="972" spans="24:24" x14ac:dyDescent="0.25">
      <c r="X972" s="256"/>
    </row>
    <row r="973" spans="24:24" x14ac:dyDescent="0.25">
      <c r="X973" s="256"/>
    </row>
    <row r="974" spans="24:24" x14ac:dyDescent="0.25">
      <c r="X974" s="256"/>
    </row>
    <row r="975" spans="24:24" x14ac:dyDescent="0.25">
      <c r="X975" s="256"/>
    </row>
    <row r="976" spans="24:24" x14ac:dyDescent="0.25">
      <c r="X976" s="256"/>
    </row>
    <row r="977" spans="24:24" x14ac:dyDescent="0.25">
      <c r="X977" s="256"/>
    </row>
    <row r="978" spans="24:24" x14ac:dyDescent="0.25">
      <c r="X978" s="256"/>
    </row>
    <row r="979" spans="24:24" x14ac:dyDescent="0.25">
      <c r="X979" s="256"/>
    </row>
    <row r="980" spans="24:24" x14ac:dyDescent="0.25">
      <c r="X980" s="256"/>
    </row>
    <row r="981" spans="24:24" x14ac:dyDescent="0.25">
      <c r="X981" s="256"/>
    </row>
    <row r="982" spans="24:24" x14ac:dyDescent="0.25">
      <c r="X982" s="256"/>
    </row>
    <row r="983" spans="24:24" x14ac:dyDescent="0.25">
      <c r="X983" s="256"/>
    </row>
    <row r="984" spans="24:24" x14ac:dyDescent="0.25">
      <c r="X984" s="256"/>
    </row>
    <row r="985" spans="24:24" x14ac:dyDescent="0.25">
      <c r="X985" s="256"/>
    </row>
    <row r="986" spans="24:24" x14ac:dyDescent="0.25">
      <c r="X986" s="256"/>
    </row>
    <row r="987" spans="24:24" x14ac:dyDescent="0.25">
      <c r="X987" s="256"/>
    </row>
    <row r="988" spans="24:24" x14ac:dyDescent="0.25">
      <c r="X988" s="256"/>
    </row>
    <row r="989" spans="24:24" x14ac:dyDescent="0.25">
      <c r="X989" s="256"/>
    </row>
    <row r="990" spans="24:24" x14ac:dyDescent="0.25">
      <c r="X990" s="256"/>
    </row>
    <row r="991" spans="24:24" x14ac:dyDescent="0.25">
      <c r="X991" s="256"/>
    </row>
    <row r="992" spans="24:24" x14ac:dyDescent="0.25">
      <c r="X992" s="256"/>
    </row>
    <row r="993" spans="24:24" x14ac:dyDescent="0.25">
      <c r="X993" s="256"/>
    </row>
    <row r="994" spans="24:24" x14ac:dyDescent="0.25">
      <c r="X994" s="256"/>
    </row>
    <row r="995" spans="24:24" x14ac:dyDescent="0.25">
      <c r="X995" s="256"/>
    </row>
    <row r="996" spans="24:24" x14ac:dyDescent="0.25">
      <c r="X996" s="256"/>
    </row>
    <row r="997" spans="24:24" x14ac:dyDescent="0.25">
      <c r="X997" s="256"/>
    </row>
    <row r="998" spans="24:24" x14ac:dyDescent="0.25">
      <c r="X998" s="256"/>
    </row>
    <row r="999" spans="24:24" x14ac:dyDescent="0.25">
      <c r="X999" s="256"/>
    </row>
    <row r="1000" spans="24:24" x14ac:dyDescent="0.25">
      <c r="X1000" s="256"/>
    </row>
    <row r="1001" spans="24:24" x14ac:dyDescent="0.25">
      <c r="X1001" s="256"/>
    </row>
    <row r="1002" spans="24:24" x14ac:dyDescent="0.25">
      <c r="X1002" s="256"/>
    </row>
    <row r="1003" spans="24:24" x14ac:dyDescent="0.25">
      <c r="X1003" s="256"/>
    </row>
    <row r="1004" spans="24:24" x14ac:dyDescent="0.25">
      <c r="X1004" s="256"/>
    </row>
    <row r="1005" spans="24:24" x14ac:dyDescent="0.25">
      <c r="X1005" s="256"/>
    </row>
    <row r="1006" spans="24:24" x14ac:dyDescent="0.25">
      <c r="X1006" s="256"/>
    </row>
    <row r="1007" spans="24:24" x14ac:dyDescent="0.25">
      <c r="X1007" s="256"/>
    </row>
    <row r="1008" spans="24:24" x14ac:dyDescent="0.25">
      <c r="X1008" s="256"/>
    </row>
    <row r="1009" spans="24:24" x14ac:dyDescent="0.25">
      <c r="X1009" s="256"/>
    </row>
    <row r="1010" spans="24:24" x14ac:dyDescent="0.25">
      <c r="X1010" s="256"/>
    </row>
    <row r="1011" spans="24:24" x14ac:dyDescent="0.25">
      <c r="X1011" s="256"/>
    </row>
    <row r="1012" spans="24:24" x14ac:dyDescent="0.25">
      <c r="X1012" s="256"/>
    </row>
    <row r="1013" spans="24:24" x14ac:dyDescent="0.25">
      <c r="X1013" s="256"/>
    </row>
    <row r="1014" spans="24:24" x14ac:dyDescent="0.25">
      <c r="X1014" s="256"/>
    </row>
    <row r="1015" spans="24:24" x14ac:dyDescent="0.25">
      <c r="X1015" s="256"/>
    </row>
    <row r="1016" spans="24:24" x14ac:dyDescent="0.25">
      <c r="X1016" s="256"/>
    </row>
    <row r="1017" spans="24:24" x14ac:dyDescent="0.25">
      <c r="X1017" s="256"/>
    </row>
    <row r="1018" spans="24:24" x14ac:dyDescent="0.25">
      <c r="X1018" s="256"/>
    </row>
    <row r="1019" spans="24:24" x14ac:dyDescent="0.25">
      <c r="X1019" s="256"/>
    </row>
    <row r="1020" spans="24:24" x14ac:dyDescent="0.25">
      <c r="X1020" s="256"/>
    </row>
    <row r="1021" spans="24:24" x14ac:dyDescent="0.25">
      <c r="X1021" s="256"/>
    </row>
    <row r="1022" spans="24:24" x14ac:dyDescent="0.25">
      <c r="X1022" s="256"/>
    </row>
    <row r="1023" spans="24:24" x14ac:dyDescent="0.25">
      <c r="X1023" s="256"/>
    </row>
    <row r="1024" spans="24:24" x14ac:dyDescent="0.25">
      <c r="X1024" s="256"/>
    </row>
    <row r="1025" spans="24:24" x14ac:dyDescent="0.25">
      <c r="X1025" s="256"/>
    </row>
    <row r="1026" spans="24:24" x14ac:dyDescent="0.25">
      <c r="X1026" s="256"/>
    </row>
    <row r="1027" spans="24:24" x14ac:dyDescent="0.25">
      <c r="X1027" s="256"/>
    </row>
    <row r="1028" spans="24:24" x14ac:dyDescent="0.25">
      <c r="X1028" s="256"/>
    </row>
    <row r="1029" spans="24:24" x14ac:dyDescent="0.25">
      <c r="X1029" s="256"/>
    </row>
    <row r="1030" spans="24:24" x14ac:dyDescent="0.25">
      <c r="X1030" s="256"/>
    </row>
    <row r="1031" spans="24:24" x14ac:dyDescent="0.25">
      <c r="X1031" s="256"/>
    </row>
    <row r="1032" spans="24:24" x14ac:dyDescent="0.25">
      <c r="X1032" s="256"/>
    </row>
    <row r="1033" spans="24:24" x14ac:dyDescent="0.25">
      <c r="X1033" s="256"/>
    </row>
    <row r="1034" spans="24:24" x14ac:dyDescent="0.25">
      <c r="X1034" s="256"/>
    </row>
    <row r="1035" spans="24:24" x14ac:dyDescent="0.25">
      <c r="X1035" s="256"/>
    </row>
    <row r="1036" spans="24:24" x14ac:dyDescent="0.25">
      <c r="X1036" s="256"/>
    </row>
    <row r="1037" spans="24:24" x14ac:dyDescent="0.25">
      <c r="X1037" s="256"/>
    </row>
    <row r="1038" spans="24:24" x14ac:dyDescent="0.25">
      <c r="X1038" s="256"/>
    </row>
    <row r="1039" spans="24:24" x14ac:dyDescent="0.25">
      <c r="X1039" s="256"/>
    </row>
    <row r="1040" spans="24:24" x14ac:dyDescent="0.25">
      <c r="X1040" s="256"/>
    </row>
    <row r="1041" spans="24:24" x14ac:dyDescent="0.25">
      <c r="X1041" s="256"/>
    </row>
    <row r="1042" spans="24:24" x14ac:dyDescent="0.25">
      <c r="X1042" s="256"/>
    </row>
    <row r="1043" spans="24:24" x14ac:dyDescent="0.25">
      <c r="X1043" s="256"/>
    </row>
    <row r="1044" spans="24:24" x14ac:dyDescent="0.25">
      <c r="X1044" s="256"/>
    </row>
    <row r="1045" spans="24:24" x14ac:dyDescent="0.25">
      <c r="X1045" s="256"/>
    </row>
    <row r="1046" spans="24:24" x14ac:dyDescent="0.25">
      <c r="X1046" s="256"/>
    </row>
    <row r="1047" spans="24:24" x14ac:dyDescent="0.25">
      <c r="X1047" s="256"/>
    </row>
    <row r="1048" spans="24:24" x14ac:dyDescent="0.25">
      <c r="X1048" s="256"/>
    </row>
    <row r="1049" spans="24:24" x14ac:dyDescent="0.25">
      <c r="X1049" s="256"/>
    </row>
    <row r="1050" spans="24:24" x14ac:dyDescent="0.25">
      <c r="X1050" s="256"/>
    </row>
    <row r="1051" spans="24:24" x14ac:dyDescent="0.25">
      <c r="X1051" s="256"/>
    </row>
    <row r="1052" spans="24:24" x14ac:dyDescent="0.25">
      <c r="X1052" s="256"/>
    </row>
    <row r="1053" spans="24:24" x14ac:dyDescent="0.25">
      <c r="X1053" s="256"/>
    </row>
    <row r="1054" spans="24:24" x14ac:dyDescent="0.25">
      <c r="X1054" s="256"/>
    </row>
    <row r="1055" spans="24:24" x14ac:dyDescent="0.25">
      <c r="X1055" s="256"/>
    </row>
    <row r="1056" spans="24:24" x14ac:dyDescent="0.25">
      <c r="X1056" s="256"/>
    </row>
    <row r="1057" spans="24:24" x14ac:dyDescent="0.25">
      <c r="X1057" s="256"/>
    </row>
    <row r="1058" spans="24:24" x14ac:dyDescent="0.25">
      <c r="X1058" s="256"/>
    </row>
    <row r="1059" spans="24:24" x14ac:dyDescent="0.25">
      <c r="X1059" s="256"/>
    </row>
    <row r="1060" spans="24:24" x14ac:dyDescent="0.25">
      <c r="X1060" s="256"/>
    </row>
    <row r="1061" spans="24:24" x14ac:dyDescent="0.25">
      <c r="X1061" s="256"/>
    </row>
    <row r="1062" spans="24:24" x14ac:dyDescent="0.25">
      <c r="X1062" s="256"/>
    </row>
    <row r="1063" spans="24:24" x14ac:dyDescent="0.25">
      <c r="X1063" s="256"/>
    </row>
    <row r="1064" spans="24:24" x14ac:dyDescent="0.25">
      <c r="X1064" s="256"/>
    </row>
    <row r="1065" spans="24:24" x14ac:dyDescent="0.25">
      <c r="X1065" s="256"/>
    </row>
    <row r="1066" spans="24:24" x14ac:dyDescent="0.25">
      <c r="X1066" s="256"/>
    </row>
    <row r="1067" spans="24:24" x14ac:dyDescent="0.25">
      <c r="X1067" s="256"/>
    </row>
    <row r="1068" spans="24:24" x14ac:dyDescent="0.25">
      <c r="X1068" s="256"/>
    </row>
    <row r="1069" spans="24:24" x14ac:dyDescent="0.25">
      <c r="X1069" s="256"/>
    </row>
    <row r="1070" spans="24:24" x14ac:dyDescent="0.25">
      <c r="X1070" s="256"/>
    </row>
    <row r="1071" spans="24:24" x14ac:dyDescent="0.25">
      <c r="X1071" s="256"/>
    </row>
    <row r="1072" spans="24:24" x14ac:dyDescent="0.25">
      <c r="X1072" s="256"/>
    </row>
    <row r="1073" spans="24:24" x14ac:dyDescent="0.25">
      <c r="X1073" s="256"/>
    </row>
    <row r="1074" spans="24:24" x14ac:dyDescent="0.25">
      <c r="X1074" s="256"/>
    </row>
    <row r="1075" spans="24:24" x14ac:dyDescent="0.25">
      <c r="X1075" s="256"/>
    </row>
    <row r="1076" spans="24:24" x14ac:dyDescent="0.25">
      <c r="X1076" s="256"/>
    </row>
    <row r="1077" spans="24:24" x14ac:dyDescent="0.25">
      <c r="X1077" s="256"/>
    </row>
    <row r="1078" spans="24:24" x14ac:dyDescent="0.25">
      <c r="X1078" s="256"/>
    </row>
    <row r="1079" spans="24:24" x14ac:dyDescent="0.25">
      <c r="X1079" s="256"/>
    </row>
    <row r="1080" spans="24:24" x14ac:dyDescent="0.25">
      <c r="X1080" s="256"/>
    </row>
    <row r="1081" spans="24:24" x14ac:dyDescent="0.25">
      <c r="X1081" s="256"/>
    </row>
    <row r="1082" spans="24:24" x14ac:dyDescent="0.25">
      <c r="X1082" s="256"/>
    </row>
    <row r="1083" spans="24:24" x14ac:dyDescent="0.25">
      <c r="X1083" s="256"/>
    </row>
    <row r="1084" spans="24:24" x14ac:dyDescent="0.25">
      <c r="X1084" s="256"/>
    </row>
    <row r="1085" spans="24:24" x14ac:dyDescent="0.25">
      <c r="X1085" s="256"/>
    </row>
    <row r="1086" spans="24:24" x14ac:dyDescent="0.25">
      <c r="X1086" s="256"/>
    </row>
    <row r="1087" spans="24:24" x14ac:dyDescent="0.25">
      <c r="X1087" s="256"/>
    </row>
    <row r="1088" spans="24:24" x14ac:dyDescent="0.25">
      <c r="X1088" s="256"/>
    </row>
    <row r="1089" spans="24:24" x14ac:dyDescent="0.25">
      <c r="X1089" s="256"/>
    </row>
    <row r="1090" spans="24:24" x14ac:dyDescent="0.25">
      <c r="X1090" s="256"/>
    </row>
    <row r="1091" spans="24:24" x14ac:dyDescent="0.25">
      <c r="X1091" s="256"/>
    </row>
    <row r="1092" spans="24:24" x14ac:dyDescent="0.25">
      <c r="X1092" s="256"/>
    </row>
    <row r="1093" spans="24:24" x14ac:dyDescent="0.25">
      <c r="X1093" s="256"/>
    </row>
    <row r="1094" spans="24:24" x14ac:dyDescent="0.25">
      <c r="X1094" s="256"/>
    </row>
    <row r="1095" spans="24:24" x14ac:dyDescent="0.25">
      <c r="X1095" s="256"/>
    </row>
    <row r="1096" spans="24:24" x14ac:dyDescent="0.25">
      <c r="X1096" s="256"/>
    </row>
    <row r="1097" spans="24:24" x14ac:dyDescent="0.25">
      <c r="X1097" s="256"/>
    </row>
    <row r="1098" spans="24:24" x14ac:dyDescent="0.25">
      <c r="X1098" s="256"/>
    </row>
    <row r="1099" spans="24:24" x14ac:dyDescent="0.25">
      <c r="X1099" s="256"/>
    </row>
    <row r="1100" spans="24:24" x14ac:dyDescent="0.25">
      <c r="X1100" s="256"/>
    </row>
    <row r="1101" spans="24:24" x14ac:dyDescent="0.25">
      <c r="X1101" s="256"/>
    </row>
    <row r="1102" spans="24:24" x14ac:dyDescent="0.25">
      <c r="X1102" s="256"/>
    </row>
    <row r="1103" spans="24:24" x14ac:dyDescent="0.25">
      <c r="X1103" s="256"/>
    </row>
    <row r="1104" spans="24:24" x14ac:dyDescent="0.25">
      <c r="X1104" s="256"/>
    </row>
    <row r="1105" spans="24:24" x14ac:dyDescent="0.25">
      <c r="X1105" s="256"/>
    </row>
    <row r="1106" spans="24:24" x14ac:dyDescent="0.25">
      <c r="X1106" s="256"/>
    </row>
    <row r="1107" spans="24:24" x14ac:dyDescent="0.25">
      <c r="X1107" s="256"/>
    </row>
    <row r="1108" spans="24:24" x14ac:dyDescent="0.25">
      <c r="X1108" s="256"/>
    </row>
    <row r="1109" spans="24:24" x14ac:dyDescent="0.25">
      <c r="X1109" s="256"/>
    </row>
    <row r="1110" spans="24:24" x14ac:dyDescent="0.25">
      <c r="X1110" s="256"/>
    </row>
    <row r="1111" spans="24:24" x14ac:dyDescent="0.25">
      <c r="X1111" s="256"/>
    </row>
    <row r="1112" spans="24:24" x14ac:dyDescent="0.25">
      <c r="X1112" s="256"/>
    </row>
    <row r="1113" spans="24:24" x14ac:dyDescent="0.25">
      <c r="X1113" s="256"/>
    </row>
    <row r="1114" spans="24:24" x14ac:dyDescent="0.25">
      <c r="X1114" s="256"/>
    </row>
    <row r="1115" spans="24:24" x14ac:dyDescent="0.25">
      <c r="X1115" s="256"/>
    </row>
    <row r="1116" spans="24:24" x14ac:dyDescent="0.25">
      <c r="X1116" s="256"/>
    </row>
    <row r="1117" spans="24:24" x14ac:dyDescent="0.25">
      <c r="X1117" s="256"/>
    </row>
    <row r="1118" spans="24:24" x14ac:dyDescent="0.25">
      <c r="X1118" s="256"/>
    </row>
    <row r="1119" spans="24:24" x14ac:dyDescent="0.25">
      <c r="X1119" s="256"/>
    </row>
    <row r="1120" spans="24:24" x14ac:dyDescent="0.25">
      <c r="X1120" s="256"/>
    </row>
    <row r="1121" spans="24:24" x14ac:dyDescent="0.25">
      <c r="X1121" s="256"/>
    </row>
    <row r="1122" spans="24:24" x14ac:dyDescent="0.25">
      <c r="X1122" s="256"/>
    </row>
    <row r="1123" spans="24:24" x14ac:dyDescent="0.25">
      <c r="X1123" s="256"/>
    </row>
    <row r="1124" spans="24:24" x14ac:dyDescent="0.25">
      <c r="X1124" s="256"/>
    </row>
    <row r="1125" spans="24:24" x14ac:dyDescent="0.25">
      <c r="X1125" s="256"/>
    </row>
    <row r="1126" spans="24:24" x14ac:dyDescent="0.25">
      <c r="X1126" s="256"/>
    </row>
    <row r="1127" spans="24:24" x14ac:dyDescent="0.25">
      <c r="X1127" s="256"/>
    </row>
    <row r="1128" spans="24:24" x14ac:dyDescent="0.25">
      <c r="X1128" s="256"/>
    </row>
    <row r="1129" spans="24:24" x14ac:dyDescent="0.25">
      <c r="X1129" s="256"/>
    </row>
    <row r="1130" spans="24:24" x14ac:dyDescent="0.25">
      <c r="X1130" s="256"/>
    </row>
    <row r="1131" spans="24:24" x14ac:dyDescent="0.25">
      <c r="X1131" s="256"/>
    </row>
    <row r="1132" spans="24:24" x14ac:dyDescent="0.25">
      <c r="X1132" s="256"/>
    </row>
    <row r="1133" spans="24:24" x14ac:dyDescent="0.25">
      <c r="X1133" s="256"/>
    </row>
    <row r="1134" spans="24:24" x14ac:dyDescent="0.25">
      <c r="X1134" s="256"/>
    </row>
    <row r="1135" spans="24:24" x14ac:dyDescent="0.25">
      <c r="X1135" s="256"/>
    </row>
    <row r="1136" spans="24:24" x14ac:dyDescent="0.25">
      <c r="X1136" s="256"/>
    </row>
    <row r="1137" spans="24:24" x14ac:dyDescent="0.25">
      <c r="X1137" s="256"/>
    </row>
    <row r="1138" spans="24:24" x14ac:dyDescent="0.25">
      <c r="X1138" s="256"/>
    </row>
    <row r="1139" spans="24:24" x14ac:dyDescent="0.25">
      <c r="X1139" s="256"/>
    </row>
    <row r="1140" spans="24:24" x14ac:dyDescent="0.25">
      <c r="X1140" s="256"/>
    </row>
    <row r="1141" spans="24:24" x14ac:dyDescent="0.25">
      <c r="X1141" s="256"/>
    </row>
    <row r="1142" spans="24:24" x14ac:dyDescent="0.25">
      <c r="X1142" s="256"/>
    </row>
    <row r="1143" spans="24:24" x14ac:dyDescent="0.25">
      <c r="X1143" s="256"/>
    </row>
    <row r="1144" spans="24:24" x14ac:dyDescent="0.25">
      <c r="X1144" s="256"/>
    </row>
    <row r="1145" spans="24:24" x14ac:dyDescent="0.25">
      <c r="X1145" s="256"/>
    </row>
    <row r="1146" spans="24:24" x14ac:dyDescent="0.25">
      <c r="X1146" s="256"/>
    </row>
    <row r="1147" spans="24:24" x14ac:dyDescent="0.25">
      <c r="X1147" s="256"/>
    </row>
    <row r="1148" spans="24:24" x14ac:dyDescent="0.25">
      <c r="X1148" s="256"/>
    </row>
    <row r="1149" spans="24:24" x14ac:dyDescent="0.25">
      <c r="X1149" s="256"/>
    </row>
    <row r="1150" spans="24:24" x14ac:dyDescent="0.25">
      <c r="X1150" s="256"/>
    </row>
    <row r="1151" spans="24:24" x14ac:dyDescent="0.25">
      <c r="X1151" s="256"/>
    </row>
    <row r="1152" spans="24:24" x14ac:dyDescent="0.25">
      <c r="X1152" s="256"/>
    </row>
    <row r="1153" spans="24:24" x14ac:dyDescent="0.25">
      <c r="X1153" s="256"/>
    </row>
    <row r="1154" spans="24:24" x14ac:dyDescent="0.25">
      <c r="X1154" s="256"/>
    </row>
    <row r="1155" spans="24:24" x14ac:dyDescent="0.25">
      <c r="X1155" s="256"/>
    </row>
    <row r="1156" spans="24:24" x14ac:dyDescent="0.25">
      <c r="X1156" s="256"/>
    </row>
    <row r="1157" spans="24:24" x14ac:dyDescent="0.25">
      <c r="X1157" s="256"/>
    </row>
    <row r="1158" spans="24:24" x14ac:dyDescent="0.25">
      <c r="X1158" s="256"/>
    </row>
    <row r="1159" spans="24:24" x14ac:dyDescent="0.25">
      <c r="X1159" s="256"/>
    </row>
    <row r="1160" spans="24:24" x14ac:dyDescent="0.25">
      <c r="X1160" s="256"/>
    </row>
    <row r="1161" spans="24:24" x14ac:dyDescent="0.25">
      <c r="X1161" s="256"/>
    </row>
    <row r="1162" spans="24:24" x14ac:dyDescent="0.25">
      <c r="X1162" s="256"/>
    </row>
    <row r="1163" spans="24:24" x14ac:dyDescent="0.25">
      <c r="X1163" s="256"/>
    </row>
    <row r="1164" spans="24:24" x14ac:dyDescent="0.25">
      <c r="X1164" s="256"/>
    </row>
    <row r="1165" spans="24:24" x14ac:dyDescent="0.25">
      <c r="X1165" s="256"/>
    </row>
    <row r="1166" spans="24:24" x14ac:dyDescent="0.25">
      <c r="X1166" s="256"/>
    </row>
    <row r="1167" spans="24:24" x14ac:dyDescent="0.25">
      <c r="X1167" s="256"/>
    </row>
    <row r="1168" spans="24:24" x14ac:dyDescent="0.25">
      <c r="X1168" s="256"/>
    </row>
    <row r="1169" spans="24:24" x14ac:dyDescent="0.25">
      <c r="X1169" s="256"/>
    </row>
    <row r="1170" spans="24:24" x14ac:dyDescent="0.25">
      <c r="X1170" s="256"/>
    </row>
    <row r="1171" spans="24:24" x14ac:dyDescent="0.25">
      <c r="X1171" s="256"/>
    </row>
    <row r="1172" spans="24:24" x14ac:dyDescent="0.25">
      <c r="X1172" s="256"/>
    </row>
    <row r="1173" spans="24:24" x14ac:dyDescent="0.25">
      <c r="X1173" s="256"/>
    </row>
    <row r="1174" spans="24:24" x14ac:dyDescent="0.25">
      <c r="X1174" s="256"/>
    </row>
    <row r="1175" spans="24:24" x14ac:dyDescent="0.25">
      <c r="X1175" s="256"/>
    </row>
    <row r="1176" spans="24:24" x14ac:dyDescent="0.25">
      <c r="X1176" s="256"/>
    </row>
    <row r="1177" spans="24:24" x14ac:dyDescent="0.25">
      <c r="X1177" s="256"/>
    </row>
    <row r="1178" spans="24:24" x14ac:dyDescent="0.25">
      <c r="X1178" s="256"/>
    </row>
    <row r="1179" spans="24:24" x14ac:dyDescent="0.25">
      <c r="X1179" s="256"/>
    </row>
    <row r="1180" spans="24:24" x14ac:dyDescent="0.25">
      <c r="X1180" s="256"/>
    </row>
    <row r="1181" spans="24:24" x14ac:dyDescent="0.25">
      <c r="X1181" s="256"/>
    </row>
    <row r="1182" spans="24:24" x14ac:dyDescent="0.25">
      <c r="X1182" s="256"/>
    </row>
    <row r="1183" spans="24:24" x14ac:dyDescent="0.25">
      <c r="X1183" s="256"/>
    </row>
    <row r="1184" spans="24:24" x14ac:dyDescent="0.25">
      <c r="X1184" s="256"/>
    </row>
    <row r="1185" spans="24:24" x14ac:dyDescent="0.25">
      <c r="X1185" s="256"/>
    </row>
    <row r="1186" spans="24:24" x14ac:dyDescent="0.25">
      <c r="X1186" s="256"/>
    </row>
    <row r="1187" spans="24:24" x14ac:dyDescent="0.25">
      <c r="X1187" s="256"/>
    </row>
    <row r="1188" spans="24:24" x14ac:dyDescent="0.25">
      <c r="X1188" s="256"/>
    </row>
    <row r="1189" spans="24:24" x14ac:dyDescent="0.25">
      <c r="X1189" s="256"/>
    </row>
    <row r="1190" spans="24:24" x14ac:dyDescent="0.25">
      <c r="X1190" s="256"/>
    </row>
    <row r="1191" spans="24:24" x14ac:dyDescent="0.25">
      <c r="X1191" s="256"/>
    </row>
    <row r="1192" spans="24:24" x14ac:dyDescent="0.25">
      <c r="X1192" s="256"/>
    </row>
    <row r="1193" spans="24:24" x14ac:dyDescent="0.25">
      <c r="X1193" s="256"/>
    </row>
    <row r="1194" spans="24:24" x14ac:dyDescent="0.25">
      <c r="X1194" s="256"/>
    </row>
    <row r="1195" spans="24:24" x14ac:dyDescent="0.25">
      <c r="X1195" s="256"/>
    </row>
    <row r="1196" spans="24:24" x14ac:dyDescent="0.25">
      <c r="X1196" s="256"/>
    </row>
    <row r="1197" spans="24:24" x14ac:dyDescent="0.25">
      <c r="X1197" s="256"/>
    </row>
    <row r="1198" spans="24:24" x14ac:dyDescent="0.25">
      <c r="X1198" s="256"/>
    </row>
    <row r="1199" spans="24:24" x14ac:dyDescent="0.25">
      <c r="X1199" s="256"/>
    </row>
    <row r="1200" spans="24:24" x14ac:dyDescent="0.25">
      <c r="X1200" s="256"/>
    </row>
    <row r="1201" spans="24:24" x14ac:dyDescent="0.25">
      <c r="X1201" s="256"/>
    </row>
    <row r="1202" spans="24:24" x14ac:dyDescent="0.25">
      <c r="X1202" s="256"/>
    </row>
    <row r="1203" spans="24:24" x14ac:dyDescent="0.25">
      <c r="X1203" s="256"/>
    </row>
    <row r="1204" spans="24:24" x14ac:dyDescent="0.25">
      <c r="X1204" s="256"/>
    </row>
    <row r="1205" spans="24:24" x14ac:dyDescent="0.25">
      <c r="X1205" s="256"/>
    </row>
    <row r="1206" spans="24:24" x14ac:dyDescent="0.25">
      <c r="X1206" s="256"/>
    </row>
    <row r="1207" spans="24:24" x14ac:dyDescent="0.25">
      <c r="X1207" s="256"/>
    </row>
    <row r="1208" spans="24:24" x14ac:dyDescent="0.25">
      <c r="X1208" s="256"/>
    </row>
    <row r="1209" spans="24:24" x14ac:dyDescent="0.25">
      <c r="X1209" s="256"/>
    </row>
    <row r="1210" spans="24:24" x14ac:dyDescent="0.25">
      <c r="X1210" s="256"/>
    </row>
    <row r="1211" spans="24:24" x14ac:dyDescent="0.25">
      <c r="X1211" s="256"/>
    </row>
    <row r="1212" spans="24:24" x14ac:dyDescent="0.25">
      <c r="X1212" s="256"/>
    </row>
    <row r="1213" spans="24:24" x14ac:dyDescent="0.25">
      <c r="X1213" s="256"/>
    </row>
    <row r="1214" spans="24:24" x14ac:dyDescent="0.25">
      <c r="X1214" s="256"/>
    </row>
    <row r="1215" spans="24:24" x14ac:dyDescent="0.25">
      <c r="X1215" s="256"/>
    </row>
    <row r="1216" spans="24:24" x14ac:dyDescent="0.25">
      <c r="X1216" s="256"/>
    </row>
    <row r="1217" spans="24:24" x14ac:dyDescent="0.25">
      <c r="X1217" s="256"/>
    </row>
    <row r="1218" spans="24:24" x14ac:dyDescent="0.25">
      <c r="X1218" s="256"/>
    </row>
    <row r="1219" spans="24:24" x14ac:dyDescent="0.25">
      <c r="X1219" s="256"/>
    </row>
    <row r="1220" spans="24:24" x14ac:dyDescent="0.25">
      <c r="X1220" s="256"/>
    </row>
    <row r="1221" spans="24:24" x14ac:dyDescent="0.25">
      <c r="X1221" s="256"/>
    </row>
    <row r="1222" spans="24:24" x14ac:dyDescent="0.25">
      <c r="X1222" s="256"/>
    </row>
    <row r="1223" spans="24:24" x14ac:dyDescent="0.25">
      <c r="X1223" s="256"/>
    </row>
    <row r="1224" spans="24:24" x14ac:dyDescent="0.25">
      <c r="X1224" s="256"/>
    </row>
    <row r="1225" spans="24:24" x14ac:dyDescent="0.25">
      <c r="X1225" s="256"/>
    </row>
    <row r="1226" spans="24:24" x14ac:dyDescent="0.25">
      <c r="X1226" s="256"/>
    </row>
    <row r="1227" spans="24:24" x14ac:dyDescent="0.25">
      <c r="X1227" s="256"/>
    </row>
    <row r="1228" spans="24:24" x14ac:dyDescent="0.25">
      <c r="X1228" s="256"/>
    </row>
    <row r="1229" spans="24:24" x14ac:dyDescent="0.25">
      <c r="X1229" s="256"/>
    </row>
    <row r="1230" spans="24:24" x14ac:dyDescent="0.25">
      <c r="X1230" s="256"/>
    </row>
    <row r="1231" spans="24:24" x14ac:dyDescent="0.25">
      <c r="X1231" s="256"/>
    </row>
    <row r="1232" spans="24:24" x14ac:dyDescent="0.25">
      <c r="X1232" s="256"/>
    </row>
    <row r="1233" spans="24:24" x14ac:dyDescent="0.25">
      <c r="X1233" s="256"/>
    </row>
    <row r="1234" spans="24:24" x14ac:dyDescent="0.25">
      <c r="X1234" s="256"/>
    </row>
    <row r="1235" spans="24:24" x14ac:dyDescent="0.25">
      <c r="X1235" s="256"/>
    </row>
    <row r="1236" spans="24:24" x14ac:dyDescent="0.25">
      <c r="X1236" s="256"/>
    </row>
    <row r="1237" spans="24:24" x14ac:dyDescent="0.25">
      <c r="X1237" s="256"/>
    </row>
    <row r="1238" spans="24:24" x14ac:dyDescent="0.25">
      <c r="X1238" s="256"/>
    </row>
    <row r="1239" spans="24:24" x14ac:dyDescent="0.25">
      <c r="X1239" s="256"/>
    </row>
    <row r="1240" spans="24:24" x14ac:dyDescent="0.25">
      <c r="X1240" s="256"/>
    </row>
    <row r="1241" spans="24:24" x14ac:dyDescent="0.25">
      <c r="X1241" s="256"/>
    </row>
    <row r="1242" spans="24:24" x14ac:dyDescent="0.25">
      <c r="X1242" s="256"/>
    </row>
    <row r="1243" spans="24:24" x14ac:dyDescent="0.25">
      <c r="X1243" s="256"/>
    </row>
    <row r="1244" spans="24:24" x14ac:dyDescent="0.25">
      <c r="X1244" s="256"/>
    </row>
    <row r="1245" spans="24:24" x14ac:dyDescent="0.25">
      <c r="X1245" s="256"/>
    </row>
    <row r="1246" spans="24:24" x14ac:dyDescent="0.25">
      <c r="X1246" s="256"/>
    </row>
    <row r="1247" spans="24:24" x14ac:dyDescent="0.25">
      <c r="X1247" s="256"/>
    </row>
    <row r="1248" spans="24:24" x14ac:dyDescent="0.25">
      <c r="X1248" s="256"/>
    </row>
    <row r="1249" spans="24:24" x14ac:dyDescent="0.25">
      <c r="X1249" s="256"/>
    </row>
    <row r="1250" spans="24:24" x14ac:dyDescent="0.25">
      <c r="X1250" s="256"/>
    </row>
    <row r="1251" spans="24:24" x14ac:dyDescent="0.25">
      <c r="X1251" s="256"/>
    </row>
    <row r="1252" spans="24:24" x14ac:dyDescent="0.25">
      <c r="X1252" s="256"/>
    </row>
    <row r="1253" spans="24:24" x14ac:dyDescent="0.25">
      <c r="X1253" s="256"/>
    </row>
    <row r="1254" spans="24:24" x14ac:dyDescent="0.25">
      <c r="X1254" s="256"/>
    </row>
    <row r="1255" spans="24:24" x14ac:dyDescent="0.25">
      <c r="X1255" s="256"/>
    </row>
    <row r="1256" spans="24:24" x14ac:dyDescent="0.25">
      <c r="X1256" s="256"/>
    </row>
    <row r="1257" spans="24:24" x14ac:dyDescent="0.25">
      <c r="X1257" s="256"/>
    </row>
    <row r="1258" spans="24:24" x14ac:dyDescent="0.25">
      <c r="X1258" s="256"/>
    </row>
    <row r="1259" spans="24:24" x14ac:dyDescent="0.25">
      <c r="X1259" s="256"/>
    </row>
    <row r="1260" spans="24:24" x14ac:dyDescent="0.25">
      <c r="X1260" s="256"/>
    </row>
    <row r="1261" spans="24:24" x14ac:dyDescent="0.25">
      <c r="X1261" s="256"/>
    </row>
    <row r="1262" spans="24:24" x14ac:dyDescent="0.25">
      <c r="X1262" s="256"/>
    </row>
    <row r="1263" spans="24:24" x14ac:dyDescent="0.25">
      <c r="X1263" s="256"/>
    </row>
    <row r="1264" spans="24:24" x14ac:dyDescent="0.25">
      <c r="X1264" s="256"/>
    </row>
    <row r="1265" spans="24:24" x14ac:dyDescent="0.25">
      <c r="X1265" s="256"/>
    </row>
    <row r="1266" spans="24:24" x14ac:dyDescent="0.25">
      <c r="X1266" s="256"/>
    </row>
    <row r="1267" spans="24:24" x14ac:dyDescent="0.25">
      <c r="X1267" s="256"/>
    </row>
    <row r="1268" spans="24:24" x14ac:dyDescent="0.25">
      <c r="X1268" s="256"/>
    </row>
    <row r="1269" spans="24:24" x14ac:dyDescent="0.25">
      <c r="X1269" s="256"/>
    </row>
    <row r="1270" spans="24:24" x14ac:dyDescent="0.25">
      <c r="X1270" s="256"/>
    </row>
    <row r="1271" spans="24:24" x14ac:dyDescent="0.25">
      <c r="X1271" s="256"/>
    </row>
    <row r="1272" spans="24:24" x14ac:dyDescent="0.25">
      <c r="X1272" s="256"/>
    </row>
    <row r="1273" spans="24:24" x14ac:dyDescent="0.25">
      <c r="X1273" s="256"/>
    </row>
    <row r="1274" spans="24:24" x14ac:dyDescent="0.25">
      <c r="X1274" s="256"/>
    </row>
    <row r="1275" spans="24:24" x14ac:dyDescent="0.25">
      <c r="X1275" s="256"/>
    </row>
    <row r="1276" spans="24:24" x14ac:dyDescent="0.25">
      <c r="X1276" s="256"/>
    </row>
    <row r="1277" spans="24:24" x14ac:dyDescent="0.25">
      <c r="X1277" s="256"/>
    </row>
    <row r="1278" spans="24:24" x14ac:dyDescent="0.25">
      <c r="X1278" s="256"/>
    </row>
    <row r="1279" spans="24:24" x14ac:dyDescent="0.25">
      <c r="X1279" s="256"/>
    </row>
    <row r="1280" spans="24:24" x14ac:dyDescent="0.25">
      <c r="X1280" s="256"/>
    </row>
    <row r="1281" spans="24:24" x14ac:dyDescent="0.25">
      <c r="X1281" s="256"/>
    </row>
    <row r="1282" spans="24:24" x14ac:dyDescent="0.25">
      <c r="X1282" s="256"/>
    </row>
    <row r="1283" spans="24:24" x14ac:dyDescent="0.25">
      <c r="X1283" s="256"/>
    </row>
    <row r="1284" spans="24:24" x14ac:dyDescent="0.25">
      <c r="X1284" s="256"/>
    </row>
    <row r="1285" spans="24:24" x14ac:dyDescent="0.25">
      <c r="X1285" s="256"/>
    </row>
    <row r="1286" spans="24:24" x14ac:dyDescent="0.25">
      <c r="X1286" s="256"/>
    </row>
    <row r="1287" spans="24:24" x14ac:dyDescent="0.25">
      <c r="X1287" s="256"/>
    </row>
    <row r="1288" spans="24:24" x14ac:dyDescent="0.25">
      <c r="X1288" s="256"/>
    </row>
    <row r="1289" spans="24:24" x14ac:dyDescent="0.25">
      <c r="X1289" s="256"/>
    </row>
    <row r="1290" spans="24:24" x14ac:dyDescent="0.25">
      <c r="X1290" s="256"/>
    </row>
    <row r="1291" spans="24:24" x14ac:dyDescent="0.25">
      <c r="X1291" s="256"/>
    </row>
    <row r="1292" spans="24:24" x14ac:dyDescent="0.25">
      <c r="X1292" s="256"/>
    </row>
    <row r="1293" spans="24:24" x14ac:dyDescent="0.25">
      <c r="X1293" s="256"/>
    </row>
    <row r="1294" spans="24:24" x14ac:dyDescent="0.25">
      <c r="X1294" s="256"/>
    </row>
    <row r="1295" spans="24:24" x14ac:dyDescent="0.25">
      <c r="X1295" s="256"/>
    </row>
    <row r="1296" spans="24:24" x14ac:dyDescent="0.25">
      <c r="X1296" s="256"/>
    </row>
    <row r="1297" spans="24:24" x14ac:dyDescent="0.25">
      <c r="X1297" s="256"/>
    </row>
    <row r="1298" spans="24:24" x14ac:dyDescent="0.25">
      <c r="X1298" s="256"/>
    </row>
    <row r="1299" spans="24:24" x14ac:dyDescent="0.25">
      <c r="X1299" s="256"/>
    </row>
    <row r="1300" spans="24:24" x14ac:dyDescent="0.25">
      <c r="X1300" s="256"/>
    </row>
    <row r="1301" spans="24:24" x14ac:dyDescent="0.25">
      <c r="X1301" s="256"/>
    </row>
    <row r="1302" spans="24:24" x14ac:dyDescent="0.25">
      <c r="X1302" s="256"/>
    </row>
    <row r="1303" spans="24:24" x14ac:dyDescent="0.25">
      <c r="X1303" s="256"/>
    </row>
    <row r="1304" spans="24:24" x14ac:dyDescent="0.25">
      <c r="X1304" s="256"/>
    </row>
    <row r="1305" spans="24:24" x14ac:dyDescent="0.25">
      <c r="X1305" s="256"/>
    </row>
    <row r="1306" spans="24:24" x14ac:dyDescent="0.25">
      <c r="X1306" s="256"/>
    </row>
    <row r="1307" spans="24:24" x14ac:dyDescent="0.25">
      <c r="X1307" s="256"/>
    </row>
    <row r="1308" spans="24:24" x14ac:dyDescent="0.25">
      <c r="X1308" s="256"/>
    </row>
    <row r="1309" spans="24:24" x14ac:dyDescent="0.25">
      <c r="X1309" s="256"/>
    </row>
    <row r="1310" spans="24:24" x14ac:dyDescent="0.25">
      <c r="X1310" s="256"/>
    </row>
    <row r="1311" spans="24:24" x14ac:dyDescent="0.25">
      <c r="X1311" s="256"/>
    </row>
    <row r="1312" spans="24:24" x14ac:dyDescent="0.25">
      <c r="X1312" s="256"/>
    </row>
    <row r="1313" spans="24:24" x14ac:dyDescent="0.25">
      <c r="X1313" s="256"/>
    </row>
    <row r="1314" spans="24:24" x14ac:dyDescent="0.25">
      <c r="X1314" s="256"/>
    </row>
    <row r="1315" spans="24:24" x14ac:dyDescent="0.25">
      <c r="X1315" s="256"/>
    </row>
    <row r="1316" spans="24:24" x14ac:dyDescent="0.25">
      <c r="X1316" s="256"/>
    </row>
    <row r="1317" spans="24:24" x14ac:dyDescent="0.25">
      <c r="X1317" s="256"/>
    </row>
    <row r="1318" spans="24:24" x14ac:dyDescent="0.25">
      <c r="X1318" s="256"/>
    </row>
    <row r="1319" spans="24:24" x14ac:dyDescent="0.25">
      <c r="X1319" s="256"/>
    </row>
    <row r="1320" spans="24:24" x14ac:dyDescent="0.25">
      <c r="X1320" s="256"/>
    </row>
    <row r="1321" spans="24:24" x14ac:dyDescent="0.25">
      <c r="X1321" s="256"/>
    </row>
    <row r="1322" spans="24:24" x14ac:dyDescent="0.25">
      <c r="X1322" s="256"/>
    </row>
    <row r="1323" spans="24:24" x14ac:dyDescent="0.25">
      <c r="X1323" s="256"/>
    </row>
    <row r="1324" spans="24:24" x14ac:dyDescent="0.25">
      <c r="X1324" s="256"/>
    </row>
    <row r="1325" spans="24:24" x14ac:dyDescent="0.25">
      <c r="X1325" s="256"/>
    </row>
    <row r="1326" spans="24:24" x14ac:dyDescent="0.25">
      <c r="X1326" s="256"/>
    </row>
    <row r="1327" spans="24:24" x14ac:dyDescent="0.25">
      <c r="X1327" s="256"/>
    </row>
    <row r="1328" spans="24:24" x14ac:dyDescent="0.25">
      <c r="X1328" s="256"/>
    </row>
    <row r="1329" spans="24:24" x14ac:dyDescent="0.25">
      <c r="X1329" s="256"/>
    </row>
    <row r="1330" spans="24:24" x14ac:dyDescent="0.25">
      <c r="X1330" s="256"/>
    </row>
    <row r="1331" spans="24:24" x14ac:dyDescent="0.25">
      <c r="X1331" s="256"/>
    </row>
    <row r="1332" spans="24:24" x14ac:dyDescent="0.25">
      <c r="X1332" s="256"/>
    </row>
    <row r="1333" spans="24:24" x14ac:dyDescent="0.25">
      <c r="X1333" s="256"/>
    </row>
    <row r="1334" spans="24:24" x14ac:dyDescent="0.25">
      <c r="X1334" s="256"/>
    </row>
    <row r="1335" spans="24:24" x14ac:dyDescent="0.25">
      <c r="X1335" s="256"/>
    </row>
    <row r="1336" spans="24:24" x14ac:dyDescent="0.25">
      <c r="X1336" s="256"/>
    </row>
    <row r="1337" spans="24:24" x14ac:dyDescent="0.25">
      <c r="X1337" s="256"/>
    </row>
    <row r="1338" spans="24:24" x14ac:dyDescent="0.25">
      <c r="X1338" s="256"/>
    </row>
    <row r="1339" spans="24:24" x14ac:dyDescent="0.25">
      <c r="X1339" s="256"/>
    </row>
    <row r="1340" spans="24:24" x14ac:dyDescent="0.25">
      <c r="X1340" s="256"/>
    </row>
    <row r="1341" spans="24:24" x14ac:dyDescent="0.25">
      <c r="X1341" s="256"/>
    </row>
    <row r="1342" spans="24:24" x14ac:dyDescent="0.25">
      <c r="X1342" s="256"/>
    </row>
    <row r="1343" spans="24:24" x14ac:dyDescent="0.25">
      <c r="X1343" s="256"/>
    </row>
    <row r="1344" spans="24:24" x14ac:dyDescent="0.25">
      <c r="X1344" s="256"/>
    </row>
    <row r="1345" spans="24:24" x14ac:dyDescent="0.25">
      <c r="X1345" s="256"/>
    </row>
    <row r="1346" spans="24:24" x14ac:dyDescent="0.25">
      <c r="X1346" s="256"/>
    </row>
    <row r="1347" spans="24:24" x14ac:dyDescent="0.25">
      <c r="X1347" s="256"/>
    </row>
    <row r="1348" spans="24:24" x14ac:dyDescent="0.25">
      <c r="X1348" s="256"/>
    </row>
    <row r="1349" spans="24:24" x14ac:dyDescent="0.25">
      <c r="X1349" s="256"/>
    </row>
    <row r="1350" spans="24:24" x14ac:dyDescent="0.25">
      <c r="X1350" s="256"/>
    </row>
    <row r="1351" spans="24:24" x14ac:dyDescent="0.25">
      <c r="X1351" s="256"/>
    </row>
    <row r="1352" spans="24:24" x14ac:dyDescent="0.25">
      <c r="X1352" s="256"/>
    </row>
    <row r="1353" spans="24:24" x14ac:dyDescent="0.25">
      <c r="X1353" s="256"/>
    </row>
    <row r="1354" spans="24:24" x14ac:dyDescent="0.25">
      <c r="X1354" s="256"/>
    </row>
    <row r="1355" spans="24:24" x14ac:dyDescent="0.25">
      <c r="X1355" s="256"/>
    </row>
    <row r="1356" spans="24:24" x14ac:dyDescent="0.25">
      <c r="X1356" s="256"/>
    </row>
    <row r="1357" spans="24:24" x14ac:dyDescent="0.25">
      <c r="X1357" s="256"/>
    </row>
    <row r="1358" spans="24:24" x14ac:dyDescent="0.25">
      <c r="X1358" s="256"/>
    </row>
    <row r="1359" spans="24:24" x14ac:dyDescent="0.25">
      <c r="X1359" s="256"/>
    </row>
    <row r="1360" spans="24:24" x14ac:dyDescent="0.25">
      <c r="X1360" s="256"/>
    </row>
    <row r="1361" spans="24:24" x14ac:dyDescent="0.25">
      <c r="X1361" s="256"/>
    </row>
    <row r="1362" spans="24:24" x14ac:dyDescent="0.25">
      <c r="X1362" s="256"/>
    </row>
    <row r="1363" spans="24:24" x14ac:dyDescent="0.25">
      <c r="X1363" s="256"/>
    </row>
    <row r="1364" spans="24:24" x14ac:dyDescent="0.25">
      <c r="X1364" s="256"/>
    </row>
    <row r="1365" spans="24:24" x14ac:dyDescent="0.25">
      <c r="X1365" s="256"/>
    </row>
    <row r="1366" spans="24:24" x14ac:dyDescent="0.25">
      <c r="X1366" s="256"/>
    </row>
    <row r="1367" spans="24:24" x14ac:dyDescent="0.25">
      <c r="X1367" s="256"/>
    </row>
    <row r="1368" spans="24:24" x14ac:dyDescent="0.25">
      <c r="X1368" s="256"/>
    </row>
    <row r="1369" spans="24:24" x14ac:dyDescent="0.25">
      <c r="X1369" s="256"/>
    </row>
    <row r="1370" spans="24:24" x14ac:dyDescent="0.25">
      <c r="X1370" s="256"/>
    </row>
    <row r="1371" spans="24:24" x14ac:dyDescent="0.25">
      <c r="X1371" s="256"/>
    </row>
    <row r="1372" spans="24:24" x14ac:dyDescent="0.25">
      <c r="X1372" s="256"/>
    </row>
    <row r="1373" spans="24:24" x14ac:dyDescent="0.25">
      <c r="X1373" s="256"/>
    </row>
    <row r="1374" spans="24:24" x14ac:dyDescent="0.25">
      <c r="X1374" s="256"/>
    </row>
    <row r="1375" spans="24:24" x14ac:dyDescent="0.25">
      <c r="X1375" s="256"/>
    </row>
    <row r="1376" spans="24:24" x14ac:dyDescent="0.25">
      <c r="X1376" s="256"/>
    </row>
    <row r="1377" spans="24:24" x14ac:dyDescent="0.25">
      <c r="X1377" s="256"/>
    </row>
    <row r="1378" spans="24:24" x14ac:dyDescent="0.25">
      <c r="X1378" s="256"/>
    </row>
    <row r="1379" spans="24:24" x14ac:dyDescent="0.25">
      <c r="X1379" s="256"/>
    </row>
    <row r="1380" spans="24:24" x14ac:dyDescent="0.25">
      <c r="X1380" s="256"/>
    </row>
    <row r="1381" spans="24:24" x14ac:dyDescent="0.25">
      <c r="X1381" s="256"/>
    </row>
    <row r="1382" spans="24:24" x14ac:dyDescent="0.25">
      <c r="X1382" s="256"/>
    </row>
    <row r="1383" spans="24:24" x14ac:dyDescent="0.25">
      <c r="X1383" s="256"/>
    </row>
    <row r="1384" spans="24:24" x14ac:dyDescent="0.25">
      <c r="X1384" s="256"/>
    </row>
    <row r="1385" spans="24:24" x14ac:dyDescent="0.25">
      <c r="X1385" s="256"/>
    </row>
    <row r="1386" spans="24:24" x14ac:dyDescent="0.25">
      <c r="X1386" s="256"/>
    </row>
    <row r="1387" spans="24:24" x14ac:dyDescent="0.25">
      <c r="X1387" s="256"/>
    </row>
    <row r="1388" spans="24:24" x14ac:dyDescent="0.25">
      <c r="X1388" s="256"/>
    </row>
    <row r="1389" spans="24:24" x14ac:dyDescent="0.25">
      <c r="X1389" s="256"/>
    </row>
    <row r="1390" spans="24:24" x14ac:dyDescent="0.25">
      <c r="X1390" s="256"/>
    </row>
    <row r="1391" spans="24:24" x14ac:dyDescent="0.25">
      <c r="X1391" s="256"/>
    </row>
    <row r="1392" spans="24:24" x14ac:dyDescent="0.25">
      <c r="X1392" s="256"/>
    </row>
    <row r="1393" spans="24:24" x14ac:dyDescent="0.25">
      <c r="X1393" s="256"/>
    </row>
    <row r="1394" spans="24:24" x14ac:dyDescent="0.25">
      <c r="X1394" s="256"/>
    </row>
    <row r="1395" spans="24:24" x14ac:dyDescent="0.25">
      <c r="X1395" s="256"/>
    </row>
    <row r="1396" spans="24:24" x14ac:dyDescent="0.25">
      <c r="X1396" s="256"/>
    </row>
    <row r="1397" spans="24:24" x14ac:dyDescent="0.25">
      <c r="X1397" s="256"/>
    </row>
    <row r="1398" spans="24:24" x14ac:dyDescent="0.25">
      <c r="X1398" s="256"/>
    </row>
    <row r="1399" spans="24:24" x14ac:dyDescent="0.25">
      <c r="X1399" s="256"/>
    </row>
    <row r="1400" spans="24:24" x14ac:dyDescent="0.25">
      <c r="X1400" s="256"/>
    </row>
    <row r="1401" spans="24:24" x14ac:dyDescent="0.25">
      <c r="X1401" s="256"/>
    </row>
    <row r="1402" spans="24:24" x14ac:dyDescent="0.25">
      <c r="X1402" s="256"/>
    </row>
    <row r="1403" spans="24:24" x14ac:dyDescent="0.25">
      <c r="X1403" s="256"/>
    </row>
    <row r="1404" spans="24:24" x14ac:dyDescent="0.25">
      <c r="X1404" s="256"/>
    </row>
    <row r="1405" spans="24:24" x14ac:dyDescent="0.25">
      <c r="X1405" s="256"/>
    </row>
    <row r="1406" spans="24:24" x14ac:dyDescent="0.25">
      <c r="X1406" s="256"/>
    </row>
    <row r="1407" spans="24:24" x14ac:dyDescent="0.25">
      <c r="X1407" s="256"/>
    </row>
    <row r="1408" spans="24:24" x14ac:dyDescent="0.25">
      <c r="X1408" s="256"/>
    </row>
    <row r="1409" spans="24:24" x14ac:dyDescent="0.25">
      <c r="X1409" s="256"/>
    </row>
    <row r="1410" spans="24:24" x14ac:dyDescent="0.25">
      <c r="X1410" s="256"/>
    </row>
    <row r="1411" spans="24:24" x14ac:dyDescent="0.25">
      <c r="X1411" s="256"/>
    </row>
    <row r="1412" spans="24:24" x14ac:dyDescent="0.25">
      <c r="X1412" s="256"/>
    </row>
    <row r="1413" spans="24:24" x14ac:dyDescent="0.25">
      <c r="X1413" s="256"/>
    </row>
    <row r="1414" spans="24:24" x14ac:dyDescent="0.25">
      <c r="X1414" s="256"/>
    </row>
    <row r="1415" spans="24:24" x14ac:dyDescent="0.25">
      <c r="X1415" s="256"/>
    </row>
    <row r="1416" spans="24:24" x14ac:dyDescent="0.25">
      <c r="X1416" s="256"/>
    </row>
    <row r="1417" spans="24:24" x14ac:dyDescent="0.25">
      <c r="X1417" s="256"/>
    </row>
    <row r="1418" spans="24:24" x14ac:dyDescent="0.25">
      <c r="X1418" s="256"/>
    </row>
    <row r="1419" spans="24:24" x14ac:dyDescent="0.25">
      <c r="X1419" s="256"/>
    </row>
    <row r="1420" spans="24:24" x14ac:dyDescent="0.25">
      <c r="X1420" s="256"/>
    </row>
    <row r="1421" spans="24:24" x14ac:dyDescent="0.25">
      <c r="X1421" s="256"/>
    </row>
    <row r="1422" spans="24:24" x14ac:dyDescent="0.25">
      <c r="X1422" s="256"/>
    </row>
    <row r="1423" spans="24:24" x14ac:dyDescent="0.25">
      <c r="X1423" s="256"/>
    </row>
    <row r="1424" spans="24:24" x14ac:dyDescent="0.25">
      <c r="X1424" s="256"/>
    </row>
    <row r="1425" spans="24:24" x14ac:dyDescent="0.25">
      <c r="X1425" s="256"/>
    </row>
    <row r="1426" spans="24:24" x14ac:dyDescent="0.25">
      <c r="X1426" s="256"/>
    </row>
    <row r="1427" spans="24:24" x14ac:dyDescent="0.25">
      <c r="X1427" s="256"/>
    </row>
    <row r="1428" spans="24:24" x14ac:dyDescent="0.25">
      <c r="X1428" s="256"/>
    </row>
    <row r="1429" spans="24:24" x14ac:dyDescent="0.25">
      <c r="X1429" s="256"/>
    </row>
    <row r="1430" spans="24:24" x14ac:dyDescent="0.25">
      <c r="X1430" s="256"/>
    </row>
    <row r="1431" spans="24:24" x14ac:dyDescent="0.25">
      <c r="X1431" s="256"/>
    </row>
    <row r="1432" spans="24:24" x14ac:dyDescent="0.25">
      <c r="X1432" s="256"/>
    </row>
    <row r="1433" spans="24:24" x14ac:dyDescent="0.25">
      <c r="X1433" s="256"/>
    </row>
    <row r="1434" spans="24:24" x14ac:dyDescent="0.25">
      <c r="X1434" s="256"/>
    </row>
    <row r="1435" spans="24:24" x14ac:dyDescent="0.25">
      <c r="X1435" s="256"/>
    </row>
    <row r="1436" spans="24:24" x14ac:dyDescent="0.25">
      <c r="X1436" s="256"/>
    </row>
    <row r="1437" spans="24:24" x14ac:dyDescent="0.25">
      <c r="X1437" s="256"/>
    </row>
    <row r="1438" spans="24:24" x14ac:dyDescent="0.25">
      <c r="X1438" s="256"/>
    </row>
    <row r="1439" spans="24:24" x14ac:dyDescent="0.25">
      <c r="X1439" s="256"/>
    </row>
    <row r="1440" spans="24:24" x14ac:dyDescent="0.25">
      <c r="X1440" s="256"/>
    </row>
    <row r="1441" spans="24:24" x14ac:dyDescent="0.25">
      <c r="X1441" s="256"/>
    </row>
    <row r="1442" spans="24:24" x14ac:dyDescent="0.25">
      <c r="X1442" s="256"/>
    </row>
    <row r="1443" spans="24:24" x14ac:dyDescent="0.25">
      <c r="X1443" s="256"/>
    </row>
    <row r="1444" spans="24:24" x14ac:dyDescent="0.25">
      <c r="X1444" s="256"/>
    </row>
    <row r="1445" spans="24:24" x14ac:dyDescent="0.25">
      <c r="X1445" s="256"/>
    </row>
    <row r="1446" spans="24:24" x14ac:dyDescent="0.25">
      <c r="X1446" s="256"/>
    </row>
    <row r="1447" spans="24:24" x14ac:dyDescent="0.25">
      <c r="X1447" s="256"/>
    </row>
    <row r="1448" spans="24:24" x14ac:dyDescent="0.25">
      <c r="X1448" s="256"/>
    </row>
    <row r="1449" spans="24:24" x14ac:dyDescent="0.25">
      <c r="X1449" s="256"/>
    </row>
    <row r="1450" spans="24:24" x14ac:dyDescent="0.25">
      <c r="X1450" s="256"/>
    </row>
    <row r="1451" spans="24:24" x14ac:dyDescent="0.25">
      <c r="X1451" s="256"/>
    </row>
    <row r="1452" spans="24:24" x14ac:dyDescent="0.25">
      <c r="X1452" s="256"/>
    </row>
    <row r="1453" spans="24:24" x14ac:dyDescent="0.25">
      <c r="X1453" s="256"/>
    </row>
    <row r="1454" spans="24:24" x14ac:dyDescent="0.25">
      <c r="X1454" s="256"/>
    </row>
    <row r="1455" spans="24:24" x14ac:dyDescent="0.25">
      <c r="X1455" s="256"/>
    </row>
    <row r="1456" spans="24:24" x14ac:dyDescent="0.25">
      <c r="X1456" s="256"/>
    </row>
    <row r="1457" spans="24:24" x14ac:dyDescent="0.25">
      <c r="X1457" s="256"/>
    </row>
    <row r="1458" spans="24:24" x14ac:dyDescent="0.25">
      <c r="X1458" s="256"/>
    </row>
    <row r="1459" spans="24:24" x14ac:dyDescent="0.25">
      <c r="X1459" s="256"/>
    </row>
    <row r="1460" spans="24:24" x14ac:dyDescent="0.25">
      <c r="X1460" s="256"/>
    </row>
    <row r="1461" spans="24:24" x14ac:dyDescent="0.25">
      <c r="X1461" s="256"/>
    </row>
    <row r="1462" spans="24:24" x14ac:dyDescent="0.25">
      <c r="X1462" s="256"/>
    </row>
    <row r="1463" spans="24:24" x14ac:dyDescent="0.25">
      <c r="X1463" s="256"/>
    </row>
    <row r="1464" spans="24:24" x14ac:dyDescent="0.25">
      <c r="X1464" s="256"/>
    </row>
    <row r="1465" spans="24:24" x14ac:dyDescent="0.25">
      <c r="X1465" s="256"/>
    </row>
    <row r="1466" spans="24:24" x14ac:dyDescent="0.25">
      <c r="X1466" s="256"/>
    </row>
    <row r="1467" spans="24:24" x14ac:dyDescent="0.25">
      <c r="X1467" s="256"/>
    </row>
    <row r="1468" spans="24:24" x14ac:dyDescent="0.25">
      <c r="X1468" s="256"/>
    </row>
    <row r="1469" spans="24:24" x14ac:dyDescent="0.25">
      <c r="X1469" s="256"/>
    </row>
    <row r="1470" spans="24:24" x14ac:dyDescent="0.25">
      <c r="X1470" s="256"/>
    </row>
    <row r="1471" spans="24:24" x14ac:dyDescent="0.25">
      <c r="X1471" s="256"/>
    </row>
    <row r="1472" spans="24:24" x14ac:dyDescent="0.25">
      <c r="X1472" s="256"/>
    </row>
    <row r="1473" spans="24:24" x14ac:dyDescent="0.25">
      <c r="X1473" s="256"/>
    </row>
    <row r="1474" spans="24:24" x14ac:dyDescent="0.25">
      <c r="X1474" s="256"/>
    </row>
    <row r="1475" spans="24:24" x14ac:dyDescent="0.25">
      <c r="X1475" s="256"/>
    </row>
    <row r="1476" spans="24:24" x14ac:dyDescent="0.25">
      <c r="X1476" s="256"/>
    </row>
    <row r="1477" spans="24:24" x14ac:dyDescent="0.25">
      <c r="X1477" s="256"/>
    </row>
    <row r="1478" spans="24:24" x14ac:dyDescent="0.25">
      <c r="X1478" s="256"/>
    </row>
    <row r="1479" spans="24:24" x14ac:dyDescent="0.25">
      <c r="X1479" s="256"/>
    </row>
    <row r="1480" spans="24:24" x14ac:dyDescent="0.25">
      <c r="X1480" s="256"/>
    </row>
    <row r="1481" spans="24:24" x14ac:dyDescent="0.25">
      <c r="X1481" s="256"/>
    </row>
    <row r="1482" spans="24:24" x14ac:dyDescent="0.25">
      <c r="X1482" s="256"/>
    </row>
    <row r="1483" spans="24:24" x14ac:dyDescent="0.25">
      <c r="X1483" s="256"/>
    </row>
    <row r="1484" spans="24:24" x14ac:dyDescent="0.25">
      <c r="X1484" s="256"/>
    </row>
    <row r="1485" spans="24:24" x14ac:dyDescent="0.25">
      <c r="X1485" s="256"/>
    </row>
    <row r="1486" spans="24:24" x14ac:dyDescent="0.25">
      <c r="X1486" s="256"/>
    </row>
    <row r="1487" spans="24:24" x14ac:dyDescent="0.25">
      <c r="X1487" s="256"/>
    </row>
    <row r="1488" spans="24:24" x14ac:dyDescent="0.25">
      <c r="X1488" s="256"/>
    </row>
    <row r="1489" spans="24:24" x14ac:dyDescent="0.25">
      <c r="X1489" s="256"/>
    </row>
    <row r="1490" spans="24:24" x14ac:dyDescent="0.25">
      <c r="X1490" s="256"/>
    </row>
    <row r="1491" spans="24:24" x14ac:dyDescent="0.25">
      <c r="X1491" s="256"/>
    </row>
    <row r="1492" spans="24:24" x14ac:dyDescent="0.25">
      <c r="X1492" s="256"/>
    </row>
    <row r="1493" spans="24:24" x14ac:dyDescent="0.25">
      <c r="X1493" s="256"/>
    </row>
    <row r="1494" spans="24:24" x14ac:dyDescent="0.25">
      <c r="X1494" s="256"/>
    </row>
    <row r="1495" spans="24:24" x14ac:dyDescent="0.25">
      <c r="X1495" s="256"/>
    </row>
    <row r="1496" spans="24:24" x14ac:dyDescent="0.25">
      <c r="X1496" s="256"/>
    </row>
    <row r="1497" spans="24:24" x14ac:dyDescent="0.25">
      <c r="X1497" s="256"/>
    </row>
    <row r="1498" spans="24:24" x14ac:dyDescent="0.25">
      <c r="X1498" s="256"/>
    </row>
    <row r="1499" spans="24:24" x14ac:dyDescent="0.25">
      <c r="X1499" s="256"/>
    </row>
    <row r="1500" spans="24:24" x14ac:dyDescent="0.25">
      <c r="X1500" s="256"/>
    </row>
    <row r="1501" spans="24:24" x14ac:dyDescent="0.25">
      <c r="X1501" s="256"/>
    </row>
    <row r="1502" spans="24:24" x14ac:dyDescent="0.25">
      <c r="X1502" s="256"/>
    </row>
    <row r="1503" spans="24:24" x14ac:dyDescent="0.25">
      <c r="X1503" s="256"/>
    </row>
    <row r="1504" spans="24:24" x14ac:dyDescent="0.25">
      <c r="X1504" s="256"/>
    </row>
    <row r="1505" spans="24:24" x14ac:dyDescent="0.25">
      <c r="X1505" s="256"/>
    </row>
    <row r="1506" spans="24:24" x14ac:dyDescent="0.25">
      <c r="X1506" s="256"/>
    </row>
    <row r="1507" spans="24:24" x14ac:dyDescent="0.25">
      <c r="X1507" s="256"/>
    </row>
    <row r="1508" spans="24:24" x14ac:dyDescent="0.25">
      <c r="X1508" s="256"/>
    </row>
    <row r="1509" spans="24:24" x14ac:dyDescent="0.25">
      <c r="X1509" s="256"/>
    </row>
    <row r="1510" spans="24:24" x14ac:dyDescent="0.25">
      <c r="X1510" s="256"/>
    </row>
    <row r="1511" spans="24:24" x14ac:dyDescent="0.25">
      <c r="X1511" s="256"/>
    </row>
    <row r="1512" spans="24:24" x14ac:dyDescent="0.25">
      <c r="X1512" s="256"/>
    </row>
    <row r="1513" spans="24:24" x14ac:dyDescent="0.25">
      <c r="X1513" s="256"/>
    </row>
    <row r="1514" spans="24:24" x14ac:dyDescent="0.25">
      <c r="X1514" s="256"/>
    </row>
    <row r="1515" spans="24:24" x14ac:dyDescent="0.25">
      <c r="X1515" s="256"/>
    </row>
    <row r="1516" spans="24:24" x14ac:dyDescent="0.25">
      <c r="X1516" s="256"/>
    </row>
    <row r="1517" spans="24:24" x14ac:dyDescent="0.25">
      <c r="X1517" s="256"/>
    </row>
    <row r="1518" spans="24:24" x14ac:dyDescent="0.25">
      <c r="X1518" s="256"/>
    </row>
    <row r="1519" spans="24:24" x14ac:dyDescent="0.25">
      <c r="X1519" s="256"/>
    </row>
    <row r="1520" spans="24:24" x14ac:dyDescent="0.25">
      <c r="X1520" s="256"/>
    </row>
    <row r="1521" spans="24:24" x14ac:dyDescent="0.25">
      <c r="X1521" s="256"/>
    </row>
    <row r="1522" spans="24:24" x14ac:dyDescent="0.25">
      <c r="X1522" s="256"/>
    </row>
    <row r="1523" spans="24:24" x14ac:dyDescent="0.25">
      <c r="X1523" s="256"/>
    </row>
    <row r="1524" spans="24:24" x14ac:dyDescent="0.25">
      <c r="X1524" s="256"/>
    </row>
    <row r="1525" spans="24:24" x14ac:dyDescent="0.25">
      <c r="X1525" s="256"/>
    </row>
    <row r="1526" spans="24:24" x14ac:dyDescent="0.25">
      <c r="X1526" s="256"/>
    </row>
    <row r="1527" spans="24:24" x14ac:dyDescent="0.25">
      <c r="X1527" s="256"/>
    </row>
    <row r="1528" spans="24:24" x14ac:dyDescent="0.25">
      <c r="X1528" s="256"/>
    </row>
    <row r="1529" spans="24:24" x14ac:dyDescent="0.25">
      <c r="X1529" s="256"/>
    </row>
    <row r="1530" spans="24:24" x14ac:dyDescent="0.25">
      <c r="X1530" s="256"/>
    </row>
    <row r="1531" spans="24:24" x14ac:dyDescent="0.25">
      <c r="X1531" s="256"/>
    </row>
    <row r="1532" spans="24:24" x14ac:dyDescent="0.25">
      <c r="X1532" s="256"/>
    </row>
    <row r="1533" spans="24:24" x14ac:dyDescent="0.25">
      <c r="X1533" s="256"/>
    </row>
    <row r="1534" spans="24:24" x14ac:dyDescent="0.25">
      <c r="X1534" s="256"/>
    </row>
    <row r="1535" spans="24:24" x14ac:dyDescent="0.25">
      <c r="X1535" s="256"/>
    </row>
    <row r="1536" spans="24:24" x14ac:dyDescent="0.25">
      <c r="X1536" s="256"/>
    </row>
    <row r="1537" spans="24:24" x14ac:dyDescent="0.25">
      <c r="X1537" s="256"/>
    </row>
    <row r="1538" spans="24:24" x14ac:dyDescent="0.25">
      <c r="X1538" s="256"/>
    </row>
    <row r="1539" spans="24:24" x14ac:dyDescent="0.25">
      <c r="X1539" s="256"/>
    </row>
    <row r="1540" spans="24:24" x14ac:dyDescent="0.25">
      <c r="X1540" s="256"/>
    </row>
    <row r="1541" spans="24:24" x14ac:dyDescent="0.25">
      <c r="X1541" s="256"/>
    </row>
    <row r="1542" spans="24:24" x14ac:dyDescent="0.25">
      <c r="X1542" s="256"/>
    </row>
    <row r="1543" spans="24:24" x14ac:dyDescent="0.25">
      <c r="X1543" s="256"/>
    </row>
    <row r="1544" spans="24:24" x14ac:dyDescent="0.25">
      <c r="X1544" s="256"/>
    </row>
    <row r="1545" spans="24:24" x14ac:dyDescent="0.25">
      <c r="X1545" s="256"/>
    </row>
    <row r="1546" spans="24:24" x14ac:dyDescent="0.25">
      <c r="X1546" s="256"/>
    </row>
    <row r="1547" spans="24:24" x14ac:dyDescent="0.25">
      <c r="X1547" s="256"/>
    </row>
    <row r="1548" spans="24:24" x14ac:dyDescent="0.25">
      <c r="X1548" s="256"/>
    </row>
    <row r="1549" spans="24:24" x14ac:dyDescent="0.25">
      <c r="X1549" s="256"/>
    </row>
    <row r="1550" spans="24:24" x14ac:dyDescent="0.25">
      <c r="X1550" s="256"/>
    </row>
    <row r="1551" spans="24:24" x14ac:dyDescent="0.25">
      <c r="X1551" s="256"/>
    </row>
    <row r="1552" spans="24:24" x14ac:dyDescent="0.25">
      <c r="X1552" s="256"/>
    </row>
    <row r="1553" spans="24:24" x14ac:dyDescent="0.25">
      <c r="X1553" s="256"/>
    </row>
    <row r="1554" spans="24:24" x14ac:dyDescent="0.25">
      <c r="X1554" s="256"/>
    </row>
    <row r="1555" spans="24:24" x14ac:dyDescent="0.25">
      <c r="X1555" s="256"/>
    </row>
    <row r="1556" spans="24:24" x14ac:dyDescent="0.25">
      <c r="X1556" s="256"/>
    </row>
    <row r="1557" spans="24:24" x14ac:dyDescent="0.25">
      <c r="X1557" s="256"/>
    </row>
    <row r="1558" spans="24:24" x14ac:dyDescent="0.25">
      <c r="X1558" s="256"/>
    </row>
    <row r="1559" spans="24:24" x14ac:dyDescent="0.25">
      <c r="X1559" s="256"/>
    </row>
    <row r="1560" spans="24:24" x14ac:dyDescent="0.25">
      <c r="X1560" s="256"/>
    </row>
    <row r="1561" spans="24:24" x14ac:dyDescent="0.25">
      <c r="X1561" s="256"/>
    </row>
    <row r="1562" spans="24:24" x14ac:dyDescent="0.25">
      <c r="X1562" s="256"/>
    </row>
    <row r="1563" spans="24:24" x14ac:dyDescent="0.25">
      <c r="X1563" s="256"/>
    </row>
    <row r="1564" spans="24:24" x14ac:dyDescent="0.25">
      <c r="X1564" s="256"/>
    </row>
    <row r="1565" spans="24:24" x14ac:dyDescent="0.25">
      <c r="X1565" s="256"/>
    </row>
    <row r="1566" spans="24:24" x14ac:dyDescent="0.25">
      <c r="X1566" s="256"/>
    </row>
    <row r="1567" spans="24:24" x14ac:dyDescent="0.25">
      <c r="X1567" s="256"/>
    </row>
    <row r="1568" spans="24:24" x14ac:dyDescent="0.25">
      <c r="X1568" s="256"/>
    </row>
    <row r="1569" spans="24:24" x14ac:dyDescent="0.25">
      <c r="X1569" s="256"/>
    </row>
    <row r="1570" spans="24:24" x14ac:dyDescent="0.25">
      <c r="X1570" s="256"/>
    </row>
    <row r="1571" spans="24:24" x14ac:dyDescent="0.25">
      <c r="X1571" s="256"/>
    </row>
    <row r="1572" spans="24:24" x14ac:dyDescent="0.25">
      <c r="X1572" s="256"/>
    </row>
    <row r="1573" spans="24:24" x14ac:dyDescent="0.25">
      <c r="X1573" s="256"/>
    </row>
    <row r="1574" spans="24:24" x14ac:dyDescent="0.25">
      <c r="X1574" s="256"/>
    </row>
    <row r="1575" spans="24:24" x14ac:dyDescent="0.25">
      <c r="X1575" s="256"/>
    </row>
    <row r="1576" spans="24:24" x14ac:dyDescent="0.25">
      <c r="X1576" s="256"/>
    </row>
    <row r="1577" spans="24:24" x14ac:dyDescent="0.25">
      <c r="X1577" s="256"/>
    </row>
    <row r="1578" spans="24:24" x14ac:dyDescent="0.25">
      <c r="X1578" s="256"/>
    </row>
    <row r="1579" spans="24:24" x14ac:dyDescent="0.25">
      <c r="X1579" s="256"/>
    </row>
    <row r="1580" spans="24:24" x14ac:dyDescent="0.25">
      <c r="X1580" s="256"/>
    </row>
    <row r="1581" spans="24:24" x14ac:dyDescent="0.25">
      <c r="X1581" s="256"/>
    </row>
    <row r="1582" spans="24:24" x14ac:dyDescent="0.25">
      <c r="X1582" s="256"/>
    </row>
    <row r="1583" spans="24:24" x14ac:dyDescent="0.25">
      <c r="X1583" s="256"/>
    </row>
    <row r="1584" spans="24:24" x14ac:dyDescent="0.25">
      <c r="X1584" s="256"/>
    </row>
    <row r="1585" spans="24:24" x14ac:dyDescent="0.25">
      <c r="X1585" s="256"/>
    </row>
    <row r="1586" spans="24:24" x14ac:dyDescent="0.25">
      <c r="X1586" s="256"/>
    </row>
    <row r="1587" spans="24:24" x14ac:dyDescent="0.25">
      <c r="X1587" s="256"/>
    </row>
    <row r="1588" spans="24:24" x14ac:dyDescent="0.25">
      <c r="X1588" s="256"/>
    </row>
    <row r="1589" spans="24:24" x14ac:dyDescent="0.25">
      <c r="X1589" s="256"/>
    </row>
    <row r="1590" spans="24:24" x14ac:dyDescent="0.25">
      <c r="X1590" s="256"/>
    </row>
    <row r="1591" spans="24:24" x14ac:dyDescent="0.25">
      <c r="X1591" s="256"/>
    </row>
    <row r="1592" spans="24:24" x14ac:dyDescent="0.25">
      <c r="X1592" s="256"/>
    </row>
    <row r="1593" spans="24:24" x14ac:dyDescent="0.25">
      <c r="X1593" s="256"/>
    </row>
    <row r="1594" spans="24:24" x14ac:dyDescent="0.25">
      <c r="X1594" s="256"/>
    </row>
    <row r="1595" spans="24:24" x14ac:dyDescent="0.25">
      <c r="X1595" s="256"/>
    </row>
    <row r="1596" spans="24:24" x14ac:dyDescent="0.25">
      <c r="X1596" s="256"/>
    </row>
    <row r="1597" spans="24:24" x14ac:dyDescent="0.25">
      <c r="X1597" s="256"/>
    </row>
    <row r="1598" spans="24:24" x14ac:dyDescent="0.25">
      <c r="X1598" s="256"/>
    </row>
    <row r="1599" spans="24:24" x14ac:dyDescent="0.25">
      <c r="X1599" s="256"/>
    </row>
    <row r="1600" spans="24:24" x14ac:dyDescent="0.25">
      <c r="X1600" s="256"/>
    </row>
    <row r="1601" spans="24:24" x14ac:dyDescent="0.25">
      <c r="X1601" s="256"/>
    </row>
    <row r="1602" spans="24:24" x14ac:dyDescent="0.25">
      <c r="X1602" s="256"/>
    </row>
    <row r="1603" spans="24:24" x14ac:dyDescent="0.25">
      <c r="X1603" s="256"/>
    </row>
    <row r="1604" spans="24:24" x14ac:dyDescent="0.25">
      <c r="X1604" s="256"/>
    </row>
    <row r="1605" spans="24:24" x14ac:dyDescent="0.25">
      <c r="X1605" s="256"/>
    </row>
    <row r="1606" spans="24:24" x14ac:dyDescent="0.25">
      <c r="X1606" s="256"/>
    </row>
    <row r="1607" spans="24:24" x14ac:dyDescent="0.25">
      <c r="X1607" s="256"/>
    </row>
    <row r="1608" spans="24:24" x14ac:dyDescent="0.25">
      <c r="X1608" s="256"/>
    </row>
    <row r="1609" spans="24:24" x14ac:dyDescent="0.25">
      <c r="X1609" s="256"/>
    </row>
    <row r="1610" spans="24:24" x14ac:dyDescent="0.25">
      <c r="X1610" s="256"/>
    </row>
    <row r="1611" spans="24:24" x14ac:dyDescent="0.25">
      <c r="X1611" s="256"/>
    </row>
    <row r="1612" spans="24:24" x14ac:dyDescent="0.25">
      <c r="X1612" s="256"/>
    </row>
    <row r="1613" spans="24:24" x14ac:dyDescent="0.25">
      <c r="X1613" s="256"/>
    </row>
    <row r="1614" spans="24:24" x14ac:dyDescent="0.25">
      <c r="X1614" s="256"/>
    </row>
    <row r="1615" spans="24:24" x14ac:dyDescent="0.25">
      <c r="X1615" s="256"/>
    </row>
    <row r="1616" spans="24:24" x14ac:dyDescent="0.25">
      <c r="X1616" s="256"/>
    </row>
    <row r="1617" spans="24:24" x14ac:dyDescent="0.25">
      <c r="X1617" s="256"/>
    </row>
    <row r="1618" spans="24:24" x14ac:dyDescent="0.25">
      <c r="X1618" s="256"/>
    </row>
    <row r="1619" spans="24:24" x14ac:dyDescent="0.25">
      <c r="X1619" s="256"/>
    </row>
    <row r="1620" spans="24:24" x14ac:dyDescent="0.25">
      <c r="X1620" s="256"/>
    </row>
    <row r="1621" spans="24:24" x14ac:dyDescent="0.25">
      <c r="X1621" s="256"/>
    </row>
    <row r="1622" spans="24:24" x14ac:dyDescent="0.25">
      <c r="X1622" s="256"/>
    </row>
    <row r="1623" spans="24:24" x14ac:dyDescent="0.25">
      <c r="X1623" s="256"/>
    </row>
    <row r="1624" spans="24:24" x14ac:dyDescent="0.25">
      <c r="X1624" s="256"/>
    </row>
    <row r="1625" spans="24:24" x14ac:dyDescent="0.25">
      <c r="X1625" s="256"/>
    </row>
    <row r="1626" spans="24:24" x14ac:dyDescent="0.25">
      <c r="X1626" s="256"/>
    </row>
    <row r="1627" spans="24:24" x14ac:dyDescent="0.25">
      <c r="X1627" s="256"/>
    </row>
    <row r="1628" spans="24:24" x14ac:dyDescent="0.25">
      <c r="X1628" s="256"/>
    </row>
    <row r="1629" spans="24:24" x14ac:dyDescent="0.25">
      <c r="X1629" s="256"/>
    </row>
    <row r="1630" spans="24:24" x14ac:dyDescent="0.25">
      <c r="X1630" s="256"/>
    </row>
    <row r="1631" spans="24:24" x14ac:dyDescent="0.25">
      <c r="X1631" s="256"/>
    </row>
    <row r="1632" spans="24:24" x14ac:dyDescent="0.25">
      <c r="X1632" s="256"/>
    </row>
    <row r="1633" spans="24:24" x14ac:dyDescent="0.25">
      <c r="X1633" s="256"/>
    </row>
    <row r="1634" spans="24:24" x14ac:dyDescent="0.25">
      <c r="X1634" s="256"/>
    </row>
    <row r="1635" spans="24:24" x14ac:dyDescent="0.25">
      <c r="X1635" s="256"/>
    </row>
    <row r="1636" spans="24:24" x14ac:dyDescent="0.25">
      <c r="X1636" s="256"/>
    </row>
    <row r="1637" spans="24:24" x14ac:dyDescent="0.25">
      <c r="X1637" s="256"/>
    </row>
    <row r="1638" spans="24:24" x14ac:dyDescent="0.25">
      <c r="X1638" s="256"/>
    </row>
    <row r="1639" spans="24:24" x14ac:dyDescent="0.25">
      <c r="X1639" s="256"/>
    </row>
    <row r="1640" spans="24:24" x14ac:dyDescent="0.25">
      <c r="X1640" s="256"/>
    </row>
    <row r="1641" spans="24:24" x14ac:dyDescent="0.25">
      <c r="X1641" s="256"/>
    </row>
    <row r="1642" spans="24:24" x14ac:dyDescent="0.25">
      <c r="X1642" s="256"/>
    </row>
    <row r="1643" spans="24:24" x14ac:dyDescent="0.25">
      <c r="X1643" s="256"/>
    </row>
    <row r="1644" spans="24:24" x14ac:dyDescent="0.25">
      <c r="X1644" s="256"/>
    </row>
    <row r="1645" spans="24:24" x14ac:dyDescent="0.25">
      <c r="X1645" s="256"/>
    </row>
    <row r="1646" spans="24:24" x14ac:dyDescent="0.25">
      <c r="X1646" s="256"/>
    </row>
    <row r="1647" spans="24:24" x14ac:dyDescent="0.25">
      <c r="X1647" s="256"/>
    </row>
    <row r="1648" spans="24:24" x14ac:dyDescent="0.25">
      <c r="X1648" s="256"/>
    </row>
    <row r="1649" spans="24:24" x14ac:dyDescent="0.25">
      <c r="X1649" s="256"/>
    </row>
    <row r="1650" spans="24:24" x14ac:dyDescent="0.25">
      <c r="X1650" s="256"/>
    </row>
    <row r="1651" spans="24:24" x14ac:dyDescent="0.25">
      <c r="X1651" s="256"/>
    </row>
    <row r="1652" spans="24:24" x14ac:dyDescent="0.25">
      <c r="X1652" s="256"/>
    </row>
    <row r="1653" spans="24:24" x14ac:dyDescent="0.25">
      <c r="X1653" s="256"/>
    </row>
    <row r="1654" spans="24:24" x14ac:dyDescent="0.25">
      <c r="X1654" s="256"/>
    </row>
    <row r="1655" spans="24:24" x14ac:dyDescent="0.25">
      <c r="X1655" s="256"/>
    </row>
    <row r="1656" spans="24:24" x14ac:dyDescent="0.25">
      <c r="X1656" s="256"/>
    </row>
    <row r="1657" spans="24:24" x14ac:dyDescent="0.25">
      <c r="X1657" s="256"/>
    </row>
    <row r="1658" spans="24:24" x14ac:dyDescent="0.25">
      <c r="X1658" s="256"/>
    </row>
    <row r="1659" spans="24:24" x14ac:dyDescent="0.25">
      <c r="X1659" s="256"/>
    </row>
    <row r="1660" spans="24:24" x14ac:dyDescent="0.25">
      <c r="X1660" s="256"/>
    </row>
    <row r="1661" spans="24:24" x14ac:dyDescent="0.25">
      <c r="X1661" s="256"/>
    </row>
    <row r="1662" spans="24:24" x14ac:dyDescent="0.25">
      <c r="X1662" s="256"/>
    </row>
    <row r="1663" spans="24:24" x14ac:dyDescent="0.25">
      <c r="X1663" s="256"/>
    </row>
    <row r="1664" spans="24:24" x14ac:dyDescent="0.25">
      <c r="X1664" s="256"/>
    </row>
    <row r="1665" spans="24:24" x14ac:dyDescent="0.25">
      <c r="X1665" s="256"/>
    </row>
    <row r="1666" spans="24:24" x14ac:dyDescent="0.25">
      <c r="X1666" s="256"/>
    </row>
    <row r="1667" spans="24:24" x14ac:dyDescent="0.25">
      <c r="X1667" s="256"/>
    </row>
    <row r="1668" spans="24:24" x14ac:dyDescent="0.25">
      <c r="X1668" s="256"/>
    </row>
    <row r="1669" spans="24:24" x14ac:dyDescent="0.25">
      <c r="X1669" s="256"/>
    </row>
    <row r="1670" spans="24:24" x14ac:dyDescent="0.25">
      <c r="X1670" s="256"/>
    </row>
    <row r="1671" spans="24:24" x14ac:dyDescent="0.25">
      <c r="X1671" s="256"/>
    </row>
    <row r="1672" spans="24:24" x14ac:dyDescent="0.25">
      <c r="X1672" s="256"/>
    </row>
    <row r="1673" spans="24:24" x14ac:dyDescent="0.25">
      <c r="X1673" s="256"/>
    </row>
    <row r="1674" spans="24:24" x14ac:dyDescent="0.25">
      <c r="X1674" s="256"/>
    </row>
    <row r="1675" spans="24:24" x14ac:dyDescent="0.25">
      <c r="X1675" s="256"/>
    </row>
    <row r="1676" spans="24:24" x14ac:dyDescent="0.25">
      <c r="X1676" s="256"/>
    </row>
    <row r="1677" spans="24:24" x14ac:dyDescent="0.25">
      <c r="X1677" s="256"/>
    </row>
    <row r="1678" spans="24:24" x14ac:dyDescent="0.25">
      <c r="X1678" s="256"/>
    </row>
    <row r="1679" spans="24:24" x14ac:dyDescent="0.25">
      <c r="X1679" s="256"/>
    </row>
    <row r="1680" spans="24:24" x14ac:dyDescent="0.25">
      <c r="X1680" s="256"/>
    </row>
    <row r="1681" spans="24:24" x14ac:dyDescent="0.25">
      <c r="X1681" s="256"/>
    </row>
    <row r="1682" spans="24:24" x14ac:dyDescent="0.25">
      <c r="X1682" s="256"/>
    </row>
    <row r="1683" spans="24:24" x14ac:dyDescent="0.25">
      <c r="X1683" s="256"/>
    </row>
    <row r="1684" spans="24:24" x14ac:dyDescent="0.25">
      <c r="X1684" s="256"/>
    </row>
    <row r="1685" spans="24:24" x14ac:dyDescent="0.25">
      <c r="X1685" s="256"/>
    </row>
    <row r="1686" spans="24:24" x14ac:dyDescent="0.25">
      <c r="X1686" s="256"/>
    </row>
    <row r="1687" spans="24:24" x14ac:dyDescent="0.25">
      <c r="X1687" s="256"/>
    </row>
    <row r="1688" spans="24:24" x14ac:dyDescent="0.25">
      <c r="X1688" s="256"/>
    </row>
    <row r="1689" spans="24:24" x14ac:dyDescent="0.25">
      <c r="X1689" s="256"/>
    </row>
    <row r="1690" spans="24:24" x14ac:dyDescent="0.25">
      <c r="X1690" s="256"/>
    </row>
    <row r="1691" spans="24:24" x14ac:dyDescent="0.25">
      <c r="X1691" s="256"/>
    </row>
    <row r="1692" spans="24:24" x14ac:dyDescent="0.25">
      <c r="X1692" s="256"/>
    </row>
    <row r="1693" spans="24:24" x14ac:dyDescent="0.25">
      <c r="X1693" s="256"/>
    </row>
    <row r="1694" spans="24:24" x14ac:dyDescent="0.25">
      <c r="X1694" s="256"/>
    </row>
    <row r="1695" spans="24:24" x14ac:dyDescent="0.25">
      <c r="X1695" s="256"/>
    </row>
    <row r="1696" spans="24:24" x14ac:dyDescent="0.25">
      <c r="X1696" s="256"/>
    </row>
    <row r="1697" spans="24:24" x14ac:dyDescent="0.25">
      <c r="X1697" s="256"/>
    </row>
    <row r="1698" spans="24:24" x14ac:dyDescent="0.25">
      <c r="X1698" s="256"/>
    </row>
    <row r="1699" spans="24:24" x14ac:dyDescent="0.25">
      <c r="X1699" s="256"/>
    </row>
    <row r="1700" spans="24:24" x14ac:dyDescent="0.25">
      <c r="X1700" s="256"/>
    </row>
    <row r="1701" spans="24:24" x14ac:dyDescent="0.25">
      <c r="X1701" s="256"/>
    </row>
    <row r="1702" spans="24:24" x14ac:dyDescent="0.25">
      <c r="X1702" s="256"/>
    </row>
    <row r="1703" spans="24:24" x14ac:dyDescent="0.25">
      <c r="X1703" s="256"/>
    </row>
    <row r="1704" spans="24:24" x14ac:dyDescent="0.25">
      <c r="X1704" s="256"/>
    </row>
    <row r="1705" spans="24:24" x14ac:dyDescent="0.25">
      <c r="X1705" s="256"/>
    </row>
    <row r="1706" spans="24:24" x14ac:dyDescent="0.25">
      <c r="X1706" s="256"/>
    </row>
    <row r="1707" spans="24:24" x14ac:dyDescent="0.25">
      <c r="X1707" s="256"/>
    </row>
    <row r="1708" spans="24:24" x14ac:dyDescent="0.25">
      <c r="X1708" s="256"/>
    </row>
    <row r="1709" spans="24:24" x14ac:dyDescent="0.25">
      <c r="X1709" s="256"/>
    </row>
    <row r="1710" spans="24:24" x14ac:dyDescent="0.25">
      <c r="X1710" s="256"/>
    </row>
    <row r="1711" spans="24:24" x14ac:dyDescent="0.25">
      <c r="X1711" s="256"/>
    </row>
    <row r="1712" spans="24:24" x14ac:dyDescent="0.25">
      <c r="X1712" s="256"/>
    </row>
    <row r="1713" spans="24:24" x14ac:dyDescent="0.25">
      <c r="X1713" s="256"/>
    </row>
    <row r="1714" spans="24:24" x14ac:dyDescent="0.25">
      <c r="X1714" s="256"/>
    </row>
    <row r="1715" spans="24:24" x14ac:dyDescent="0.25">
      <c r="X1715" s="256"/>
    </row>
    <row r="1716" spans="24:24" x14ac:dyDescent="0.25">
      <c r="X1716" s="256"/>
    </row>
    <row r="1717" spans="24:24" x14ac:dyDescent="0.25">
      <c r="X1717" s="256"/>
    </row>
    <row r="1718" spans="24:24" x14ac:dyDescent="0.25">
      <c r="X1718" s="256"/>
    </row>
    <row r="1719" spans="24:24" x14ac:dyDescent="0.25">
      <c r="X1719" s="256"/>
    </row>
    <row r="1720" spans="24:24" x14ac:dyDescent="0.25">
      <c r="X1720" s="256"/>
    </row>
    <row r="1721" spans="24:24" x14ac:dyDescent="0.25">
      <c r="X1721" s="256"/>
    </row>
    <row r="1722" spans="24:24" x14ac:dyDescent="0.25">
      <c r="X1722" s="256"/>
    </row>
    <row r="1723" spans="24:24" x14ac:dyDescent="0.25">
      <c r="X1723" s="256"/>
    </row>
    <row r="1724" spans="24:24" x14ac:dyDescent="0.25">
      <c r="X1724" s="256"/>
    </row>
    <row r="1725" spans="24:24" x14ac:dyDescent="0.25">
      <c r="X1725" s="256"/>
    </row>
    <row r="1726" spans="24:24" x14ac:dyDescent="0.25">
      <c r="X1726" s="256"/>
    </row>
    <row r="1727" spans="24:24" x14ac:dyDescent="0.25">
      <c r="X1727" s="256"/>
    </row>
    <row r="1728" spans="24:24" x14ac:dyDescent="0.25">
      <c r="X1728" s="256"/>
    </row>
    <row r="1729" spans="24:24" x14ac:dyDescent="0.25">
      <c r="X1729" s="256"/>
    </row>
    <row r="1730" spans="24:24" x14ac:dyDescent="0.25">
      <c r="X1730" s="256"/>
    </row>
    <row r="1731" spans="24:24" x14ac:dyDescent="0.25">
      <c r="X1731" s="256"/>
    </row>
    <row r="1732" spans="24:24" x14ac:dyDescent="0.25">
      <c r="X1732" s="256"/>
    </row>
    <row r="1733" spans="24:24" x14ac:dyDescent="0.25">
      <c r="X1733" s="256"/>
    </row>
    <row r="1734" spans="24:24" x14ac:dyDescent="0.25">
      <c r="X1734" s="256"/>
    </row>
    <row r="1735" spans="24:24" x14ac:dyDescent="0.25">
      <c r="X1735" s="256"/>
    </row>
    <row r="1736" spans="24:24" x14ac:dyDescent="0.25">
      <c r="X1736" s="256"/>
    </row>
    <row r="1737" spans="24:24" x14ac:dyDescent="0.25">
      <c r="X1737" s="256"/>
    </row>
    <row r="1738" spans="24:24" x14ac:dyDescent="0.25">
      <c r="X1738" s="256"/>
    </row>
    <row r="1739" spans="24:24" x14ac:dyDescent="0.25">
      <c r="X1739" s="256"/>
    </row>
    <row r="1740" spans="24:24" x14ac:dyDescent="0.25">
      <c r="X1740" s="256"/>
    </row>
    <row r="1741" spans="24:24" x14ac:dyDescent="0.25">
      <c r="X1741" s="256"/>
    </row>
    <row r="1742" spans="24:24" x14ac:dyDescent="0.25">
      <c r="X1742" s="256"/>
    </row>
    <row r="1743" spans="24:24" x14ac:dyDescent="0.25">
      <c r="X1743" s="256"/>
    </row>
    <row r="1744" spans="24:24" x14ac:dyDescent="0.25">
      <c r="X1744" s="256"/>
    </row>
    <row r="1745" spans="24:24" x14ac:dyDescent="0.25">
      <c r="X1745" s="256"/>
    </row>
    <row r="1746" spans="24:24" x14ac:dyDescent="0.25">
      <c r="X1746" s="256"/>
    </row>
    <row r="1747" spans="24:24" x14ac:dyDescent="0.25">
      <c r="X1747" s="256"/>
    </row>
    <row r="1748" spans="24:24" x14ac:dyDescent="0.25">
      <c r="X1748" s="256"/>
    </row>
    <row r="1749" spans="24:24" x14ac:dyDescent="0.25">
      <c r="X1749" s="256"/>
    </row>
    <row r="1750" spans="24:24" x14ac:dyDescent="0.25">
      <c r="X1750" s="256"/>
    </row>
    <row r="1751" spans="24:24" x14ac:dyDescent="0.25">
      <c r="X1751" s="256"/>
    </row>
    <row r="1752" spans="24:24" x14ac:dyDescent="0.25">
      <c r="X1752" s="256"/>
    </row>
    <row r="1753" spans="24:24" x14ac:dyDescent="0.25">
      <c r="X1753" s="256"/>
    </row>
    <row r="1754" spans="24:24" x14ac:dyDescent="0.25">
      <c r="X1754" s="256"/>
    </row>
    <row r="1755" spans="24:24" x14ac:dyDescent="0.25">
      <c r="X1755" s="256"/>
    </row>
    <row r="1756" spans="24:24" x14ac:dyDescent="0.25">
      <c r="X1756" s="256"/>
    </row>
    <row r="1757" spans="24:24" x14ac:dyDescent="0.25">
      <c r="X1757" s="256"/>
    </row>
    <row r="1758" spans="24:24" x14ac:dyDescent="0.25">
      <c r="X1758" s="256"/>
    </row>
    <row r="1759" spans="24:24" x14ac:dyDescent="0.25">
      <c r="X1759" s="256"/>
    </row>
    <row r="1760" spans="24:24" x14ac:dyDescent="0.25">
      <c r="X1760" s="256"/>
    </row>
    <row r="1761" spans="24:24" x14ac:dyDescent="0.25">
      <c r="X1761" s="256"/>
    </row>
    <row r="1762" spans="24:24" x14ac:dyDescent="0.25">
      <c r="X1762" s="256"/>
    </row>
    <row r="1763" spans="24:24" x14ac:dyDescent="0.25">
      <c r="X1763" s="256"/>
    </row>
    <row r="1764" spans="24:24" x14ac:dyDescent="0.25">
      <c r="X1764" s="256"/>
    </row>
    <row r="1765" spans="24:24" x14ac:dyDescent="0.25">
      <c r="X1765" s="256"/>
    </row>
    <row r="1766" spans="24:24" x14ac:dyDescent="0.25">
      <c r="X1766" s="256"/>
    </row>
    <row r="1767" spans="24:24" x14ac:dyDescent="0.25">
      <c r="X1767" s="256"/>
    </row>
    <row r="1768" spans="24:24" x14ac:dyDescent="0.25">
      <c r="X1768" s="256"/>
    </row>
    <row r="1769" spans="24:24" x14ac:dyDescent="0.25">
      <c r="X1769" s="256"/>
    </row>
    <row r="1770" spans="24:24" x14ac:dyDescent="0.25">
      <c r="X1770" s="256"/>
    </row>
    <row r="1771" spans="24:24" x14ac:dyDescent="0.25">
      <c r="X1771" s="256"/>
    </row>
    <row r="1772" spans="24:24" x14ac:dyDescent="0.25">
      <c r="X1772" s="256"/>
    </row>
    <row r="1773" spans="24:24" x14ac:dyDescent="0.25">
      <c r="X1773" s="256"/>
    </row>
    <row r="1774" spans="24:24" x14ac:dyDescent="0.25">
      <c r="X1774" s="256"/>
    </row>
    <row r="1775" spans="24:24" x14ac:dyDescent="0.25">
      <c r="X1775" s="256"/>
    </row>
    <row r="1776" spans="24:24" x14ac:dyDescent="0.25">
      <c r="X1776" s="256"/>
    </row>
    <row r="1777" spans="24:24" x14ac:dyDescent="0.25">
      <c r="X1777" s="256"/>
    </row>
    <row r="1778" spans="24:24" x14ac:dyDescent="0.25">
      <c r="X1778" s="256"/>
    </row>
    <row r="1779" spans="24:24" x14ac:dyDescent="0.25">
      <c r="X1779" s="256"/>
    </row>
    <row r="1780" spans="24:24" x14ac:dyDescent="0.25">
      <c r="X1780" s="256"/>
    </row>
    <row r="1781" spans="24:24" x14ac:dyDescent="0.25">
      <c r="X1781" s="256"/>
    </row>
    <row r="1782" spans="24:24" x14ac:dyDescent="0.25">
      <c r="X1782" s="256"/>
    </row>
    <row r="1783" spans="24:24" x14ac:dyDescent="0.25">
      <c r="X1783" s="256"/>
    </row>
    <row r="1784" spans="24:24" x14ac:dyDescent="0.25">
      <c r="X1784" s="256"/>
    </row>
    <row r="1785" spans="24:24" x14ac:dyDescent="0.25">
      <c r="X1785" s="256"/>
    </row>
    <row r="1786" spans="24:24" x14ac:dyDescent="0.25">
      <c r="X1786" s="256"/>
    </row>
    <row r="1787" spans="24:24" x14ac:dyDescent="0.25">
      <c r="X1787" s="256"/>
    </row>
    <row r="1788" spans="24:24" x14ac:dyDescent="0.25">
      <c r="X1788" s="256"/>
    </row>
    <row r="1789" spans="24:24" x14ac:dyDescent="0.25">
      <c r="X1789" s="256"/>
    </row>
    <row r="1790" spans="24:24" x14ac:dyDescent="0.25">
      <c r="X1790" s="256"/>
    </row>
    <row r="1791" spans="24:24" x14ac:dyDescent="0.25">
      <c r="X1791" s="256"/>
    </row>
    <row r="1792" spans="24:24" x14ac:dyDescent="0.25">
      <c r="X1792" s="256"/>
    </row>
    <row r="1793" spans="24:24" x14ac:dyDescent="0.25">
      <c r="X1793" s="256"/>
    </row>
    <row r="1794" spans="24:24" x14ac:dyDescent="0.25">
      <c r="X1794" s="256"/>
    </row>
    <row r="1795" spans="24:24" x14ac:dyDescent="0.25">
      <c r="X1795" s="256"/>
    </row>
    <row r="1796" spans="24:24" x14ac:dyDescent="0.25">
      <c r="X1796" s="256"/>
    </row>
    <row r="1797" spans="24:24" x14ac:dyDescent="0.25">
      <c r="X1797" s="256"/>
    </row>
    <row r="1798" spans="24:24" x14ac:dyDescent="0.25">
      <c r="X1798" s="256"/>
    </row>
    <row r="1799" spans="24:24" x14ac:dyDescent="0.25">
      <c r="X1799" s="256"/>
    </row>
    <row r="1800" spans="24:24" x14ac:dyDescent="0.25">
      <c r="X1800" s="256"/>
    </row>
    <row r="1801" spans="24:24" x14ac:dyDescent="0.25">
      <c r="X1801" s="256"/>
    </row>
    <row r="1802" spans="24:24" x14ac:dyDescent="0.25">
      <c r="X1802" s="256"/>
    </row>
    <row r="1803" spans="24:24" x14ac:dyDescent="0.25">
      <c r="X1803" s="256"/>
    </row>
    <row r="1804" spans="24:24" x14ac:dyDescent="0.25">
      <c r="X1804" s="256"/>
    </row>
    <row r="1805" spans="24:24" x14ac:dyDescent="0.25">
      <c r="X1805" s="256"/>
    </row>
    <row r="1806" spans="24:24" x14ac:dyDescent="0.25">
      <c r="X1806" s="256"/>
    </row>
    <row r="1807" spans="24:24" x14ac:dyDescent="0.25">
      <c r="X1807" s="256"/>
    </row>
    <row r="1808" spans="24:24" x14ac:dyDescent="0.25">
      <c r="X1808" s="256"/>
    </row>
    <row r="1809" spans="24:24" x14ac:dyDescent="0.25">
      <c r="X1809" s="256"/>
    </row>
    <row r="1810" spans="24:24" x14ac:dyDescent="0.25">
      <c r="X1810" s="256"/>
    </row>
    <row r="1811" spans="24:24" x14ac:dyDescent="0.25">
      <c r="X1811" s="256"/>
    </row>
    <row r="1812" spans="24:24" x14ac:dyDescent="0.25">
      <c r="X1812" s="256"/>
    </row>
    <row r="1813" spans="24:24" x14ac:dyDescent="0.25">
      <c r="X1813" s="256"/>
    </row>
    <row r="1814" spans="24:24" x14ac:dyDescent="0.25">
      <c r="X1814" s="256"/>
    </row>
    <row r="1815" spans="24:24" x14ac:dyDescent="0.25">
      <c r="X1815" s="256"/>
    </row>
    <row r="1816" spans="24:24" x14ac:dyDescent="0.25">
      <c r="X1816" s="256"/>
    </row>
    <row r="1817" spans="24:24" x14ac:dyDescent="0.25">
      <c r="X1817" s="256"/>
    </row>
    <row r="1818" spans="24:24" x14ac:dyDescent="0.25">
      <c r="X1818" s="256"/>
    </row>
    <row r="1819" spans="24:24" x14ac:dyDescent="0.25">
      <c r="X1819" s="256"/>
    </row>
    <row r="1820" spans="24:24" x14ac:dyDescent="0.25">
      <c r="X1820" s="256"/>
    </row>
    <row r="1821" spans="24:24" x14ac:dyDescent="0.25">
      <c r="X1821" s="256"/>
    </row>
    <row r="1822" spans="24:24" x14ac:dyDescent="0.25">
      <c r="X1822" s="256"/>
    </row>
    <row r="1823" spans="24:24" x14ac:dyDescent="0.25">
      <c r="X1823" s="256"/>
    </row>
    <row r="1824" spans="24:24" x14ac:dyDescent="0.25">
      <c r="X1824" s="256"/>
    </row>
    <row r="1825" spans="24:24" x14ac:dyDescent="0.25">
      <c r="X1825" s="256"/>
    </row>
    <row r="1826" spans="24:24" x14ac:dyDescent="0.25">
      <c r="X1826" s="256"/>
    </row>
    <row r="1827" spans="24:24" x14ac:dyDescent="0.25">
      <c r="X1827" s="256"/>
    </row>
    <row r="1828" spans="24:24" x14ac:dyDescent="0.25">
      <c r="X1828" s="256"/>
    </row>
    <row r="1829" spans="24:24" x14ac:dyDescent="0.25">
      <c r="X1829" s="256"/>
    </row>
    <row r="1830" spans="24:24" x14ac:dyDescent="0.25">
      <c r="X1830" s="256"/>
    </row>
    <row r="1831" spans="24:24" x14ac:dyDescent="0.25">
      <c r="X1831" s="256"/>
    </row>
    <row r="1832" spans="24:24" x14ac:dyDescent="0.25">
      <c r="X1832" s="256"/>
    </row>
    <row r="1833" spans="24:24" x14ac:dyDescent="0.25">
      <c r="X1833" s="256"/>
    </row>
    <row r="1834" spans="24:24" x14ac:dyDescent="0.25">
      <c r="X1834" s="256"/>
    </row>
    <row r="1835" spans="24:24" x14ac:dyDescent="0.25">
      <c r="X1835" s="256"/>
    </row>
    <row r="1836" spans="24:24" x14ac:dyDescent="0.25">
      <c r="X1836" s="256"/>
    </row>
    <row r="1837" spans="24:24" x14ac:dyDescent="0.25">
      <c r="X1837" s="256"/>
    </row>
    <row r="1838" spans="24:24" x14ac:dyDescent="0.25">
      <c r="X1838" s="256"/>
    </row>
    <row r="1839" spans="24:24" x14ac:dyDescent="0.25">
      <c r="X1839" s="256"/>
    </row>
    <row r="1840" spans="24:24" x14ac:dyDescent="0.25">
      <c r="X1840" s="256"/>
    </row>
    <row r="1841" spans="24:24" x14ac:dyDescent="0.25">
      <c r="X1841" s="256"/>
    </row>
    <row r="1842" spans="24:24" x14ac:dyDescent="0.25">
      <c r="X1842" s="256"/>
    </row>
    <row r="1843" spans="24:24" x14ac:dyDescent="0.25">
      <c r="X1843" s="256"/>
    </row>
    <row r="1844" spans="24:24" x14ac:dyDescent="0.25">
      <c r="X1844" s="256"/>
    </row>
    <row r="1845" spans="24:24" x14ac:dyDescent="0.25">
      <c r="X1845" s="256"/>
    </row>
    <row r="1846" spans="24:24" x14ac:dyDescent="0.25">
      <c r="X1846" s="256"/>
    </row>
    <row r="1847" spans="24:24" x14ac:dyDescent="0.25">
      <c r="X1847" s="256"/>
    </row>
    <row r="1848" spans="24:24" x14ac:dyDescent="0.25">
      <c r="X1848" s="256"/>
    </row>
    <row r="1849" spans="24:24" x14ac:dyDescent="0.25">
      <c r="X1849" s="256"/>
    </row>
    <row r="1850" spans="24:24" x14ac:dyDescent="0.25">
      <c r="X1850" s="256"/>
    </row>
    <row r="1851" spans="24:24" x14ac:dyDescent="0.25">
      <c r="X1851" s="256"/>
    </row>
    <row r="1852" spans="24:24" x14ac:dyDescent="0.25">
      <c r="X1852" s="256"/>
    </row>
    <row r="1853" spans="24:24" x14ac:dyDescent="0.25">
      <c r="X1853" s="256"/>
    </row>
    <row r="1854" spans="24:24" x14ac:dyDescent="0.25">
      <c r="X1854" s="256"/>
    </row>
    <row r="1855" spans="24:24" x14ac:dyDescent="0.25">
      <c r="X1855" s="256"/>
    </row>
    <row r="1856" spans="24:24" x14ac:dyDescent="0.25">
      <c r="X1856" s="256"/>
    </row>
    <row r="1857" spans="24:24" x14ac:dyDescent="0.25">
      <c r="X1857" s="256"/>
    </row>
    <row r="1858" spans="24:24" x14ac:dyDescent="0.25">
      <c r="X1858" s="256"/>
    </row>
    <row r="1859" spans="24:24" x14ac:dyDescent="0.25">
      <c r="X1859" s="256"/>
    </row>
    <row r="1860" spans="24:24" x14ac:dyDescent="0.25">
      <c r="X1860" s="256"/>
    </row>
    <row r="1861" spans="24:24" x14ac:dyDescent="0.25">
      <c r="X1861" s="256"/>
    </row>
    <row r="1862" spans="24:24" x14ac:dyDescent="0.25">
      <c r="X1862" s="256"/>
    </row>
    <row r="1863" spans="24:24" x14ac:dyDescent="0.25">
      <c r="X1863" s="256"/>
    </row>
    <row r="1864" spans="24:24" x14ac:dyDescent="0.25">
      <c r="X1864" s="256"/>
    </row>
    <row r="1865" spans="24:24" x14ac:dyDescent="0.25">
      <c r="X1865" s="256"/>
    </row>
    <row r="1866" spans="24:24" x14ac:dyDescent="0.25">
      <c r="X1866" s="256"/>
    </row>
    <row r="1867" spans="24:24" x14ac:dyDescent="0.25">
      <c r="X1867" s="256"/>
    </row>
    <row r="1868" spans="24:24" x14ac:dyDescent="0.25">
      <c r="X1868" s="256"/>
    </row>
    <row r="1869" spans="24:24" x14ac:dyDescent="0.25">
      <c r="X1869" s="256"/>
    </row>
    <row r="1870" spans="24:24" x14ac:dyDescent="0.25">
      <c r="X1870" s="256"/>
    </row>
    <row r="1871" spans="24:24" x14ac:dyDescent="0.25">
      <c r="X1871" s="256"/>
    </row>
    <row r="1872" spans="24:24" x14ac:dyDescent="0.25">
      <c r="X1872" s="256"/>
    </row>
    <row r="1873" spans="24:24" x14ac:dyDescent="0.25">
      <c r="X1873" s="256"/>
    </row>
    <row r="1874" spans="24:24" x14ac:dyDescent="0.25">
      <c r="X1874" s="256"/>
    </row>
    <row r="1875" spans="24:24" x14ac:dyDescent="0.25">
      <c r="X1875" s="256"/>
    </row>
    <row r="1876" spans="24:24" x14ac:dyDescent="0.25">
      <c r="X1876" s="256"/>
    </row>
    <row r="1877" spans="24:24" x14ac:dyDescent="0.25">
      <c r="X1877" s="256"/>
    </row>
    <row r="1878" spans="24:24" x14ac:dyDescent="0.25">
      <c r="X1878" s="256"/>
    </row>
    <row r="1879" spans="24:24" x14ac:dyDescent="0.25">
      <c r="X1879" s="256"/>
    </row>
    <row r="1880" spans="24:24" x14ac:dyDescent="0.25">
      <c r="X1880" s="256"/>
    </row>
    <row r="1881" spans="24:24" x14ac:dyDescent="0.25">
      <c r="X1881" s="256"/>
    </row>
    <row r="1882" spans="24:24" x14ac:dyDescent="0.25">
      <c r="X1882" s="256"/>
    </row>
    <row r="1883" spans="24:24" x14ac:dyDescent="0.25">
      <c r="X1883" s="256"/>
    </row>
    <row r="1884" spans="24:24" x14ac:dyDescent="0.25">
      <c r="X1884" s="256"/>
    </row>
    <row r="1885" spans="24:24" x14ac:dyDescent="0.25">
      <c r="X1885" s="256"/>
    </row>
    <row r="1886" spans="24:24" x14ac:dyDescent="0.25">
      <c r="X1886" s="256"/>
    </row>
    <row r="1887" spans="24:24" x14ac:dyDescent="0.25">
      <c r="X1887" s="256"/>
    </row>
    <row r="1888" spans="24:24" x14ac:dyDescent="0.25">
      <c r="X1888" s="256"/>
    </row>
    <row r="1889" spans="24:24" x14ac:dyDescent="0.25">
      <c r="X1889" s="256"/>
    </row>
    <row r="1890" spans="24:24" x14ac:dyDescent="0.25">
      <c r="X1890" s="256"/>
    </row>
    <row r="1891" spans="24:24" x14ac:dyDescent="0.25">
      <c r="X1891" s="256"/>
    </row>
    <row r="1892" spans="24:24" x14ac:dyDescent="0.25">
      <c r="X1892" s="256"/>
    </row>
    <row r="1893" spans="24:24" x14ac:dyDescent="0.25">
      <c r="X1893" s="256"/>
    </row>
    <row r="1894" spans="24:24" x14ac:dyDescent="0.25">
      <c r="X1894" s="256"/>
    </row>
    <row r="1895" spans="24:24" x14ac:dyDescent="0.25">
      <c r="X1895" s="256"/>
    </row>
    <row r="1896" spans="24:24" x14ac:dyDescent="0.25">
      <c r="X1896" s="256"/>
    </row>
    <row r="1897" spans="24:24" x14ac:dyDescent="0.25">
      <c r="X1897" s="256"/>
    </row>
    <row r="1898" spans="24:24" x14ac:dyDescent="0.25">
      <c r="X1898" s="256"/>
    </row>
    <row r="1899" spans="24:24" x14ac:dyDescent="0.25">
      <c r="X1899" s="256"/>
    </row>
    <row r="1900" spans="24:24" x14ac:dyDescent="0.25">
      <c r="X1900" s="256"/>
    </row>
    <row r="1901" spans="24:24" x14ac:dyDescent="0.25">
      <c r="X1901" s="256"/>
    </row>
    <row r="1902" spans="24:24" x14ac:dyDescent="0.25">
      <c r="X1902" s="256"/>
    </row>
    <row r="1903" spans="24:24" x14ac:dyDescent="0.25">
      <c r="X1903" s="256"/>
    </row>
    <row r="1904" spans="24:24" x14ac:dyDescent="0.25">
      <c r="X1904" s="256"/>
    </row>
    <row r="1905" spans="24:24" x14ac:dyDescent="0.25">
      <c r="X1905" s="256"/>
    </row>
    <row r="1906" spans="24:24" x14ac:dyDescent="0.25">
      <c r="X1906" s="256"/>
    </row>
    <row r="1907" spans="24:24" x14ac:dyDescent="0.25">
      <c r="X1907" s="256"/>
    </row>
    <row r="1908" spans="24:24" x14ac:dyDescent="0.25">
      <c r="X1908" s="256"/>
    </row>
    <row r="1909" spans="24:24" x14ac:dyDescent="0.25">
      <c r="X1909" s="256"/>
    </row>
    <row r="1910" spans="24:24" x14ac:dyDescent="0.25">
      <c r="X1910" s="256"/>
    </row>
    <row r="1911" spans="24:24" x14ac:dyDescent="0.25">
      <c r="X1911" s="256"/>
    </row>
    <row r="1912" spans="24:24" x14ac:dyDescent="0.25">
      <c r="X1912" s="256"/>
    </row>
    <row r="1913" spans="24:24" x14ac:dyDescent="0.25">
      <c r="X1913" s="256"/>
    </row>
    <row r="1914" spans="24:24" x14ac:dyDescent="0.25">
      <c r="X1914" s="256"/>
    </row>
    <row r="1915" spans="24:24" x14ac:dyDescent="0.25">
      <c r="X1915" s="256"/>
    </row>
    <row r="1916" spans="24:24" x14ac:dyDescent="0.25">
      <c r="X1916" s="256"/>
    </row>
    <row r="1917" spans="24:24" x14ac:dyDescent="0.25">
      <c r="X1917" s="256"/>
    </row>
    <row r="1918" spans="24:24" x14ac:dyDescent="0.25">
      <c r="X1918" s="256"/>
    </row>
    <row r="1919" spans="24:24" x14ac:dyDescent="0.25">
      <c r="X1919" s="256"/>
    </row>
    <row r="1920" spans="24:24" x14ac:dyDescent="0.25">
      <c r="X1920" s="256"/>
    </row>
    <row r="1921" spans="24:24" x14ac:dyDescent="0.25">
      <c r="X1921" s="256"/>
    </row>
    <row r="1922" spans="24:24" x14ac:dyDescent="0.25">
      <c r="X1922" s="256"/>
    </row>
    <row r="1923" spans="24:24" x14ac:dyDescent="0.25">
      <c r="X1923" s="256"/>
    </row>
    <row r="1924" spans="24:24" x14ac:dyDescent="0.25">
      <c r="X1924" s="256"/>
    </row>
    <row r="1925" spans="24:24" x14ac:dyDescent="0.25">
      <c r="X1925" s="256"/>
    </row>
    <row r="1926" spans="24:24" x14ac:dyDescent="0.25">
      <c r="X1926" s="256"/>
    </row>
    <row r="1927" spans="24:24" x14ac:dyDescent="0.25">
      <c r="X1927" s="256"/>
    </row>
    <row r="1928" spans="24:24" x14ac:dyDescent="0.25">
      <c r="X1928" s="256"/>
    </row>
    <row r="1929" spans="24:24" x14ac:dyDescent="0.25">
      <c r="X1929" s="256"/>
    </row>
    <row r="1930" spans="24:24" x14ac:dyDescent="0.25">
      <c r="X1930" s="256"/>
    </row>
    <row r="1931" spans="24:24" x14ac:dyDescent="0.25">
      <c r="X1931" s="256"/>
    </row>
    <row r="1932" spans="24:24" x14ac:dyDescent="0.25">
      <c r="X1932" s="256"/>
    </row>
    <row r="1933" spans="24:24" x14ac:dyDescent="0.25">
      <c r="X1933" s="256"/>
    </row>
    <row r="1934" spans="24:24" x14ac:dyDescent="0.25">
      <c r="X1934" s="256"/>
    </row>
    <row r="1935" spans="24:24" x14ac:dyDescent="0.25">
      <c r="X1935" s="256"/>
    </row>
    <row r="1936" spans="24:24" x14ac:dyDescent="0.25">
      <c r="X1936" s="256"/>
    </row>
    <row r="1937" spans="24:24" x14ac:dyDescent="0.25">
      <c r="X1937" s="256"/>
    </row>
    <row r="1938" spans="24:24" x14ac:dyDescent="0.25">
      <c r="X1938" s="256"/>
    </row>
    <row r="1939" spans="24:24" x14ac:dyDescent="0.25">
      <c r="X1939" s="256"/>
    </row>
    <row r="1940" spans="24:24" x14ac:dyDescent="0.25">
      <c r="X1940" s="256"/>
    </row>
    <row r="1941" spans="24:24" x14ac:dyDescent="0.25">
      <c r="X1941" s="256"/>
    </row>
    <row r="1942" spans="24:24" x14ac:dyDescent="0.25">
      <c r="X1942" s="256"/>
    </row>
    <row r="1943" spans="24:24" x14ac:dyDescent="0.25">
      <c r="X1943" s="256"/>
    </row>
    <row r="1944" spans="24:24" x14ac:dyDescent="0.25">
      <c r="X1944" s="256"/>
    </row>
    <row r="1945" spans="24:24" x14ac:dyDescent="0.25">
      <c r="X1945" s="256"/>
    </row>
    <row r="1946" spans="24:24" x14ac:dyDescent="0.25">
      <c r="X1946" s="256"/>
    </row>
    <row r="1947" spans="24:24" x14ac:dyDescent="0.25">
      <c r="X1947" s="256"/>
    </row>
    <row r="1948" spans="24:24" x14ac:dyDescent="0.25">
      <c r="X1948" s="256"/>
    </row>
    <row r="1949" spans="24:24" x14ac:dyDescent="0.25">
      <c r="X1949" s="256"/>
    </row>
    <row r="1950" spans="24:24" x14ac:dyDescent="0.25">
      <c r="X1950" s="256"/>
    </row>
    <row r="1951" spans="24:24" x14ac:dyDescent="0.25">
      <c r="X1951" s="256"/>
    </row>
    <row r="1952" spans="24:24" x14ac:dyDescent="0.25">
      <c r="X1952" s="256"/>
    </row>
    <row r="1953" spans="24:24" x14ac:dyDescent="0.25">
      <c r="X1953" s="256"/>
    </row>
    <row r="1954" spans="24:24" x14ac:dyDescent="0.25">
      <c r="X1954" s="256"/>
    </row>
    <row r="1955" spans="24:24" x14ac:dyDescent="0.25">
      <c r="X1955" s="256"/>
    </row>
    <row r="1956" spans="24:24" x14ac:dyDescent="0.25">
      <c r="X1956" s="256"/>
    </row>
    <row r="1957" spans="24:24" x14ac:dyDescent="0.25">
      <c r="X1957" s="256"/>
    </row>
    <row r="1958" spans="24:24" x14ac:dyDescent="0.25">
      <c r="X1958" s="256"/>
    </row>
    <row r="1959" spans="24:24" x14ac:dyDescent="0.25">
      <c r="X1959" s="256"/>
    </row>
    <row r="1960" spans="24:24" x14ac:dyDescent="0.25">
      <c r="X1960" s="256"/>
    </row>
    <row r="1961" spans="24:24" x14ac:dyDescent="0.25">
      <c r="X1961" s="256"/>
    </row>
    <row r="1962" spans="24:24" x14ac:dyDescent="0.25">
      <c r="X1962" s="256"/>
    </row>
    <row r="1963" spans="24:24" x14ac:dyDescent="0.25">
      <c r="X1963" s="256"/>
    </row>
    <row r="1964" spans="24:24" x14ac:dyDescent="0.25">
      <c r="X1964" s="256"/>
    </row>
    <row r="1965" spans="24:24" x14ac:dyDescent="0.25">
      <c r="X1965" s="256"/>
    </row>
    <row r="1966" spans="24:24" x14ac:dyDescent="0.25">
      <c r="X1966" s="256"/>
    </row>
    <row r="1967" spans="24:24" x14ac:dyDescent="0.25">
      <c r="X1967" s="256"/>
    </row>
    <row r="1968" spans="24:24" x14ac:dyDescent="0.25">
      <c r="X1968" s="256"/>
    </row>
    <row r="1969" spans="24:24" x14ac:dyDescent="0.25">
      <c r="X1969" s="256"/>
    </row>
    <row r="1970" spans="24:24" x14ac:dyDescent="0.25">
      <c r="X1970" s="256"/>
    </row>
    <row r="1971" spans="24:24" x14ac:dyDescent="0.25">
      <c r="X1971" s="256"/>
    </row>
    <row r="1972" spans="24:24" x14ac:dyDescent="0.25">
      <c r="X1972" s="256"/>
    </row>
    <row r="1973" spans="24:24" x14ac:dyDescent="0.25">
      <c r="X1973" s="256"/>
    </row>
    <row r="1974" spans="24:24" x14ac:dyDescent="0.25">
      <c r="X1974" s="256"/>
    </row>
    <row r="1975" spans="24:24" x14ac:dyDescent="0.25">
      <c r="X1975" s="256"/>
    </row>
    <row r="1976" spans="24:24" x14ac:dyDescent="0.25">
      <c r="X1976" s="256"/>
    </row>
    <row r="1977" spans="24:24" x14ac:dyDescent="0.25">
      <c r="X1977" s="256"/>
    </row>
    <row r="1978" spans="24:24" x14ac:dyDescent="0.25">
      <c r="X1978" s="256"/>
    </row>
    <row r="1979" spans="24:24" x14ac:dyDescent="0.25">
      <c r="X1979" s="256"/>
    </row>
    <row r="1980" spans="24:24" x14ac:dyDescent="0.25">
      <c r="X1980" s="256"/>
    </row>
    <row r="1981" spans="24:24" x14ac:dyDescent="0.25">
      <c r="X1981" s="256"/>
    </row>
    <row r="1982" spans="24:24" x14ac:dyDescent="0.25">
      <c r="X1982" s="256"/>
    </row>
    <row r="1983" spans="24:24" x14ac:dyDescent="0.25">
      <c r="X1983" s="256"/>
    </row>
    <row r="1984" spans="24:24" x14ac:dyDescent="0.25">
      <c r="X1984" s="256"/>
    </row>
    <row r="1985" spans="24:24" x14ac:dyDescent="0.25">
      <c r="X1985" s="256"/>
    </row>
    <row r="1986" spans="24:24" x14ac:dyDescent="0.25">
      <c r="X1986" s="256"/>
    </row>
    <row r="1987" spans="24:24" x14ac:dyDescent="0.25">
      <c r="X1987" s="256"/>
    </row>
    <row r="1988" spans="24:24" x14ac:dyDescent="0.25">
      <c r="X1988" s="256"/>
    </row>
    <row r="1989" spans="24:24" x14ac:dyDescent="0.25">
      <c r="X1989" s="256"/>
    </row>
    <row r="1990" spans="24:24" x14ac:dyDescent="0.25">
      <c r="X1990" s="256"/>
    </row>
    <row r="1991" spans="24:24" x14ac:dyDescent="0.25">
      <c r="X1991" s="256"/>
    </row>
    <row r="1992" spans="24:24" x14ac:dyDescent="0.25">
      <c r="X1992" s="256"/>
    </row>
    <row r="1993" spans="24:24" x14ac:dyDescent="0.25">
      <c r="X1993" s="256"/>
    </row>
    <row r="1994" spans="24:24" x14ac:dyDescent="0.25">
      <c r="X1994" s="256"/>
    </row>
    <row r="1995" spans="24:24" x14ac:dyDescent="0.25">
      <c r="X1995" s="256"/>
    </row>
    <row r="1996" spans="24:24" x14ac:dyDescent="0.25">
      <c r="X1996" s="256"/>
    </row>
    <row r="1997" spans="24:24" x14ac:dyDescent="0.25">
      <c r="X1997" s="256"/>
    </row>
    <row r="1998" spans="24:24" x14ac:dyDescent="0.25">
      <c r="X1998" s="256"/>
    </row>
    <row r="1999" spans="24:24" x14ac:dyDescent="0.25">
      <c r="X1999" s="256"/>
    </row>
    <row r="2000" spans="24:24" x14ac:dyDescent="0.25">
      <c r="X2000" s="256"/>
    </row>
    <row r="2001" spans="24:24" x14ac:dyDescent="0.25">
      <c r="X2001" s="256"/>
    </row>
    <row r="2002" spans="24:24" x14ac:dyDescent="0.25">
      <c r="X2002" s="256"/>
    </row>
    <row r="2003" spans="24:24" x14ac:dyDescent="0.25">
      <c r="X2003" s="256"/>
    </row>
    <row r="2004" spans="24:24" x14ac:dyDescent="0.25">
      <c r="X2004" s="256"/>
    </row>
    <row r="2005" spans="24:24" x14ac:dyDescent="0.25">
      <c r="X2005" s="256"/>
    </row>
    <row r="2006" spans="24:24" x14ac:dyDescent="0.25">
      <c r="X2006" s="256"/>
    </row>
    <row r="2007" spans="24:24" x14ac:dyDescent="0.25">
      <c r="X2007" s="256"/>
    </row>
    <row r="2008" spans="24:24" x14ac:dyDescent="0.25">
      <c r="X2008" s="256"/>
    </row>
    <row r="2009" spans="24:24" x14ac:dyDescent="0.25">
      <c r="X2009" s="256"/>
    </row>
    <row r="2010" spans="24:24" x14ac:dyDescent="0.25">
      <c r="X2010" s="256"/>
    </row>
    <row r="2011" spans="24:24" x14ac:dyDescent="0.25">
      <c r="X2011" s="256"/>
    </row>
    <row r="2012" spans="24:24" x14ac:dyDescent="0.25">
      <c r="X2012" s="256"/>
    </row>
    <row r="2013" spans="24:24" x14ac:dyDescent="0.25">
      <c r="X2013" s="256"/>
    </row>
    <row r="2014" spans="24:24" x14ac:dyDescent="0.25">
      <c r="X2014" s="256"/>
    </row>
    <row r="2015" spans="24:24" x14ac:dyDescent="0.25">
      <c r="X2015" s="256"/>
    </row>
    <row r="2016" spans="24:24" x14ac:dyDescent="0.25">
      <c r="X2016" s="256"/>
    </row>
    <row r="2017" spans="24:24" x14ac:dyDescent="0.25">
      <c r="X2017" s="256"/>
    </row>
    <row r="2018" spans="24:24" x14ac:dyDescent="0.25">
      <c r="X2018" s="256"/>
    </row>
    <row r="2019" spans="24:24" x14ac:dyDescent="0.25">
      <c r="X2019" s="256"/>
    </row>
    <row r="2020" spans="24:24" x14ac:dyDescent="0.25">
      <c r="X2020" s="256"/>
    </row>
    <row r="2021" spans="24:24" x14ac:dyDescent="0.25">
      <c r="X2021" s="256"/>
    </row>
    <row r="2022" spans="24:24" x14ac:dyDescent="0.25">
      <c r="X2022" s="256"/>
    </row>
    <row r="2023" spans="24:24" x14ac:dyDescent="0.25">
      <c r="X2023" s="256"/>
    </row>
    <row r="2024" spans="24:24" x14ac:dyDescent="0.25">
      <c r="X2024" s="256"/>
    </row>
    <row r="2025" spans="24:24" x14ac:dyDescent="0.25">
      <c r="X2025" s="256"/>
    </row>
    <row r="2026" spans="24:24" x14ac:dyDescent="0.25">
      <c r="X2026" s="256"/>
    </row>
    <row r="2027" spans="24:24" x14ac:dyDescent="0.25">
      <c r="X2027" s="256"/>
    </row>
    <row r="2028" spans="24:24" x14ac:dyDescent="0.25">
      <c r="X2028" s="256"/>
    </row>
    <row r="2029" spans="24:24" x14ac:dyDescent="0.25">
      <c r="X2029" s="256"/>
    </row>
    <row r="2030" spans="24:24" x14ac:dyDescent="0.25">
      <c r="X2030" s="256"/>
    </row>
    <row r="2031" spans="24:24" x14ac:dyDescent="0.25">
      <c r="X2031" s="256"/>
    </row>
    <row r="2032" spans="24:24" x14ac:dyDescent="0.25">
      <c r="X2032" s="256"/>
    </row>
    <row r="2033" spans="24:24" x14ac:dyDescent="0.25">
      <c r="X2033" s="256"/>
    </row>
    <row r="2034" spans="24:24" x14ac:dyDescent="0.25">
      <c r="X2034" s="256"/>
    </row>
    <row r="2035" spans="24:24" x14ac:dyDescent="0.25">
      <c r="X2035" s="256"/>
    </row>
    <row r="2036" spans="24:24" x14ac:dyDescent="0.25">
      <c r="X2036" s="256"/>
    </row>
    <row r="2037" spans="24:24" x14ac:dyDescent="0.25">
      <c r="X2037" s="256"/>
    </row>
    <row r="2038" spans="24:24" x14ac:dyDescent="0.25">
      <c r="X2038" s="256"/>
    </row>
    <row r="2039" spans="24:24" x14ac:dyDescent="0.25">
      <c r="X2039" s="256"/>
    </row>
    <row r="2040" spans="24:24" x14ac:dyDescent="0.25">
      <c r="X2040" s="256"/>
    </row>
    <row r="2041" spans="24:24" x14ac:dyDescent="0.25">
      <c r="X2041" s="256"/>
    </row>
    <row r="2042" spans="24:24" x14ac:dyDescent="0.25">
      <c r="X2042" s="256"/>
    </row>
    <row r="2043" spans="24:24" x14ac:dyDescent="0.25">
      <c r="X2043" s="256"/>
    </row>
    <row r="2044" spans="24:24" x14ac:dyDescent="0.25">
      <c r="X2044" s="256"/>
    </row>
    <row r="2045" spans="24:24" x14ac:dyDescent="0.25">
      <c r="X2045" s="256"/>
    </row>
    <row r="2046" spans="24:24" x14ac:dyDescent="0.25">
      <c r="X2046" s="256"/>
    </row>
    <row r="2047" spans="24:24" x14ac:dyDescent="0.25">
      <c r="X2047" s="256"/>
    </row>
    <row r="2048" spans="24:24" x14ac:dyDescent="0.25">
      <c r="X2048" s="256"/>
    </row>
    <row r="2049" spans="24:24" x14ac:dyDescent="0.25">
      <c r="X2049" s="256"/>
    </row>
    <row r="2050" spans="24:24" x14ac:dyDescent="0.25">
      <c r="X2050" s="256"/>
    </row>
    <row r="2051" spans="24:24" x14ac:dyDescent="0.25">
      <c r="X2051" s="256"/>
    </row>
    <row r="2052" spans="24:24" x14ac:dyDescent="0.25">
      <c r="X2052" s="256"/>
    </row>
    <row r="2053" spans="24:24" x14ac:dyDescent="0.25">
      <c r="X2053" s="256"/>
    </row>
    <row r="2054" spans="24:24" x14ac:dyDescent="0.25">
      <c r="X2054" s="256"/>
    </row>
    <row r="2055" spans="24:24" x14ac:dyDescent="0.25">
      <c r="X2055" s="256"/>
    </row>
    <row r="2056" spans="24:24" x14ac:dyDescent="0.25">
      <c r="X2056" s="256"/>
    </row>
    <row r="2057" spans="24:24" x14ac:dyDescent="0.25">
      <c r="X2057" s="256"/>
    </row>
    <row r="2058" spans="24:24" x14ac:dyDescent="0.25">
      <c r="X2058" s="256"/>
    </row>
    <row r="2059" spans="24:24" x14ac:dyDescent="0.25">
      <c r="X2059" s="256"/>
    </row>
    <row r="2060" spans="24:24" x14ac:dyDescent="0.25">
      <c r="X2060" s="256"/>
    </row>
    <row r="2061" spans="24:24" x14ac:dyDescent="0.25">
      <c r="X2061" s="256"/>
    </row>
    <row r="2062" spans="24:24" x14ac:dyDescent="0.25">
      <c r="X2062" s="256"/>
    </row>
    <row r="2063" spans="24:24" x14ac:dyDescent="0.25">
      <c r="X2063" s="256"/>
    </row>
    <row r="2064" spans="24:24" x14ac:dyDescent="0.25">
      <c r="X2064" s="256"/>
    </row>
    <row r="2065" spans="24:24" x14ac:dyDescent="0.25">
      <c r="X2065" s="256"/>
    </row>
    <row r="2066" spans="24:24" x14ac:dyDescent="0.25">
      <c r="X2066" s="256"/>
    </row>
    <row r="2067" spans="24:24" x14ac:dyDescent="0.25">
      <c r="X2067" s="256"/>
    </row>
    <row r="2068" spans="24:24" x14ac:dyDescent="0.25">
      <c r="X2068" s="256"/>
    </row>
    <row r="2069" spans="24:24" x14ac:dyDescent="0.25">
      <c r="X2069" s="256"/>
    </row>
    <row r="2070" spans="24:24" x14ac:dyDescent="0.25">
      <c r="X2070" s="256"/>
    </row>
    <row r="2071" spans="24:24" x14ac:dyDescent="0.25">
      <c r="X2071" s="256"/>
    </row>
    <row r="2072" spans="24:24" x14ac:dyDescent="0.25">
      <c r="X2072" s="256"/>
    </row>
    <row r="2073" spans="24:24" x14ac:dyDescent="0.25">
      <c r="X2073" s="256"/>
    </row>
    <row r="2074" spans="24:24" x14ac:dyDescent="0.25">
      <c r="X2074" s="256"/>
    </row>
    <row r="2075" spans="24:24" x14ac:dyDescent="0.25">
      <c r="X2075" s="256"/>
    </row>
    <row r="2076" spans="24:24" x14ac:dyDescent="0.25">
      <c r="X2076" s="256"/>
    </row>
    <row r="2077" spans="24:24" x14ac:dyDescent="0.25">
      <c r="X2077" s="256"/>
    </row>
    <row r="2078" spans="24:24" x14ac:dyDescent="0.25">
      <c r="X2078" s="256"/>
    </row>
    <row r="2079" spans="24:24" x14ac:dyDescent="0.25">
      <c r="X2079" s="256"/>
    </row>
    <row r="2080" spans="24:24" x14ac:dyDescent="0.25">
      <c r="X2080" s="256"/>
    </row>
    <row r="2081" spans="24:24" x14ac:dyDescent="0.25">
      <c r="X2081" s="256"/>
    </row>
    <row r="2082" spans="24:24" x14ac:dyDescent="0.25">
      <c r="X2082" s="256"/>
    </row>
    <row r="2083" spans="24:24" x14ac:dyDescent="0.25">
      <c r="X2083" s="256"/>
    </row>
    <row r="2084" spans="24:24" x14ac:dyDescent="0.25">
      <c r="X2084" s="256"/>
    </row>
    <row r="2085" spans="24:24" x14ac:dyDescent="0.25">
      <c r="X2085" s="256"/>
    </row>
    <row r="2086" spans="24:24" x14ac:dyDescent="0.25">
      <c r="X2086" s="256"/>
    </row>
    <row r="2087" spans="24:24" x14ac:dyDescent="0.25">
      <c r="X2087" s="256"/>
    </row>
    <row r="2088" spans="24:24" x14ac:dyDescent="0.25">
      <c r="X2088" s="256"/>
    </row>
    <row r="2089" spans="24:24" x14ac:dyDescent="0.25">
      <c r="X2089" s="256"/>
    </row>
    <row r="2090" spans="24:24" x14ac:dyDescent="0.25">
      <c r="X2090" s="256"/>
    </row>
    <row r="2091" spans="24:24" x14ac:dyDescent="0.25">
      <c r="X2091" s="256"/>
    </row>
    <row r="2092" spans="24:24" x14ac:dyDescent="0.25">
      <c r="X2092" s="256"/>
    </row>
    <row r="2093" spans="24:24" x14ac:dyDescent="0.25">
      <c r="X2093" s="256"/>
    </row>
    <row r="2094" spans="24:24" x14ac:dyDescent="0.25">
      <c r="X2094" s="256"/>
    </row>
    <row r="2095" spans="24:24" x14ac:dyDescent="0.25">
      <c r="X2095" s="256"/>
    </row>
    <row r="2096" spans="24:24" x14ac:dyDescent="0.25">
      <c r="X2096" s="256"/>
    </row>
    <row r="2097" spans="24:24" x14ac:dyDescent="0.25">
      <c r="X2097" s="256"/>
    </row>
    <row r="2098" spans="24:24" x14ac:dyDescent="0.25">
      <c r="X2098" s="256"/>
    </row>
    <row r="2099" spans="24:24" x14ac:dyDescent="0.25">
      <c r="X2099" s="256"/>
    </row>
    <row r="2100" spans="24:24" x14ac:dyDescent="0.25">
      <c r="X2100" s="256"/>
    </row>
    <row r="2101" spans="24:24" x14ac:dyDescent="0.25">
      <c r="X2101" s="256"/>
    </row>
    <row r="2102" spans="24:24" x14ac:dyDescent="0.25">
      <c r="X2102" s="256"/>
    </row>
    <row r="2103" spans="24:24" x14ac:dyDescent="0.25">
      <c r="X2103" s="256"/>
    </row>
    <row r="2104" spans="24:24" x14ac:dyDescent="0.25">
      <c r="X2104" s="256"/>
    </row>
    <row r="2105" spans="24:24" x14ac:dyDescent="0.25">
      <c r="X2105" s="256"/>
    </row>
    <row r="2106" spans="24:24" x14ac:dyDescent="0.25">
      <c r="X2106" s="256"/>
    </row>
    <row r="2107" spans="24:24" x14ac:dyDescent="0.25">
      <c r="X2107" s="256"/>
    </row>
    <row r="2108" spans="24:24" x14ac:dyDescent="0.25">
      <c r="X2108" s="256"/>
    </row>
    <row r="2109" spans="24:24" x14ac:dyDescent="0.25">
      <c r="X2109" s="256"/>
    </row>
    <row r="2110" spans="24:24" x14ac:dyDescent="0.25">
      <c r="X2110" s="256"/>
    </row>
    <row r="2111" spans="24:24" x14ac:dyDescent="0.25">
      <c r="X2111" s="256"/>
    </row>
    <row r="2112" spans="24:24" x14ac:dyDescent="0.25">
      <c r="X2112" s="256"/>
    </row>
    <row r="2113" spans="24:24" x14ac:dyDescent="0.25">
      <c r="X2113" s="256"/>
    </row>
    <row r="2114" spans="24:24" x14ac:dyDescent="0.25">
      <c r="X2114" s="256"/>
    </row>
    <row r="2115" spans="24:24" x14ac:dyDescent="0.25">
      <c r="X2115" s="256"/>
    </row>
    <row r="2116" spans="24:24" x14ac:dyDescent="0.25">
      <c r="X2116" s="256"/>
    </row>
    <row r="2117" spans="24:24" x14ac:dyDescent="0.25">
      <c r="X2117" s="256"/>
    </row>
    <row r="2118" spans="24:24" x14ac:dyDescent="0.25">
      <c r="X2118" s="256"/>
    </row>
    <row r="2119" spans="24:24" x14ac:dyDescent="0.25">
      <c r="X2119" s="256"/>
    </row>
    <row r="2120" spans="24:24" x14ac:dyDescent="0.25">
      <c r="X2120" s="256"/>
    </row>
    <row r="2121" spans="24:24" x14ac:dyDescent="0.25">
      <c r="X2121" s="256"/>
    </row>
    <row r="2122" spans="24:24" x14ac:dyDescent="0.25">
      <c r="X2122" s="256"/>
    </row>
    <row r="2123" spans="24:24" x14ac:dyDescent="0.25">
      <c r="X2123" s="256"/>
    </row>
    <row r="2124" spans="24:24" x14ac:dyDescent="0.25">
      <c r="X2124" s="256"/>
    </row>
    <row r="2125" spans="24:24" x14ac:dyDescent="0.25">
      <c r="X2125" s="256"/>
    </row>
    <row r="2126" spans="24:24" x14ac:dyDescent="0.25">
      <c r="X2126" s="256"/>
    </row>
    <row r="2127" spans="24:24" x14ac:dyDescent="0.25">
      <c r="X2127" s="256"/>
    </row>
    <row r="2128" spans="24:24" x14ac:dyDescent="0.25">
      <c r="X2128" s="256"/>
    </row>
    <row r="2129" spans="24:24" x14ac:dyDescent="0.25">
      <c r="X2129" s="256"/>
    </row>
    <row r="2130" spans="24:24" x14ac:dyDescent="0.25">
      <c r="X2130" s="256"/>
    </row>
    <row r="2131" spans="24:24" x14ac:dyDescent="0.25">
      <c r="X2131" s="256"/>
    </row>
    <row r="2132" spans="24:24" x14ac:dyDescent="0.25">
      <c r="X2132" s="256"/>
    </row>
    <row r="2133" spans="24:24" x14ac:dyDescent="0.25">
      <c r="X2133" s="256"/>
    </row>
    <row r="2134" spans="24:24" x14ac:dyDescent="0.25">
      <c r="X2134" s="256"/>
    </row>
    <row r="2135" spans="24:24" x14ac:dyDescent="0.25">
      <c r="X2135" s="256"/>
    </row>
    <row r="2136" spans="24:24" x14ac:dyDescent="0.25">
      <c r="X2136" s="256"/>
    </row>
    <row r="2137" spans="24:24" x14ac:dyDescent="0.25">
      <c r="X2137" s="256"/>
    </row>
    <row r="2138" spans="24:24" x14ac:dyDescent="0.25">
      <c r="X2138" s="256"/>
    </row>
    <row r="2139" spans="24:24" x14ac:dyDescent="0.25">
      <c r="X2139" s="256"/>
    </row>
    <row r="2140" spans="24:24" x14ac:dyDescent="0.25">
      <c r="X2140" s="256"/>
    </row>
    <row r="2141" spans="24:24" x14ac:dyDescent="0.25">
      <c r="X2141" s="256"/>
    </row>
    <row r="2142" spans="24:24" x14ac:dyDescent="0.25">
      <c r="X2142" s="256"/>
    </row>
    <row r="2143" spans="24:24" x14ac:dyDescent="0.25">
      <c r="X2143" s="256"/>
    </row>
    <row r="2144" spans="24:24" x14ac:dyDescent="0.25">
      <c r="X2144" s="256"/>
    </row>
    <row r="2145" spans="24:24" x14ac:dyDescent="0.25">
      <c r="X2145" s="256"/>
    </row>
    <row r="2146" spans="24:24" x14ac:dyDescent="0.25">
      <c r="X2146" s="256"/>
    </row>
    <row r="2147" spans="24:24" x14ac:dyDescent="0.25">
      <c r="X2147" s="256"/>
    </row>
    <row r="2148" spans="24:24" x14ac:dyDescent="0.25">
      <c r="X2148" s="256"/>
    </row>
    <row r="2149" spans="24:24" x14ac:dyDescent="0.25">
      <c r="X2149" s="256"/>
    </row>
    <row r="2150" spans="24:24" x14ac:dyDescent="0.25">
      <c r="X2150" s="256"/>
    </row>
    <row r="2151" spans="24:24" x14ac:dyDescent="0.25">
      <c r="X2151" s="256"/>
    </row>
    <row r="2152" spans="24:24" x14ac:dyDescent="0.25">
      <c r="X2152" s="256"/>
    </row>
    <row r="2153" spans="24:24" x14ac:dyDescent="0.25">
      <c r="X2153" s="256"/>
    </row>
    <row r="2154" spans="24:24" x14ac:dyDescent="0.25">
      <c r="X2154" s="256"/>
    </row>
    <row r="2155" spans="24:24" x14ac:dyDescent="0.25">
      <c r="X2155" s="256"/>
    </row>
    <row r="2156" spans="24:24" x14ac:dyDescent="0.25">
      <c r="X2156" s="256"/>
    </row>
    <row r="2157" spans="24:24" x14ac:dyDescent="0.25">
      <c r="X2157" s="256"/>
    </row>
    <row r="2158" spans="24:24" x14ac:dyDescent="0.25">
      <c r="X2158" s="256"/>
    </row>
    <row r="2159" spans="24:24" x14ac:dyDescent="0.25">
      <c r="X2159" s="256"/>
    </row>
    <row r="2160" spans="24:24" x14ac:dyDescent="0.25">
      <c r="X2160" s="256"/>
    </row>
    <row r="2161" spans="24:24" x14ac:dyDescent="0.25">
      <c r="X2161" s="256"/>
    </row>
    <row r="2162" spans="24:24" x14ac:dyDescent="0.25">
      <c r="X2162" s="256"/>
    </row>
    <row r="2163" spans="24:24" x14ac:dyDescent="0.25">
      <c r="X2163" s="256"/>
    </row>
    <row r="2164" spans="24:24" x14ac:dyDescent="0.25">
      <c r="X2164" s="256"/>
    </row>
    <row r="2165" spans="24:24" x14ac:dyDescent="0.25">
      <c r="X2165" s="256"/>
    </row>
    <row r="2166" spans="24:24" x14ac:dyDescent="0.25">
      <c r="X2166" s="256"/>
    </row>
    <row r="2167" spans="24:24" x14ac:dyDescent="0.25">
      <c r="X2167" s="256"/>
    </row>
    <row r="2168" spans="24:24" x14ac:dyDescent="0.25">
      <c r="X2168" s="256"/>
    </row>
    <row r="2169" spans="24:24" x14ac:dyDescent="0.25">
      <c r="X2169" s="256"/>
    </row>
    <row r="2170" spans="24:24" x14ac:dyDescent="0.25">
      <c r="X2170" s="256"/>
    </row>
    <row r="2171" spans="24:24" x14ac:dyDescent="0.25">
      <c r="X2171" s="256"/>
    </row>
    <row r="2172" spans="24:24" x14ac:dyDescent="0.25">
      <c r="X2172" s="256"/>
    </row>
    <row r="2173" spans="24:24" x14ac:dyDescent="0.25">
      <c r="X2173" s="256"/>
    </row>
    <row r="2174" spans="24:24" x14ac:dyDescent="0.25">
      <c r="X2174" s="256"/>
    </row>
    <row r="2175" spans="24:24" x14ac:dyDescent="0.25">
      <c r="X2175" s="256"/>
    </row>
    <row r="2176" spans="24:24" x14ac:dyDescent="0.25">
      <c r="X2176" s="256"/>
    </row>
    <row r="2177" spans="24:24" x14ac:dyDescent="0.25">
      <c r="X2177" s="256"/>
    </row>
    <row r="2178" spans="24:24" x14ac:dyDescent="0.25">
      <c r="X2178" s="256"/>
    </row>
    <row r="2179" spans="24:24" x14ac:dyDescent="0.25">
      <c r="X2179" s="256"/>
    </row>
    <row r="2180" spans="24:24" x14ac:dyDescent="0.25">
      <c r="X2180" s="256"/>
    </row>
    <row r="2181" spans="24:24" x14ac:dyDescent="0.25">
      <c r="X2181" s="256"/>
    </row>
    <row r="2182" spans="24:24" x14ac:dyDescent="0.25">
      <c r="X2182" s="256"/>
    </row>
    <row r="2183" spans="24:24" x14ac:dyDescent="0.25">
      <c r="X2183" s="256"/>
    </row>
    <row r="2184" spans="24:24" x14ac:dyDescent="0.25">
      <c r="X2184" s="256"/>
    </row>
    <row r="2185" spans="24:24" x14ac:dyDescent="0.25">
      <c r="X2185" s="256"/>
    </row>
    <row r="2186" spans="24:24" x14ac:dyDescent="0.25">
      <c r="X2186" s="256"/>
    </row>
    <row r="2187" spans="24:24" x14ac:dyDescent="0.25">
      <c r="X2187" s="256"/>
    </row>
    <row r="2188" spans="24:24" x14ac:dyDescent="0.25">
      <c r="X2188" s="256"/>
    </row>
    <row r="2189" spans="24:24" x14ac:dyDescent="0.25">
      <c r="X2189" s="256"/>
    </row>
    <row r="2190" spans="24:24" x14ac:dyDescent="0.25">
      <c r="X2190" s="256"/>
    </row>
    <row r="2191" spans="24:24" x14ac:dyDescent="0.25">
      <c r="X2191" s="256"/>
    </row>
    <row r="2192" spans="24:24" x14ac:dyDescent="0.25">
      <c r="X2192" s="256"/>
    </row>
    <row r="2193" spans="24:24" x14ac:dyDescent="0.25">
      <c r="X2193" s="256"/>
    </row>
    <row r="2194" spans="24:24" x14ac:dyDescent="0.25">
      <c r="X2194" s="256"/>
    </row>
    <row r="2195" spans="24:24" x14ac:dyDescent="0.25">
      <c r="X2195" s="256"/>
    </row>
    <row r="2196" spans="24:24" x14ac:dyDescent="0.25">
      <c r="X2196" s="256"/>
    </row>
    <row r="2197" spans="24:24" x14ac:dyDescent="0.25">
      <c r="X2197" s="256"/>
    </row>
    <row r="2198" spans="24:24" x14ac:dyDescent="0.25">
      <c r="X2198" s="256"/>
    </row>
    <row r="2199" spans="24:24" x14ac:dyDescent="0.25">
      <c r="X2199" s="256"/>
    </row>
    <row r="2200" spans="24:24" x14ac:dyDescent="0.25">
      <c r="X2200" s="256"/>
    </row>
    <row r="2201" spans="24:24" x14ac:dyDescent="0.25">
      <c r="X2201" s="256"/>
    </row>
    <row r="2202" spans="24:24" x14ac:dyDescent="0.25">
      <c r="X2202" s="256"/>
    </row>
    <row r="2203" spans="24:24" x14ac:dyDescent="0.25">
      <c r="X2203" s="256"/>
    </row>
    <row r="2204" spans="24:24" x14ac:dyDescent="0.25">
      <c r="X2204" s="256"/>
    </row>
    <row r="2205" spans="24:24" x14ac:dyDescent="0.25">
      <c r="X2205" s="256"/>
    </row>
    <row r="2206" spans="24:24" x14ac:dyDescent="0.25">
      <c r="X2206" s="256"/>
    </row>
    <row r="2207" spans="24:24" x14ac:dyDescent="0.25">
      <c r="X2207" s="256"/>
    </row>
    <row r="2208" spans="24:24" x14ac:dyDescent="0.25">
      <c r="X2208" s="256"/>
    </row>
    <row r="2209" spans="24:24" x14ac:dyDescent="0.25">
      <c r="X2209" s="256"/>
    </row>
    <row r="2210" spans="24:24" x14ac:dyDescent="0.25">
      <c r="X2210" s="256"/>
    </row>
    <row r="2211" spans="24:24" x14ac:dyDescent="0.25">
      <c r="X2211" s="256"/>
    </row>
    <row r="2212" spans="24:24" x14ac:dyDescent="0.25">
      <c r="X2212" s="256"/>
    </row>
    <row r="2213" spans="24:24" x14ac:dyDescent="0.25">
      <c r="X2213" s="256"/>
    </row>
    <row r="2214" spans="24:24" x14ac:dyDescent="0.25">
      <c r="X2214" s="256"/>
    </row>
    <row r="2215" spans="24:24" x14ac:dyDescent="0.25">
      <c r="X2215" s="256"/>
    </row>
    <row r="2216" spans="24:24" x14ac:dyDescent="0.25">
      <c r="X2216" s="256"/>
    </row>
    <row r="2217" spans="24:24" x14ac:dyDescent="0.25">
      <c r="X2217" s="256"/>
    </row>
    <row r="2218" spans="24:24" x14ac:dyDescent="0.25">
      <c r="X2218" s="256"/>
    </row>
    <row r="2219" spans="24:24" x14ac:dyDescent="0.25">
      <c r="X2219" s="256"/>
    </row>
    <row r="2220" spans="24:24" x14ac:dyDescent="0.25">
      <c r="X2220" s="256"/>
    </row>
    <row r="2221" spans="24:24" x14ac:dyDescent="0.25">
      <c r="X2221" s="256"/>
    </row>
    <row r="2222" spans="24:24" x14ac:dyDescent="0.25">
      <c r="X2222" s="256"/>
    </row>
    <row r="2223" spans="24:24" x14ac:dyDescent="0.25">
      <c r="X2223" s="256"/>
    </row>
    <row r="2224" spans="24:24" x14ac:dyDescent="0.25">
      <c r="X2224" s="256"/>
    </row>
    <row r="2225" spans="24:24" x14ac:dyDescent="0.25">
      <c r="X2225" s="256"/>
    </row>
    <row r="2226" spans="24:24" x14ac:dyDescent="0.25">
      <c r="X2226" s="256"/>
    </row>
    <row r="2227" spans="24:24" x14ac:dyDescent="0.25">
      <c r="X2227" s="256"/>
    </row>
    <row r="2228" spans="24:24" x14ac:dyDescent="0.25">
      <c r="X2228" s="256"/>
    </row>
    <row r="2229" spans="24:24" x14ac:dyDescent="0.25">
      <c r="X2229" s="256"/>
    </row>
    <row r="2230" spans="24:24" x14ac:dyDescent="0.25">
      <c r="X2230" s="256"/>
    </row>
    <row r="2231" spans="24:24" x14ac:dyDescent="0.25">
      <c r="X2231" s="256"/>
    </row>
    <row r="2232" spans="24:24" x14ac:dyDescent="0.25">
      <c r="X2232" s="256"/>
    </row>
    <row r="2233" spans="24:24" x14ac:dyDescent="0.25">
      <c r="X2233" s="256"/>
    </row>
    <row r="2234" spans="24:24" x14ac:dyDescent="0.25">
      <c r="X2234" s="256"/>
    </row>
    <row r="2235" spans="24:24" x14ac:dyDescent="0.25">
      <c r="X2235" s="256"/>
    </row>
    <row r="2236" spans="24:24" x14ac:dyDescent="0.25">
      <c r="X2236" s="256"/>
    </row>
    <row r="2237" spans="24:24" x14ac:dyDescent="0.25">
      <c r="X2237" s="256"/>
    </row>
    <row r="2238" spans="24:24" x14ac:dyDescent="0.25">
      <c r="X2238" s="256"/>
    </row>
    <row r="2239" spans="24:24" x14ac:dyDescent="0.25">
      <c r="X2239" s="256"/>
    </row>
    <row r="2240" spans="24:24" x14ac:dyDescent="0.25">
      <c r="X2240" s="256"/>
    </row>
    <row r="2241" spans="24:24" x14ac:dyDescent="0.25">
      <c r="X2241" s="256"/>
    </row>
    <row r="2242" spans="24:24" x14ac:dyDescent="0.25">
      <c r="X2242" s="256"/>
    </row>
    <row r="2243" spans="24:24" x14ac:dyDescent="0.25">
      <c r="X2243" s="256"/>
    </row>
    <row r="2244" spans="24:24" x14ac:dyDescent="0.25">
      <c r="X2244" s="256"/>
    </row>
    <row r="2245" spans="24:24" x14ac:dyDescent="0.25">
      <c r="X2245" s="256"/>
    </row>
    <row r="2246" spans="24:24" x14ac:dyDescent="0.25">
      <c r="X2246" s="256"/>
    </row>
    <row r="2247" spans="24:24" x14ac:dyDescent="0.25">
      <c r="X2247" s="256"/>
    </row>
    <row r="2248" spans="24:24" x14ac:dyDescent="0.25">
      <c r="X2248" s="256"/>
    </row>
    <row r="2249" spans="24:24" x14ac:dyDescent="0.25">
      <c r="X2249" s="256"/>
    </row>
    <row r="2250" spans="24:24" x14ac:dyDescent="0.25">
      <c r="X2250" s="256"/>
    </row>
    <row r="2251" spans="24:24" x14ac:dyDescent="0.25">
      <c r="X2251" s="256"/>
    </row>
    <row r="2252" spans="24:24" x14ac:dyDescent="0.25">
      <c r="X2252" s="256"/>
    </row>
    <row r="2253" spans="24:24" x14ac:dyDescent="0.25">
      <c r="X2253" s="256"/>
    </row>
    <row r="2254" spans="24:24" x14ac:dyDescent="0.25">
      <c r="X2254" s="256"/>
    </row>
    <row r="2255" spans="24:24" x14ac:dyDescent="0.25">
      <c r="X2255" s="256"/>
    </row>
    <row r="2256" spans="24:24" x14ac:dyDescent="0.25">
      <c r="X2256" s="256"/>
    </row>
    <row r="2257" spans="24:24" x14ac:dyDescent="0.25">
      <c r="X2257" s="256"/>
    </row>
    <row r="2258" spans="24:24" x14ac:dyDescent="0.25">
      <c r="X2258" s="256"/>
    </row>
    <row r="2259" spans="24:24" x14ac:dyDescent="0.25">
      <c r="X2259" s="256"/>
    </row>
    <row r="2260" spans="24:24" x14ac:dyDescent="0.25">
      <c r="X2260" s="256"/>
    </row>
    <row r="2261" spans="24:24" x14ac:dyDescent="0.25">
      <c r="X2261" s="256"/>
    </row>
    <row r="2262" spans="24:24" x14ac:dyDescent="0.25">
      <c r="X2262" s="256"/>
    </row>
    <row r="2263" spans="24:24" x14ac:dyDescent="0.25">
      <c r="X2263" s="256"/>
    </row>
    <row r="2264" spans="24:24" x14ac:dyDescent="0.25">
      <c r="X2264" s="256"/>
    </row>
    <row r="2265" spans="24:24" x14ac:dyDescent="0.25">
      <c r="X2265" s="256"/>
    </row>
    <row r="2266" spans="24:24" x14ac:dyDescent="0.25">
      <c r="X2266" s="256"/>
    </row>
    <row r="2267" spans="24:24" x14ac:dyDescent="0.25">
      <c r="X2267" s="256"/>
    </row>
    <row r="2268" spans="24:24" x14ac:dyDescent="0.25">
      <c r="X2268" s="256"/>
    </row>
    <row r="2269" spans="24:24" x14ac:dyDescent="0.25">
      <c r="X2269" s="256"/>
    </row>
    <row r="2270" spans="24:24" x14ac:dyDescent="0.25">
      <c r="X2270" s="256"/>
    </row>
    <row r="2271" spans="24:24" x14ac:dyDescent="0.25">
      <c r="X2271" s="256"/>
    </row>
    <row r="2272" spans="24:24" x14ac:dyDescent="0.25">
      <c r="X2272" s="256"/>
    </row>
    <row r="2273" spans="24:24" x14ac:dyDescent="0.25">
      <c r="X2273" s="256"/>
    </row>
    <row r="2274" spans="24:24" x14ac:dyDescent="0.25">
      <c r="X2274" s="256"/>
    </row>
    <row r="2275" spans="24:24" x14ac:dyDescent="0.25">
      <c r="X2275" s="256"/>
    </row>
    <row r="2276" spans="24:24" x14ac:dyDescent="0.25">
      <c r="X2276" s="256"/>
    </row>
    <row r="2277" spans="24:24" x14ac:dyDescent="0.25">
      <c r="X2277" s="256"/>
    </row>
    <row r="2278" spans="24:24" x14ac:dyDescent="0.25">
      <c r="X2278" s="256"/>
    </row>
    <row r="2279" spans="24:24" x14ac:dyDescent="0.25">
      <c r="X2279" s="256"/>
    </row>
    <row r="2280" spans="24:24" x14ac:dyDescent="0.25">
      <c r="X2280" s="256"/>
    </row>
    <row r="2281" spans="24:24" x14ac:dyDescent="0.25">
      <c r="X2281" s="256"/>
    </row>
    <row r="2282" spans="24:24" x14ac:dyDescent="0.25">
      <c r="X2282" s="256"/>
    </row>
    <row r="2283" spans="24:24" x14ac:dyDescent="0.25">
      <c r="X2283" s="256"/>
    </row>
    <row r="2284" spans="24:24" x14ac:dyDescent="0.25">
      <c r="X2284" s="256"/>
    </row>
    <row r="2285" spans="24:24" x14ac:dyDescent="0.25">
      <c r="X2285" s="256"/>
    </row>
    <row r="2286" spans="24:24" x14ac:dyDescent="0.25">
      <c r="X2286" s="256"/>
    </row>
    <row r="2287" spans="24:24" x14ac:dyDescent="0.25">
      <c r="X2287" s="256"/>
    </row>
    <row r="2288" spans="24:24" x14ac:dyDescent="0.25">
      <c r="X2288" s="256"/>
    </row>
    <row r="2289" spans="24:24" x14ac:dyDescent="0.25">
      <c r="X2289" s="256"/>
    </row>
    <row r="2290" spans="24:24" x14ac:dyDescent="0.25">
      <c r="X2290" s="256"/>
    </row>
    <row r="2291" spans="24:24" x14ac:dyDescent="0.25">
      <c r="X2291" s="256"/>
    </row>
    <row r="2292" spans="24:24" x14ac:dyDescent="0.25">
      <c r="X2292" s="256"/>
    </row>
    <row r="2293" spans="24:24" x14ac:dyDescent="0.25">
      <c r="X2293" s="256"/>
    </row>
    <row r="2294" spans="24:24" x14ac:dyDescent="0.25">
      <c r="X2294" s="256"/>
    </row>
    <row r="2295" spans="24:24" x14ac:dyDescent="0.25">
      <c r="X2295" s="256"/>
    </row>
    <row r="2296" spans="24:24" x14ac:dyDescent="0.25">
      <c r="X2296" s="256"/>
    </row>
    <row r="2297" spans="24:24" x14ac:dyDescent="0.25">
      <c r="X2297" s="256"/>
    </row>
    <row r="2298" spans="24:24" x14ac:dyDescent="0.25">
      <c r="X2298" s="256"/>
    </row>
    <row r="2299" spans="24:24" x14ac:dyDescent="0.25">
      <c r="X2299" s="256"/>
    </row>
    <row r="2300" spans="24:24" x14ac:dyDescent="0.25">
      <c r="X2300" s="256"/>
    </row>
    <row r="2301" spans="24:24" x14ac:dyDescent="0.25">
      <c r="X2301" s="256"/>
    </row>
    <row r="2302" spans="24:24" x14ac:dyDescent="0.25">
      <c r="X2302" s="256"/>
    </row>
    <row r="2303" spans="24:24" x14ac:dyDescent="0.25">
      <c r="X2303" s="256"/>
    </row>
    <row r="2304" spans="24:24" x14ac:dyDescent="0.25">
      <c r="X2304" s="256"/>
    </row>
    <row r="2305" spans="24:24" x14ac:dyDescent="0.25">
      <c r="X2305" s="256"/>
    </row>
    <row r="2306" spans="24:24" x14ac:dyDescent="0.25">
      <c r="X2306" s="256"/>
    </row>
    <row r="2307" spans="24:24" x14ac:dyDescent="0.25">
      <c r="X2307" s="256"/>
    </row>
    <row r="2308" spans="24:24" x14ac:dyDescent="0.25">
      <c r="X2308" s="256"/>
    </row>
    <row r="2309" spans="24:24" x14ac:dyDescent="0.25">
      <c r="X2309" s="256"/>
    </row>
    <row r="2310" spans="24:24" x14ac:dyDescent="0.25">
      <c r="X2310" s="256"/>
    </row>
    <row r="2311" spans="24:24" x14ac:dyDescent="0.25">
      <c r="X2311" s="256"/>
    </row>
    <row r="2312" spans="24:24" x14ac:dyDescent="0.25">
      <c r="X2312" s="256"/>
    </row>
    <row r="2313" spans="24:24" x14ac:dyDescent="0.25">
      <c r="X2313" s="256"/>
    </row>
    <row r="2314" spans="24:24" x14ac:dyDescent="0.25">
      <c r="X2314" s="256"/>
    </row>
    <row r="2315" spans="24:24" x14ac:dyDescent="0.25">
      <c r="X2315" s="256"/>
    </row>
    <row r="2316" spans="24:24" x14ac:dyDescent="0.25">
      <c r="X2316" s="256"/>
    </row>
    <row r="2317" spans="24:24" x14ac:dyDescent="0.25">
      <c r="X2317" s="256"/>
    </row>
    <row r="2318" spans="24:24" x14ac:dyDescent="0.25">
      <c r="X2318" s="256"/>
    </row>
    <row r="2319" spans="24:24" x14ac:dyDescent="0.25">
      <c r="X2319" s="256"/>
    </row>
    <row r="2320" spans="24:24" x14ac:dyDescent="0.25">
      <c r="X2320" s="256"/>
    </row>
    <row r="2321" spans="24:24" x14ac:dyDescent="0.25">
      <c r="X2321" s="256"/>
    </row>
    <row r="2322" spans="24:24" x14ac:dyDescent="0.25">
      <c r="X2322" s="256"/>
    </row>
    <row r="2323" spans="24:24" x14ac:dyDescent="0.25">
      <c r="X2323" s="256"/>
    </row>
    <row r="2324" spans="24:24" x14ac:dyDescent="0.25">
      <c r="X2324" s="256"/>
    </row>
    <row r="2325" spans="24:24" x14ac:dyDescent="0.25">
      <c r="X2325" s="256"/>
    </row>
    <row r="2326" spans="24:24" x14ac:dyDescent="0.25">
      <c r="X2326" s="256"/>
    </row>
    <row r="2327" spans="24:24" x14ac:dyDescent="0.25">
      <c r="X2327" s="256"/>
    </row>
    <row r="2328" spans="24:24" x14ac:dyDescent="0.25">
      <c r="X2328" s="256"/>
    </row>
    <row r="2329" spans="24:24" x14ac:dyDescent="0.25">
      <c r="X2329" s="256"/>
    </row>
    <row r="2330" spans="24:24" x14ac:dyDescent="0.25">
      <c r="X2330" s="256"/>
    </row>
    <row r="2331" spans="24:24" x14ac:dyDescent="0.25">
      <c r="X2331" s="256"/>
    </row>
    <row r="2332" spans="24:24" x14ac:dyDescent="0.25">
      <c r="X2332" s="256"/>
    </row>
    <row r="2333" spans="24:24" x14ac:dyDescent="0.25">
      <c r="X2333" s="256"/>
    </row>
    <row r="2334" spans="24:24" x14ac:dyDescent="0.25">
      <c r="X2334" s="256"/>
    </row>
    <row r="2335" spans="24:24" x14ac:dyDescent="0.25">
      <c r="X2335" s="256"/>
    </row>
    <row r="2336" spans="24:24" x14ac:dyDescent="0.25">
      <c r="X2336" s="256"/>
    </row>
    <row r="2337" spans="24:24" x14ac:dyDescent="0.25">
      <c r="X2337" s="256"/>
    </row>
    <row r="2338" spans="24:24" x14ac:dyDescent="0.25">
      <c r="X2338" s="256"/>
    </row>
    <row r="2339" spans="24:24" x14ac:dyDescent="0.25">
      <c r="X2339" s="256"/>
    </row>
    <row r="2340" spans="24:24" x14ac:dyDescent="0.25">
      <c r="X2340" s="256"/>
    </row>
    <row r="2341" spans="24:24" x14ac:dyDescent="0.25">
      <c r="X2341" s="256"/>
    </row>
    <row r="2342" spans="24:24" x14ac:dyDescent="0.25">
      <c r="X2342" s="256"/>
    </row>
    <row r="2343" spans="24:24" x14ac:dyDescent="0.25">
      <c r="X2343" s="256"/>
    </row>
    <row r="2344" spans="24:24" x14ac:dyDescent="0.25">
      <c r="X2344" s="256"/>
    </row>
    <row r="2345" spans="24:24" x14ac:dyDescent="0.25">
      <c r="X2345" s="256"/>
    </row>
    <row r="2346" spans="24:24" x14ac:dyDescent="0.25">
      <c r="X2346" s="256"/>
    </row>
    <row r="2347" spans="24:24" x14ac:dyDescent="0.25">
      <c r="X2347" s="256"/>
    </row>
    <row r="2348" spans="24:24" x14ac:dyDescent="0.25">
      <c r="X2348" s="256"/>
    </row>
    <row r="2349" spans="24:24" x14ac:dyDescent="0.25">
      <c r="X2349" s="256"/>
    </row>
    <row r="2350" spans="24:24" x14ac:dyDescent="0.25">
      <c r="X2350" s="256"/>
    </row>
    <row r="2351" spans="24:24" x14ac:dyDescent="0.25">
      <c r="X2351" s="256"/>
    </row>
    <row r="2352" spans="24:24" x14ac:dyDescent="0.25">
      <c r="X2352" s="256"/>
    </row>
    <row r="2353" spans="24:24" x14ac:dyDescent="0.25">
      <c r="X2353" s="256"/>
    </row>
    <row r="2354" spans="24:24" x14ac:dyDescent="0.25">
      <c r="X2354" s="256"/>
    </row>
    <row r="2355" spans="24:24" x14ac:dyDescent="0.25">
      <c r="X2355" s="256"/>
    </row>
    <row r="2356" spans="24:24" x14ac:dyDescent="0.25">
      <c r="X2356" s="256"/>
    </row>
    <row r="2357" spans="24:24" x14ac:dyDescent="0.25">
      <c r="X2357" s="256"/>
    </row>
    <row r="2358" spans="24:24" x14ac:dyDescent="0.25">
      <c r="X2358" s="256"/>
    </row>
    <row r="2359" spans="24:24" x14ac:dyDescent="0.25">
      <c r="X2359" s="256"/>
    </row>
    <row r="2360" spans="24:24" x14ac:dyDescent="0.25">
      <c r="X2360" s="256"/>
    </row>
    <row r="2361" spans="24:24" x14ac:dyDescent="0.25">
      <c r="X2361" s="256"/>
    </row>
    <row r="2362" spans="24:24" x14ac:dyDescent="0.25">
      <c r="X2362" s="256"/>
    </row>
    <row r="2363" spans="24:24" x14ac:dyDescent="0.25">
      <c r="X2363" s="256"/>
    </row>
    <row r="2364" spans="24:24" x14ac:dyDescent="0.25">
      <c r="X2364" s="256"/>
    </row>
    <row r="2365" spans="24:24" x14ac:dyDescent="0.25">
      <c r="X2365" s="256"/>
    </row>
    <row r="2366" spans="24:24" x14ac:dyDescent="0.25">
      <c r="X2366" s="256"/>
    </row>
    <row r="2367" spans="24:24" x14ac:dyDescent="0.25">
      <c r="X2367" s="256"/>
    </row>
    <row r="2368" spans="24:24" x14ac:dyDescent="0.25">
      <c r="X2368" s="256"/>
    </row>
    <row r="2369" spans="24:24" x14ac:dyDescent="0.25">
      <c r="X2369" s="256"/>
    </row>
    <row r="2370" spans="24:24" x14ac:dyDescent="0.25">
      <c r="X2370" s="256"/>
    </row>
    <row r="2371" spans="24:24" x14ac:dyDescent="0.25">
      <c r="X2371" s="256"/>
    </row>
    <row r="2372" spans="24:24" x14ac:dyDescent="0.25">
      <c r="X2372" s="256"/>
    </row>
    <row r="2373" spans="24:24" x14ac:dyDescent="0.25">
      <c r="X2373" s="256"/>
    </row>
    <row r="2374" spans="24:24" x14ac:dyDescent="0.25">
      <c r="X2374" s="256"/>
    </row>
    <row r="2375" spans="24:24" x14ac:dyDescent="0.25">
      <c r="X2375" s="256"/>
    </row>
    <row r="2376" spans="24:24" x14ac:dyDescent="0.25">
      <c r="X2376" s="256"/>
    </row>
    <row r="2377" spans="24:24" x14ac:dyDescent="0.25">
      <c r="X2377" s="256"/>
    </row>
    <row r="2378" spans="24:24" x14ac:dyDescent="0.25">
      <c r="X2378" s="256"/>
    </row>
    <row r="2379" spans="24:24" x14ac:dyDescent="0.25">
      <c r="X2379" s="256"/>
    </row>
    <row r="2380" spans="24:24" x14ac:dyDescent="0.25">
      <c r="X2380" s="256"/>
    </row>
    <row r="2381" spans="24:24" x14ac:dyDescent="0.25">
      <c r="X2381" s="256"/>
    </row>
    <row r="2382" spans="24:24" x14ac:dyDescent="0.25">
      <c r="X2382" s="256"/>
    </row>
    <row r="2383" spans="24:24" x14ac:dyDescent="0.25">
      <c r="X2383" s="256"/>
    </row>
    <row r="2384" spans="24:24" x14ac:dyDescent="0.25">
      <c r="X2384" s="256"/>
    </row>
    <row r="2385" spans="24:24" x14ac:dyDescent="0.25">
      <c r="X2385" s="256"/>
    </row>
    <row r="2386" spans="24:24" x14ac:dyDescent="0.25">
      <c r="X2386" s="256"/>
    </row>
    <row r="2387" spans="24:24" x14ac:dyDescent="0.25">
      <c r="X2387" s="256"/>
    </row>
    <row r="2388" spans="24:24" x14ac:dyDescent="0.25">
      <c r="X2388" s="256"/>
    </row>
    <row r="2389" spans="24:24" x14ac:dyDescent="0.25">
      <c r="X2389" s="256"/>
    </row>
    <row r="2390" spans="24:24" x14ac:dyDescent="0.25">
      <c r="X2390" s="256"/>
    </row>
    <row r="2391" spans="24:24" x14ac:dyDescent="0.25">
      <c r="X2391" s="256"/>
    </row>
    <row r="2392" spans="24:24" x14ac:dyDescent="0.25">
      <c r="X2392" s="256"/>
    </row>
    <row r="2393" spans="24:24" x14ac:dyDescent="0.25">
      <c r="X2393" s="256"/>
    </row>
    <row r="2394" spans="24:24" x14ac:dyDescent="0.25">
      <c r="X2394" s="256"/>
    </row>
    <row r="2395" spans="24:24" x14ac:dyDescent="0.25">
      <c r="X2395" s="256"/>
    </row>
    <row r="2396" spans="24:24" x14ac:dyDescent="0.25">
      <c r="X2396" s="256"/>
    </row>
    <row r="2397" spans="24:24" x14ac:dyDescent="0.25">
      <c r="X2397" s="256"/>
    </row>
    <row r="2398" spans="24:24" x14ac:dyDescent="0.25">
      <c r="X2398" s="256"/>
    </row>
    <row r="2399" spans="24:24" x14ac:dyDescent="0.25">
      <c r="X2399" s="256"/>
    </row>
    <row r="2400" spans="24:24" x14ac:dyDescent="0.25">
      <c r="X2400" s="256"/>
    </row>
    <row r="2401" spans="24:24" x14ac:dyDescent="0.25">
      <c r="X2401" s="256"/>
    </row>
    <row r="2402" spans="24:24" x14ac:dyDescent="0.25">
      <c r="X2402" s="256"/>
    </row>
    <row r="2403" spans="24:24" x14ac:dyDescent="0.25">
      <c r="X2403" s="256"/>
    </row>
    <row r="2404" spans="24:24" x14ac:dyDescent="0.25">
      <c r="X2404" s="256"/>
    </row>
    <row r="2405" spans="24:24" x14ac:dyDescent="0.25">
      <c r="X2405" s="256"/>
    </row>
    <row r="2406" spans="24:24" x14ac:dyDescent="0.25">
      <c r="X2406" s="256"/>
    </row>
    <row r="2407" spans="24:24" x14ac:dyDescent="0.25">
      <c r="X2407" s="256"/>
    </row>
    <row r="2408" spans="24:24" x14ac:dyDescent="0.25">
      <c r="X2408" s="256"/>
    </row>
    <row r="2409" spans="24:24" x14ac:dyDescent="0.25">
      <c r="X2409" s="256"/>
    </row>
    <row r="2410" spans="24:24" x14ac:dyDescent="0.25">
      <c r="X2410" s="256"/>
    </row>
    <row r="2411" spans="24:24" x14ac:dyDescent="0.25">
      <c r="X2411" s="256"/>
    </row>
    <row r="2412" spans="24:24" x14ac:dyDescent="0.25">
      <c r="X2412" s="256"/>
    </row>
    <row r="2413" spans="24:24" x14ac:dyDescent="0.25">
      <c r="X2413" s="256"/>
    </row>
    <row r="2414" spans="24:24" x14ac:dyDescent="0.25">
      <c r="X2414" s="256"/>
    </row>
    <row r="2415" spans="24:24" x14ac:dyDescent="0.25">
      <c r="X2415" s="256"/>
    </row>
    <row r="2416" spans="24:24" x14ac:dyDescent="0.25">
      <c r="X2416" s="256"/>
    </row>
    <row r="2417" spans="24:24" x14ac:dyDescent="0.25">
      <c r="X2417" s="256"/>
    </row>
    <row r="2418" spans="24:24" x14ac:dyDescent="0.25">
      <c r="X2418" s="256"/>
    </row>
    <row r="2419" spans="24:24" x14ac:dyDescent="0.25">
      <c r="X2419" s="256"/>
    </row>
    <row r="2420" spans="24:24" x14ac:dyDescent="0.25">
      <c r="X2420" s="256"/>
    </row>
    <row r="2421" spans="24:24" x14ac:dyDescent="0.25">
      <c r="X2421" s="256"/>
    </row>
    <row r="2422" spans="24:24" x14ac:dyDescent="0.25">
      <c r="X2422" s="256"/>
    </row>
    <row r="2423" spans="24:24" x14ac:dyDescent="0.25">
      <c r="X2423" s="256"/>
    </row>
    <row r="2424" spans="24:24" x14ac:dyDescent="0.25">
      <c r="X2424" s="256"/>
    </row>
    <row r="2425" spans="24:24" x14ac:dyDescent="0.25">
      <c r="X2425" s="256"/>
    </row>
    <row r="2426" spans="24:24" x14ac:dyDescent="0.25">
      <c r="X2426" s="256"/>
    </row>
    <row r="2427" spans="24:24" x14ac:dyDescent="0.25">
      <c r="X2427" s="256"/>
    </row>
    <row r="2428" spans="24:24" x14ac:dyDescent="0.25">
      <c r="X2428" s="256"/>
    </row>
    <row r="2429" spans="24:24" x14ac:dyDescent="0.25">
      <c r="X2429" s="256"/>
    </row>
    <row r="2430" spans="24:24" x14ac:dyDescent="0.25">
      <c r="X2430" s="256"/>
    </row>
    <row r="2431" spans="24:24" x14ac:dyDescent="0.25">
      <c r="X2431" s="256"/>
    </row>
    <row r="2432" spans="24:24" x14ac:dyDescent="0.25">
      <c r="X2432" s="256"/>
    </row>
    <row r="2433" spans="24:24" x14ac:dyDescent="0.25">
      <c r="X2433" s="256"/>
    </row>
    <row r="2434" spans="24:24" x14ac:dyDescent="0.25">
      <c r="X2434" s="256"/>
    </row>
    <row r="2435" spans="24:24" x14ac:dyDescent="0.25">
      <c r="X2435" s="256"/>
    </row>
    <row r="2436" spans="24:24" x14ac:dyDescent="0.25">
      <c r="X2436" s="256"/>
    </row>
    <row r="2437" spans="24:24" x14ac:dyDescent="0.25">
      <c r="X2437" s="256"/>
    </row>
    <row r="2438" spans="24:24" x14ac:dyDescent="0.25">
      <c r="X2438" s="256"/>
    </row>
    <row r="2439" spans="24:24" x14ac:dyDescent="0.25">
      <c r="X2439" s="256"/>
    </row>
    <row r="2440" spans="24:24" x14ac:dyDescent="0.25">
      <c r="X2440" s="256"/>
    </row>
    <row r="2441" spans="24:24" x14ac:dyDescent="0.25">
      <c r="X2441" s="256"/>
    </row>
    <row r="2442" spans="24:24" x14ac:dyDescent="0.25">
      <c r="X2442" s="256"/>
    </row>
    <row r="2443" spans="24:24" x14ac:dyDescent="0.25">
      <c r="X2443" s="256"/>
    </row>
    <row r="2444" spans="24:24" x14ac:dyDescent="0.25">
      <c r="X2444" s="256"/>
    </row>
    <row r="2445" spans="24:24" x14ac:dyDescent="0.25">
      <c r="X2445" s="256"/>
    </row>
    <row r="2446" spans="24:24" x14ac:dyDescent="0.25">
      <c r="X2446" s="256"/>
    </row>
    <row r="2447" spans="24:24" x14ac:dyDescent="0.25">
      <c r="X2447" s="256"/>
    </row>
    <row r="2448" spans="24:24" x14ac:dyDescent="0.25">
      <c r="X2448" s="256"/>
    </row>
    <row r="2449" spans="24:24" x14ac:dyDescent="0.25">
      <c r="X2449" s="256"/>
    </row>
    <row r="2450" spans="24:24" x14ac:dyDescent="0.25">
      <c r="X2450" s="256"/>
    </row>
    <row r="2451" spans="24:24" x14ac:dyDescent="0.25">
      <c r="X2451" s="256"/>
    </row>
    <row r="2452" spans="24:24" x14ac:dyDescent="0.25">
      <c r="X2452" s="256"/>
    </row>
    <row r="2453" spans="24:24" x14ac:dyDescent="0.25">
      <c r="X2453" s="256"/>
    </row>
    <row r="2454" spans="24:24" x14ac:dyDescent="0.25">
      <c r="X2454" s="256"/>
    </row>
    <row r="2455" spans="24:24" x14ac:dyDescent="0.25">
      <c r="X2455" s="256"/>
    </row>
    <row r="2456" spans="24:24" x14ac:dyDescent="0.25">
      <c r="X2456" s="256"/>
    </row>
    <row r="2457" spans="24:24" x14ac:dyDescent="0.25">
      <c r="X2457" s="256"/>
    </row>
    <row r="2458" spans="24:24" x14ac:dyDescent="0.25">
      <c r="X2458" s="256"/>
    </row>
    <row r="2459" spans="24:24" x14ac:dyDescent="0.25">
      <c r="X2459" s="256"/>
    </row>
    <row r="2460" spans="24:24" x14ac:dyDescent="0.25">
      <c r="X2460" s="256"/>
    </row>
    <row r="2461" spans="24:24" x14ac:dyDescent="0.25">
      <c r="X2461" s="256"/>
    </row>
    <row r="2462" spans="24:24" x14ac:dyDescent="0.25">
      <c r="X2462" s="256"/>
    </row>
    <row r="2463" spans="24:24" x14ac:dyDescent="0.25">
      <c r="X2463" s="256"/>
    </row>
    <row r="2464" spans="24:24" x14ac:dyDescent="0.25">
      <c r="X2464" s="256"/>
    </row>
    <row r="2465" spans="24:24" x14ac:dyDescent="0.25">
      <c r="X2465" s="256"/>
    </row>
    <row r="2466" spans="24:24" x14ac:dyDescent="0.25">
      <c r="X2466" s="256"/>
    </row>
    <row r="2467" spans="24:24" x14ac:dyDescent="0.25">
      <c r="X2467" s="256"/>
    </row>
    <row r="2468" spans="24:24" x14ac:dyDescent="0.25">
      <c r="X2468" s="256"/>
    </row>
    <row r="2469" spans="24:24" x14ac:dyDescent="0.25">
      <c r="X2469" s="256"/>
    </row>
    <row r="2470" spans="24:24" x14ac:dyDescent="0.25">
      <c r="X2470" s="256"/>
    </row>
    <row r="2471" spans="24:24" x14ac:dyDescent="0.25">
      <c r="X2471" s="256"/>
    </row>
    <row r="2472" spans="24:24" x14ac:dyDescent="0.25">
      <c r="X2472" s="256"/>
    </row>
    <row r="2473" spans="24:24" x14ac:dyDescent="0.25">
      <c r="X2473" s="256"/>
    </row>
    <row r="2474" spans="24:24" x14ac:dyDescent="0.25">
      <c r="X2474" s="256"/>
    </row>
    <row r="2475" spans="24:24" x14ac:dyDescent="0.25">
      <c r="X2475" s="256"/>
    </row>
    <row r="2476" spans="24:24" x14ac:dyDescent="0.25">
      <c r="X2476" s="256"/>
    </row>
    <row r="2477" spans="24:24" x14ac:dyDescent="0.25">
      <c r="X2477" s="256"/>
    </row>
    <row r="2478" spans="24:24" x14ac:dyDescent="0.25">
      <c r="X2478" s="256"/>
    </row>
    <row r="2479" spans="24:24" x14ac:dyDescent="0.25">
      <c r="X2479" s="256"/>
    </row>
    <row r="2480" spans="24:24" x14ac:dyDescent="0.25">
      <c r="X2480" s="256"/>
    </row>
    <row r="2481" spans="24:24" x14ac:dyDescent="0.25">
      <c r="X2481" s="256"/>
    </row>
    <row r="2482" spans="24:24" x14ac:dyDescent="0.25">
      <c r="X2482" s="256"/>
    </row>
    <row r="2483" spans="24:24" x14ac:dyDescent="0.25">
      <c r="X2483" s="256"/>
    </row>
    <row r="2484" spans="24:24" x14ac:dyDescent="0.25">
      <c r="X2484" s="256"/>
    </row>
    <row r="2485" spans="24:24" x14ac:dyDescent="0.25">
      <c r="X2485" s="256"/>
    </row>
    <row r="2486" spans="24:24" x14ac:dyDescent="0.25">
      <c r="X2486" s="256"/>
    </row>
    <row r="2487" spans="24:24" x14ac:dyDescent="0.25">
      <c r="X2487" s="256"/>
    </row>
    <row r="2488" spans="24:24" x14ac:dyDescent="0.25">
      <c r="X2488" s="256"/>
    </row>
    <row r="2489" spans="24:24" x14ac:dyDescent="0.25">
      <c r="X2489" s="256"/>
    </row>
    <row r="2490" spans="24:24" x14ac:dyDescent="0.25">
      <c r="X2490" s="256"/>
    </row>
    <row r="2491" spans="24:24" x14ac:dyDescent="0.25">
      <c r="X2491" s="256"/>
    </row>
    <row r="2492" spans="24:24" x14ac:dyDescent="0.25">
      <c r="X2492" s="256"/>
    </row>
    <row r="2493" spans="24:24" x14ac:dyDescent="0.25">
      <c r="X2493" s="256"/>
    </row>
    <row r="2494" spans="24:24" x14ac:dyDescent="0.25">
      <c r="X2494" s="256"/>
    </row>
    <row r="2495" spans="24:24" x14ac:dyDescent="0.25">
      <c r="X2495" s="256"/>
    </row>
    <row r="2496" spans="24:24" x14ac:dyDescent="0.25">
      <c r="X2496" s="256"/>
    </row>
    <row r="2497" spans="24:24" x14ac:dyDescent="0.25">
      <c r="X2497" s="256"/>
    </row>
    <row r="2498" spans="24:24" x14ac:dyDescent="0.25">
      <c r="X2498" s="256"/>
    </row>
    <row r="2499" spans="24:24" x14ac:dyDescent="0.25">
      <c r="X2499" s="256"/>
    </row>
    <row r="2500" spans="24:24" x14ac:dyDescent="0.25">
      <c r="X2500" s="256"/>
    </row>
    <row r="2501" spans="24:24" x14ac:dyDescent="0.25">
      <c r="X2501" s="256"/>
    </row>
    <row r="2502" spans="24:24" x14ac:dyDescent="0.25">
      <c r="X2502" s="256"/>
    </row>
    <row r="2503" spans="24:24" x14ac:dyDescent="0.25">
      <c r="X2503" s="256"/>
    </row>
    <row r="2504" spans="24:24" x14ac:dyDescent="0.25">
      <c r="X2504" s="256"/>
    </row>
    <row r="2505" spans="24:24" x14ac:dyDescent="0.25">
      <c r="X2505" s="256"/>
    </row>
    <row r="2506" spans="24:24" x14ac:dyDescent="0.25">
      <c r="X2506" s="256"/>
    </row>
    <row r="2507" spans="24:24" x14ac:dyDescent="0.25">
      <c r="X2507" s="256"/>
    </row>
    <row r="2508" spans="24:24" x14ac:dyDescent="0.25">
      <c r="X2508" s="256"/>
    </row>
    <row r="2509" spans="24:24" x14ac:dyDescent="0.25">
      <c r="X2509" s="256"/>
    </row>
    <row r="2510" spans="24:24" x14ac:dyDescent="0.25">
      <c r="X2510" s="256"/>
    </row>
    <row r="2511" spans="24:24" x14ac:dyDescent="0.25">
      <c r="X2511" s="256"/>
    </row>
    <row r="2512" spans="24:24" x14ac:dyDescent="0.25">
      <c r="X2512" s="256"/>
    </row>
    <row r="2513" spans="24:24" x14ac:dyDescent="0.25">
      <c r="X2513" s="256"/>
    </row>
    <row r="2514" spans="24:24" x14ac:dyDescent="0.25">
      <c r="X2514" s="256"/>
    </row>
    <row r="2515" spans="24:24" x14ac:dyDescent="0.25">
      <c r="X2515" s="256"/>
    </row>
    <row r="2516" spans="24:24" x14ac:dyDescent="0.25">
      <c r="X2516" s="256"/>
    </row>
    <row r="2517" spans="24:24" x14ac:dyDescent="0.25">
      <c r="X2517" s="256"/>
    </row>
    <row r="2518" spans="24:24" x14ac:dyDescent="0.25">
      <c r="X2518" s="256"/>
    </row>
    <row r="2519" spans="24:24" x14ac:dyDescent="0.25">
      <c r="X2519" s="256"/>
    </row>
    <row r="2520" spans="24:24" x14ac:dyDescent="0.25">
      <c r="X2520" s="256"/>
    </row>
    <row r="2521" spans="24:24" x14ac:dyDescent="0.25">
      <c r="X2521" s="256"/>
    </row>
    <row r="2522" spans="24:24" x14ac:dyDescent="0.25">
      <c r="X2522" s="256"/>
    </row>
    <row r="2523" spans="24:24" x14ac:dyDescent="0.25">
      <c r="X2523" s="256"/>
    </row>
    <row r="2524" spans="24:24" x14ac:dyDescent="0.25">
      <c r="X2524" s="256"/>
    </row>
    <row r="2525" spans="24:24" x14ac:dyDescent="0.25">
      <c r="X2525" s="256"/>
    </row>
    <row r="2526" spans="24:24" x14ac:dyDescent="0.25">
      <c r="X2526" s="256"/>
    </row>
    <row r="2527" spans="24:24" x14ac:dyDescent="0.25">
      <c r="X2527" s="256"/>
    </row>
    <row r="2528" spans="24:24" x14ac:dyDescent="0.25">
      <c r="X2528" s="256"/>
    </row>
    <row r="2529" spans="24:24" x14ac:dyDescent="0.25">
      <c r="X2529" s="256"/>
    </row>
    <row r="2530" spans="24:24" x14ac:dyDescent="0.25">
      <c r="X2530" s="256"/>
    </row>
    <row r="2531" spans="24:24" x14ac:dyDescent="0.25">
      <c r="X2531" s="256"/>
    </row>
    <row r="2532" spans="24:24" x14ac:dyDescent="0.25">
      <c r="X2532" s="256"/>
    </row>
    <row r="2533" spans="24:24" x14ac:dyDescent="0.25">
      <c r="X2533" s="256"/>
    </row>
    <row r="2534" spans="24:24" x14ac:dyDescent="0.25">
      <c r="X2534" s="256"/>
    </row>
    <row r="2535" spans="24:24" x14ac:dyDescent="0.25">
      <c r="X2535" s="256"/>
    </row>
    <row r="2536" spans="24:24" x14ac:dyDescent="0.25">
      <c r="X2536" s="256"/>
    </row>
    <row r="2537" spans="24:24" x14ac:dyDescent="0.25">
      <c r="X2537" s="256"/>
    </row>
    <row r="2538" spans="24:24" x14ac:dyDescent="0.25">
      <c r="X2538" s="256"/>
    </row>
    <row r="2539" spans="24:24" x14ac:dyDescent="0.25">
      <c r="X2539" s="256"/>
    </row>
    <row r="2540" spans="24:24" x14ac:dyDescent="0.25">
      <c r="X2540" s="256"/>
    </row>
    <row r="2541" spans="24:24" x14ac:dyDescent="0.25">
      <c r="X2541" s="256"/>
    </row>
    <row r="2542" spans="24:24" x14ac:dyDescent="0.25">
      <c r="X2542" s="256"/>
    </row>
    <row r="2543" spans="24:24" x14ac:dyDescent="0.25">
      <c r="X2543" s="256"/>
    </row>
    <row r="2544" spans="24:24" x14ac:dyDescent="0.25">
      <c r="X2544" s="256"/>
    </row>
    <row r="2545" spans="24:24" x14ac:dyDescent="0.25">
      <c r="X2545" s="256"/>
    </row>
    <row r="2546" spans="24:24" x14ac:dyDescent="0.25">
      <c r="X2546" s="256"/>
    </row>
    <row r="2547" spans="24:24" x14ac:dyDescent="0.25">
      <c r="X2547" s="256"/>
    </row>
    <row r="2548" spans="24:24" x14ac:dyDescent="0.25">
      <c r="X2548" s="256"/>
    </row>
    <row r="2549" spans="24:24" x14ac:dyDescent="0.25">
      <c r="X2549" s="256"/>
    </row>
    <row r="2550" spans="24:24" x14ac:dyDescent="0.25">
      <c r="X2550" s="256"/>
    </row>
    <row r="2551" spans="24:24" x14ac:dyDescent="0.25">
      <c r="X2551" s="256"/>
    </row>
    <row r="2552" spans="24:24" x14ac:dyDescent="0.25">
      <c r="X2552" s="256"/>
    </row>
    <row r="2553" spans="24:24" x14ac:dyDescent="0.25">
      <c r="X2553" s="256"/>
    </row>
    <row r="2554" spans="24:24" x14ac:dyDescent="0.25">
      <c r="X2554" s="256"/>
    </row>
    <row r="2555" spans="24:24" x14ac:dyDescent="0.25">
      <c r="X2555" s="256"/>
    </row>
    <row r="2556" spans="24:24" x14ac:dyDescent="0.25">
      <c r="X2556" s="256"/>
    </row>
    <row r="2557" spans="24:24" x14ac:dyDescent="0.25">
      <c r="X2557" s="256"/>
    </row>
    <row r="2558" spans="24:24" x14ac:dyDescent="0.25">
      <c r="X2558" s="256"/>
    </row>
    <row r="2559" spans="24:24" x14ac:dyDescent="0.25">
      <c r="X2559" s="256"/>
    </row>
    <row r="2560" spans="24:24" x14ac:dyDescent="0.25">
      <c r="X2560" s="256"/>
    </row>
    <row r="2561" spans="24:24" x14ac:dyDescent="0.25">
      <c r="X2561" s="256"/>
    </row>
    <row r="2562" spans="24:24" x14ac:dyDescent="0.25">
      <c r="X2562" s="256"/>
    </row>
    <row r="2563" spans="24:24" x14ac:dyDescent="0.25">
      <c r="X2563" s="256"/>
    </row>
    <row r="2564" spans="24:24" x14ac:dyDescent="0.25">
      <c r="X2564" s="256"/>
    </row>
    <row r="2565" spans="24:24" x14ac:dyDescent="0.25">
      <c r="X2565" s="256"/>
    </row>
    <row r="2566" spans="24:24" x14ac:dyDescent="0.25">
      <c r="X2566" s="256"/>
    </row>
    <row r="2567" spans="24:24" x14ac:dyDescent="0.25">
      <c r="X2567" s="256"/>
    </row>
    <row r="2568" spans="24:24" x14ac:dyDescent="0.25">
      <c r="X2568" s="256"/>
    </row>
    <row r="2569" spans="24:24" x14ac:dyDescent="0.25">
      <c r="X2569" s="256"/>
    </row>
    <row r="2570" spans="24:24" x14ac:dyDescent="0.25">
      <c r="X2570" s="256"/>
    </row>
    <row r="2571" spans="24:24" x14ac:dyDescent="0.25">
      <c r="X2571" s="256"/>
    </row>
    <row r="2572" spans="24:24" x14ac:dyDescent="0.25">
      <c r="X2572" s="256"/>
    </row>
    <row r="2573" spans="24:24" x14ac:dyDescent="0.25">
      <c r="X2573" s="256"/>
    </row>
    <row r="2574" spans="24:24" x14ac:dyDescent="0.25">
      <c r="X2574" s="256"/>
    </row>
    <row r="2575" spans="24:24" x14ac:dyDescent="0.25">
      <c r="X2575" s="256"/>
    </row>
    <row r="2576" spans="24:24" x14ac:dyDescent="0.25">
      <c r="X2576" s="256"/>
    </row>
    <row r="2577" spans="24:24" x14ac:dyDescent="0.25">
      <c r="X2577" s="256"/>
    </row>
    <row r="2578" spans="24:24" x14ac:dyDescent="0.25">
      <c r="X2578" s="256"/>
    </row>
    <row r="2579" spans="24:24" x14ac:dyDescent="0.25">
      <c r="X2579" s="256"/>
    </row>
    <row r="2580" spans="24:24" x14ac:dyDescent="0.25">
      <c r="X2580" s="256"/>
    </row>
    <row r="2581" spans="24:24" x14ac:dyDescent="0.25">
      <c r="X2581" s="256"/>
    </row>
    <row r="2582" spans="24:24" x14ac:dyDescent="0.25">
      <c r="X2582" s="256"/>
    </row>
    <row r="2583" spans="24:24" x14ac:dyDescent="0.25">
      <c r="X2583" s="256"/>
    </row>
    <row r="2584" spans="24:24" x14ac:dyDescent="0.25">
      <c r="X2584" s="256"/>
    </row>
    <row r="2585" spans="24:24" x14ac:dyDescent="0.25">
      <c r="X2585" s="256"/>
    </row>
    <row r="2586" spans="24:24" x14ac:dyDescent="0.25">
      <c r="X2586" s="256"/>
    </row>
    <row r="2587" spans="24:24" x14ac:dyDescent="0.25">
      <c r="X2587" s="256"/>
    </row>
    <row r="2588" spans="24:24" x14ac:dyDescent="0.25">
      <c r="X2588" s="256"/>
    </row>
    <row r="2589" spans="24:24" x14ac:dyDescent="0.25">
      <c r="X2589" s="256"/>
    </row>
    <row r="2590" spans="24:24" x14ac:dyDescent="0.25">
      <c r="X2590" s="256"/>
    </row>
    <row r="2591" spans="24:24" x14ac:dyDescent="0.25">
      <c r="X2591" s="256"/>
    </row>
    <row r="2592" spans="24:24" x14ac:dyDescent="0.25">
      <c r="X2592" s="256"/>
    </row>
    <row r="2593" spans="24:24" x14ac:dyDescent="0.25">
      <c r="X2593" s="256"/>
    </row>
    <row r="2594" spans="24:24" x14ac:dyDescent="0.25">
      <c r="X2594" s="256"/>
    </row>
    <row r="2595" spans="24:24" x14ac:dyDescent="0.25">
      <c r="X2595" s="256"/>
    </row>
    <row r="2596" spans="24:24" x14ac:dyDescent="0.25">
      <c r="X2596" s="256"/>
    </row>
    <row r="2597" spans="24:24" x14ac:dyDescent="0.25">
      <c r="X2597" s="256"/>
    </row>
    <row r="2598" spans="24:24" x14ac:dyDescent="0.25">
      <c r="X2598" s="256"/>
    </row>
    <row r="2599" spans="24:24" x14ac:dyDescent="0.25">
      <c r="X2599" s="256"/>
    </row>
    <row r="2600" spans="24:24" x14ac:dyDescent="0.25">
      <c r="X2600" s="256"/>
    </row>
    <row r="2601" spans="24:24" x14ac:dyDescent="0.25">
      <c r="X2601" s="256"/>
    </row>
    <row r="2602" spans="24:24" x14ac:dyDescent="0.25">
      <c r="X2602" s="256"/>
    </row>
    <row r="2603" spans="24:24" x14ac:dyDescent="0.25">
      <c r="X2603" s="256"/>
    </row>
    <row r="2604" spans="24:24" x14ac:dyDescent="0.25">
      <c r="X2604" s="256"/>
    </row>
    <row r="2605" spans="24:24" x14ac:dyDescent="0.25">
      <c r="X2605" s="256"/>
    </row>
    <row r="2606" spans="24:24" x14ac:dyDescent="0.25">
      <c r="X2606" s="256"/>
    </row>
    <row r="2607" spans="24:24" x14ac:dyDescent="0.25">
      <c r="X2607" s="256"/>
    </row>
    <row r="2608" spans="24:24" x14ac:dyDescent="0.25">
      <c r="X2608" s="256"/>
    </row>
    <row r="2609" spans="24:24" x14ac:dyDescent="0.25">
      <c r="X2609" s="256"/>
    </row>
    <row r="2610" spans="24:24" x14ac:dyDescent="0.25">
      <c r="X2610" s="256"/>
    </row>
    <row r="2611" spans="24:24" x14ac:dyDescent="0.25">
      <c r="X2611" s="256"/>
    </row>
    <row r="2612" spans="24:24" x14ac:dyDescent="0.25">
      <c r="X2612" s="256"/>
    </row>
    <row r="2613" spans="24:24" x14ac:dyDescent="0.25">
      <c r="X2613" s="256"/>
    </row>
    <row r="2614" spans="24:24" x14ac:dyDescent="0.25">
      <c r="X2614" s="256"/>
    </row>
    <row r="2615" spans="24:24" x14ac:dyDescent="0.25">
      <c r="X2615" s="256"/>
    </row>
    <row r="2616" spans="24:24" x14ac:dyDescent="0.25">
      <c r="X2616" s="256"/>
    </row>
    <row r="2617" spans="24:24" x14ac:dyDescent="0.25">
      <c r="X2617" s="256"/>
    </row>
    <row r="2618" spans="24:24" x14ac:dyDescent="0.25">
      <c r="X2618" s="256"/>
    </row>
    <row r="2619" spans="24:24" x14ac:dyDescent="0.25">
      <c r="X2619" s="256"/>
    </row>
    <row r="2620" spans="24:24" x14ac:dyDescent="0.25">
      <c r="X2620" s="256"/>
    </row>
    <row r="2621" spans="24:24" x14ac:dyDescent="0.25">
      <c r="X2621" s="256"/>
    </row>
    <row r="2622" spans="24:24" x14ac:dyDescent="0.25">
      <c r="X2622" s="256"/>
    </row>
    <row r="2623" spans="24:24" x14ac:dyDescent="0.25">
      <c r="X2623" s="256"/>
    </row>
    <row r="2624" spans="24:24" x14ac:dyDescent="0.25">
      <c r="X2624" s="256"/>
    </row>
    <row r="2625" spans="24:24" x14ac:dyDescent="0.25">
      <c r="X2625" s="256"/>
    </row>
    <row r="2626" spans="24:24" x14ac:dyDescent="0.25">
      <c r="X2626" s="256"/>
    </row>
    <row r="2627" spans="24:24" x14ac:dyDescent="0.25">
      <c r="X2627" s="256"/>
    </row>
    <row r="2628" spans="24:24" x14ac:dyDescent="0.25">
      <c r="X2628" s="256"/>
    </row>
    <row r="2629" spans="24:24" x14ac:dyDescent="0.25">
      <c r="X2629" s="256"/>
    </row>
    <row r="2630" spans="24:24" x14ac:dyDescent="0.25">
      <c r="X2630" s="256"/>
    </row>
    <row r="2631" spans="24:24" x14ac:dyDescent="0.25">
      <c r="X2631" s="256"/>
    </row>
    <row r="2632" spans="24:24" x14ac:dyDescent="0.25">
      <c r="X2632" s="256"/>
    </row>
    <row r="2633" spans="24:24" x14ac:dyDescent="0.25">
      <c r="X2633" s="256"/>
    </row>
    <row r="2634" spans="24:24" x14ac:dyDescent="0.25">
      <c r="X2634" s="256"/>
    </row>
    <row r="2635" spans="24:24" x14ac:dyDescent="0.25">
      <c r="X2635" s="256"/>
    </row>
    <row r="2636" spans="24:24" x14ac:dyDescent="0.25">
      <c r="X2636" s="256"/>
    </row>
    <row r="2637" spans="24:24" x14ac:dyDescent="0.25">
      <c r="X2637" s="256"/>
    </row>
    <row r="2638" spans="24:24" x14ac:dyDescent="0.25">
      <c r="X2638" s="256"/>
    </row>
    <row r="2639" spans="24:24" x14ac:dyDescent="0.25">
      <c r="X2639" s="256"/>
    </row>
    <row r="2640" spans="24:24" x14ac:dyDescent="0.25">
      <c r="X2640" s="256"/>
    </row>
    <row r="2641" spans="24:24" x14ac:dyDescent="0.25">
      <c r="X2641" s="256"/>
    </row>
    <row r="2642" spans="24:24" x14ac:dyDescent="0.25">
      <c r="X2642" s="256"/>
    </row>
    <row r="2643" spans="24:24" x14ac:dyDescent="0.25">
      <c r="X2643" s="256"/>
    </row>
    <row r="2644" spans="24:24" x14ac:dyDescent="0.25">
      <c r="X2644" s="256"/>
    </row>
    <row r="2645" spans="24:24" x14ac:dyDescent="0.25">
      <c r="X2645" s="256"/>
    </row>
    <row r="2646" spans="24:24" x14ac:dyDescent="0.25">
      <c r="X2646" s="256"/>
    </row>
    <row r="2647" spans="24:24" x14ac:dyDescent="0.25">
      <c r="X2647" s="256"/>
    </row>
    <row r="2648" spans="24:24" x14ac:dyDescent="0.25">
      <c r="X2648" s="256"/>
    </row>
    <row r="2649" spans="24:24" x14ac:dyDescent="0.25">
      <c r="X2649" s="256"/>
    </row>
    <row r="2650" spans="24:24" x14ac:dyDescent="0.25">
      <c r="X2650" s="256"/>
    </row>
    <row r="2651" spans="24:24" x14ac:dyDescent="0.25">
      <c r="X2651" s="256"/>
    </row>
    <row r="2652" spans="24:24" x14ac:dyDescent="0.25">
      <c r="X2652" s="256"/>
    </row>
    <row r="2653" spans="24:24" x14ac:dyDescent="0.25">
      <c r="X2653" s="256"/>
    </row>
    <row r="2654" spans="24:24" x14ac:dyDescent="0.25">
      <c r="X2654" s="256"/>
    </row>
    <row r="2655" spans="24:24" x14ac:dyDescent="0.25">
      <c r="X2655" s="256"/>
    </row>
    <row r="2656" spans="24:24" x14ac:dyDescent="0.25">
      <c r="X2656" s="256"/>
    </row>
    <row r="2657" spans="24:24" x14ac:dyDescent="0.25">
      <c r="X2657" s="256"/>
    </row>
    <row r="2658" spans="24:24" x14ac:dyDescent="0.25">
      <c r="X2658" s="256"/>
    </row>
    <row r="2659" spans="24:24" x14ac:dyDescent="0.25">
      <c r="X2659" s="256"/>
    </row>
    <row r="2660" spans="24:24" x14ac:dyDescent="0.25">
      <c r="X2660" s="256"/>
    </row>
    <row r="2661" spans="24:24" x14ac:dyDescent="0.25">
      <c r="X2661" s="256"/>
    </row>
    <row r="2662" spans="24:24" x14ac:dyDescent="0.25">
      <c r="X2662" s="256"/>
    </row>
    <row r="2663" spans="24:24" x14ac:dyDescent="0.25">
      <c r="X2663" s="256"/>
    </row>
    <row r="2664" spans="24:24" x14ac:dyDescent="0.25">
      <c r="X2664" s="256"/>
    </row>
    <row r="2665" spans="24:24" x14ac:dyDescent="0.25">
      <c r="X2665" s="256"/>
    </row>
    <row r="2666" spans="24:24" x14ac:dyDescent="0.25">
      <c r="X2666" s="256"/>
    </row>
    <row r="2667" spans="24:24" x14ac:dyDescent="0.25">
      <c r="X2667" s="256"/>
    </row>
    <row r="2668" spans="24:24" x14ac:dyDescent="0.25">
      <c r="X2668" s="256"/>
    </row>
    <row r="2669" spans="24:24" x14ac:dyDescent="0.25">
      <c r="X2669" s="256"/>
    </row>
    <row r="2670" spans="24:24" x14ac:dyDescent="0.25">
      <c r="X2670" s="256"/>
    </row>
    <row r="2671" spans="24:24" x14ac:dyDescent="0.25">
      <c r="X2671" s="256"/>
    </row>
    <row r="2672" spans="24:24" x14ac:dyDescent="0.25">
      <c r="X2672" s="256"/>
    </row>
    <row r="2673" spans="24:24" x14ac:dyDescent="0.25">
      <c r="X2673" s="256"/>
    </row>
    <row r="2674" spans="24:24" x14ac:dyDescent="0.25">
      <c r="X2674" s="256"/>
    </row>
    <row r="2675" spans="24:24" x14ac:dyDescent="0.25">
      <c r="X2675" s="256"/>
    </row>
    <row r="2676" spans="24:24" x14ac:dyDescent="0.25">
      <c r="X2676" s="256"/>
    </row>
    <row r="2677" spans="24:24" x14ac:dyDescent="0.25">
      <c r="X2677" s="256"/>
    </row>
    <row r="2678" spans="24:24" x14ac:dyDescent="0.25">
      <c r="X2678" s="256"/>
    </row>
    <row r="2679" spans="24:24" x14ac:dyDescent="0.25">
      <c r="X2679" s="256"/>
    </row>
    <row r="2680" spans="24:24" x14ac:dyDescent="0.25">
      <c r="X2680" s="256"/>
    </row>
    <row r="2681" spans="24:24" x14ac:dyDescent="0.25">
      <c r="X2681" s="256"/>
    </row>
    <row r="2682" spans="24:24" x14ac:dyDescent="0.25">
      <c r="X2682" s="256"/>
    </row>
    <row r="2683" spans="24:24" x14ac:dyDescent="0.25">
      <c r="X2683" s="256"/>
    </row>
    <row r="2684" spans="24:24" x14ac:dyDescent="0.25">
      <c r="X2684" s="256"/>
    </row>
    <row r="2685" spans="24:24" x14ac:dyDescent="0.25">
      <c r="X2685" s="256"/>
    </row>
    <row r="2686" spans="24:24" x14ac:dyDescent="0.25">
      <c r="X2686" s="256"/>
    </row>
    <row r="2687" spans="24:24" x14ac:dyDescent="0.25">
      <c r="X2687" s="256"/>
    </row>
    <row r="2688" spans="24:24" x14ac:dyDescent="0.25">
      <c r="X2688" s="256"/>
    </row>
    <row r="2689" spans="24:24" x14ac:dyDescent="0.25">
      <c r="X2689" s="256"/>
    </row>
    <row r="2690" spans="24:24" x14ac:dyDescent="0.25">
      <c r="X2690" s="256"/>
    </row>
    <row r="2691" spans="24:24" x14ac:dyDescent="0.25">
      <c r="X2691" s="256"/>
    </row>
    <row r="2692" spans="24:24" x14ac:dyDescent="0.25">
      <c r="X2692" s="256"/>
    </row>
    <row r="2693" spans="24:24" x14ac:dyDescent="0.25">
      <c r="X2693" s="256"/>
    </row>
    <row r="2694" spans="24:24" x14ac:dyDescent="0.25">
      <c r="X2694" s="256"/>
    </row>
    <row r="2695" spans="24:24" x14ac:dyDescent="0.25">
      <c r="X2695" s="256"/>
    </row>
    <row r="2696" spans="24:24" x14ac:dyDescent="0.25">
      <c r="X2696" s="256"/>
    </row>
    <row r="2697" spans="24:24" x14ac:dyDescent="0.25">
      <c r="X2697" s="256"/>
    </row>
    <row r="2698" spans="24:24" x14ac:dyDescent="0.25">
      <c r="X2698" s="256"/>
    </row>
    <row r="2699" spans="24:24" x14ac:dyDescent="0.25">
      <c r="X2699" s="256"/>
    </row>
    <row r="2700" spans="24:24" x14ac:dyDescent="0.25">
      <c r="X2700" s="256"/>
    </row>
    <row r="2701" spans="24:24" x14ac:dyDescent="0.25">
      <c r="X2701" s="256"/>
    </row>
    <row r="2702" spans="24:24" x14ac:dyDescent="0.25">
      <c r="X2702" s="256"/>
    </row>
    <row r="2703" spans="24:24" x14ac:dyDescent="0.25">
      <c r="X2703" s="256"/>
    </row>
    <row r="2704" spans="24:24" x14ac:dyDescent="0.25">
      <c r="X2704" s="256"/>
    </row>
    <row r="2705" spans="24:24" x14ac:dyDescent="0.25">
      <c r="X2705" s="256"/>
    </row>
    <row r="2706" spans="24:24" x14ac:dyDescent="0.25">
      <c r="X2706" s="256"/>
    </row>
    <row r="2707" spans="24:24" x14ac:dyDescent="0.25">
      <c r="X2707" s="256"/>
    </row>
    <row r="2708" spans="24:24" x14ac:dyDescent="0.25">
      <c r="X2708" s="256"/>
    </row>
    <row r="2709" spans="24:24" x14ac:dyDescent="0.25">
      <c r="X2709" s="256"/>
    </row>
    <row r="2710" spans="24:24" x14ac:dyDescent="0.25">
      <c r="X2710" s="256"/>
    </row>
    <row r="2711" spans="24:24" x14ac:dyDescent="0.25">
      <c r="X2711" s="256"/>
    </row>
    <row r="2712" spans="24:24" x14ac:dyDescent="0.25">
      <c r="X2712" s="256"/>
    </row>
    <row r="2713" spans="24:24" x14ac:dyDescent="0.25">
      <c r="X2713" s="256"/>
    </row>
    <row r="2714" spans="24:24" x14ac:dyDescent="0.25">
      <c r="X2714" s="256"/>
    </row>
    <row r="2715" spans="24:24" x14ac:dyDescent="0.25">
      <c r="X2715" s="256"/>
    </row>
    <row r="2716" spans="24:24" x14ac:dyDescent="0.25">
      <c r="X2716" s="256"/>
    </row>
    <row r="2717" spans="24:24" x14ac:dyDescent="0.25">
      <c r="X2717" s="256"/>
    </row>
    <row r="2718" spans="24:24" x14ac:dyDescent="0.25">
      <c r="X2718" s="256"/>
    </row>
    <row r="2719" spans="24:24" x14ac:dyDescent="0.25">
      <c r="X2719" s="256"/>
    </row>
    <row r="2720" spans="24:24" x14ac:dyDescent="0.25">
      <c r="X2720" s="256"/>
    </row>
    <row r="2721" spans="24:24" x14ac:dyDescent="0.25">
      <c r="X2721" s="256"/>
    </row>
    <row r="2722" spans="24:24" x14ac:dyDescent="0.25">
      <c r="X2722" s="256"/>
    </row>
    <row r="2723" spans="24:24" x14ac:dyDescent="0.25">
      <c r="X2723" s="256"/>
    </row>
    <row r="2724" spans="24:24" x14ac:dyDescent="0.25">
      <c r="X2724" s="256"/>
    </row>
    <row r="2725" spans="24:24" x14ac:dyDescent="0.25">
      <c r="X2725" s="256"/>
    </row>
    <row r="2726" spans="24:24" x14ac:dyDescent="0.25">
      <c r="X2726" s="256"/>
    </row>
    <row r="2727" spans="24:24" x14ac:dyDescent="0.25">
      <c r="X2727" s="256"/>
    </row>
    <row r="2728" spans="24:24" x14ac:dyDescent="0.25">
      <c r="X2728" s="256"/>
    </row>
    <row r="2729" spans="24:24" x14ac:dyDescent="0.25">
      <c r="X2729" s="256"/>
    </row>
    <row r="2730" spans="24:24" x14ac:dyDescent="0.25">
      <c r="X2730" s="256"/>
    </row>
    <row r="2731" spans="24:24" x14ac:dyDescent="0.25">
      <c r="X2731" s="256"/>
    </row>
    <row r="2732" spans="24:24" x14ac:dyDescent="0.25">
      <c r="X2732" s="256"/>
    </row>
    <row r="2733" spans="24:24" x14ac:dyDescent="0.25">
      <c r="X2733" s="256"/>
    </row>
    <row r="2734" spans="24:24" x14ac:dyDescent="0.25">
      <c r="X2734" s="256"/>
    </row>
    <row r="2735" spans="24:24" x14ac:dyDescent="0.25">
      <c r="X2735" s="256"/>
    </row>
    <row r="2736" spans="24:24" x14ac:dyDescent="0.25">
      <c r="X2736" s="256"/>
    </row>
    <row r="2737" spans="24:24" x14ac:dyDescent="0.25">
      <c r="X2737" s="256"/>
    </row>
    <row r="2738" spans="24:24" x14ac:dyDescent="0.25">
      <c r="X2738" s="256"/>
    </row>
    <row r="2739" spans="24:24" x14ac:dyDescent="0.25">
      <c r="X2739" s="256"/>
    </row>
    <row r="2740" spans="24:24" x14ac:dyDescent="0.25">
      <c r="X2740" s="256"/>
    </row>
    <row r="2741" spans="24:24" x14ac:dyDescent="0.25">
      <c r="X2741" s="256"/>
    </row>
    <row r="2742" spans="24:24" x14ac:dyDescent="0.25">
      <c r="X2742" s="256"/>
    </row>
    <row r="2743" spans="24:24" x14ac:dyDescent="0.25">
      <c r="X2743" s="256"/>
    </row>
    <row r="2744" spans="24:24" x14ac:dyDescent="0.25">
      <c r="X2744" s="256"/>
    </row>
    <row r="2745" spans="24:24" x14ac:dyDescent="0.25">
      <c r="X2745" s="256"/>
    </row>
    <row r="2746" spans="24:24" x14ac:dyDescent="0.25">
      <c r="X2746" s="256"/>
    </row>
    <row r="2747" spans="24:24" x14ac:dyDescent="0.25">
      <c r="X2747" s="256"/>
    </row>
    <row r="2748" spans="24:24" x14ac:dyDescent="0.25">
      <c r="X2748" s="256"/>
    </row>
    <row r="2749" spans="24:24" x14ac:dyDescent="0.25">
      <c r="X2749" s="256"/>
    </row>
    <row r="2750" spans="24:24" x14ac:dyDescent="0.25">
      <c r="X2750" s="256"/>
    </row>
    <row r="2751" spans="24:24" x14ac:dyDescent="0.25">
      <c r="X2751" s="256"/>
    </row>
    <row r="2752" spans="24:24" x14ac:dyDescent="0.25">
      <c r="X2752" s="256"/>
    </row>
    <row r="2753" spans="24:24" x14ac:dyDescent="0.25">
      <c r="X2753" s="256"/>
    </row>
    <row r="2754" spans="24:24" x14ac:dyDescent="0.25">
      <c r="X2754" s="256"/>
    </row>
    <row r="2755" spans="24:24" x14ac:dyDescent="0.25">
      <c r="X2755" s="256"/>
    </row>
    <row r="2756" spans="24:24" x14ac:dyDescent="0.25">
      <c r="X2756" s="256"/>
    </row>
    <row r="2757" spans="24:24" x14ac:dyDescent="0.25">
      <c r="X2757" s="256"/>
    </row>
    <row r="2758" spans="24:24" x14ac:dyDescent="0.25">
      <c r="X2758" s="256"/>
    </row>
    <row r="2759" spans="24:24" x14ac:dyDescent="0.25">
      <c r="X2759" s="256"/>
    </row>
    <row r="2760" spans="24:24" x14ac:dyDescent="0.25">
      <c r="X2760" s="256"/>
    </row>
    <row r="2761" spans="24:24" x14ac:dyDescent="0.25">
      <c r="X2761" s="256"/>
    </row>
    <row r="2762" spans="24:24" x14ac:dyDescent="0.25">
      <c r="X2762" s="256"/>
    </row>
    <row r="2763" spans="24:24" x14ac:dyDescent="0.25">
      <c r="X2763" s="256"/>
    </row>
    <row r="2764" spans="24:24" x14ac:dyDescent="0.25">
      <c r="X2764" s="256"/>
    </row>
    <row r="2765" spans="24:24" x14ac:dyDescent="0.25">
      <c r="X2765" s="256"/>
    </row>
    <row r="2766" spans="24:24" x14ac:dyDescent="0.25">
      <c r="X2766" s="256"/>
    </row>
    <row r="2767" spans="24:24" x14ac:dyDescent="0.25">
      <c r="X2767" s="256"/>
    </row>
    <row r="2768" spans="24:24" x14ac:dyDescent="0.25">
      <c r="X2768" s="256"/>
    </row>
    <row r="2769" spans="24:24" x14ac:dyDescent="0.25">
      <c r="X2769" s="256"/>
    </row>
    <row r="2770" spans="24:24" x14ac:dyDescent="0.25">
      <c r="X2770" s="256"/>
    </row>
    <row r="2771" spans="24:24" x14ac:dyDescent="0.25">
      <c r="X2771" s="256"/>
    </row>
    <row r="2772" spans="24:24" x14ac:dyDescent="0.25">
      <c r="X2772" s="256"/>
    </row>
    <row r="2773" spans="24:24" x14ac:dyDescent="0.25">
      <c r="X2773" s="256"/>
    </row>
    <row r="2774" spans="24:24" x14ac:dyDescent="0.25">
      <c r="X2774" s="256"/>
    </row>
    <row r="2775" spans="24:24" x14ac:dyDescent="0.25">
      <c r="X2775" s="256"/>
    </row>
    <row r="2776" spans="24:24" x14ac:dyDescent="0.25">
      <c r="X2776" s="256"/>
    </row>
    <row r="2777" spans="24:24" x14ac:dyDescent="0.25">
      <c r="X2777" s="256"/>
    </row>
    <row r="2778" spans="24:24" x14ac:dyDescent="0.25">
      <c r="X2778" s="256"/>
    </row>
    <row r="2779" spans="24:24" x14ac:dyDescent="0.25">
      <c r="X2779" s="256"/>
    </row>
    <row r="2780" spans="24:24" x14ac:dyDescent="0.25">
      <c r="X2780" s="256"/>
    </row>
    <row r="2781" spans="24:24" x14ac:dyDescent="0.25">
      <c r="X2781" s="256"/>
    </row>
    <row r="2782" spans="24:24" x14ac:dyDescent="0.25">
      <c r="X2782" s="256"/>
    </row>
    <row r="2783" spans="24:24" x14ac:dyDescent="0.25">
      <c r="X2783" s="256"/>
    </row>
    <row r="2784" spans="24:24" x14ac:dyDescent="0.25">
      <c r="X2784" s="256"/>
    </row>
    <row r="2785" spans="24:24" x14ac:dyDescent="0.25">
      <c r="X2785" s="256"/>
    </row>
    <row r="2786" spans="24:24" x14ac:dyDescent="0.25">
      <c r="X2786" s="256"/>
    </row>
    <row r="2787" spans="24:24" x14ac:dyDescent="0.25">
      <c r="X2787" s="256"/>
    </row>
    <row r="2788" spans="24:24" x14ac:dyDescent="0.25">
      <c r="X2788" s="256"/>
    </row>
    <row r="2789" spans="24:24" x14ac:dyDescent="0.25">
      <c r="X2789" s="256"/>
    </row>
    <row r="2790" spans="24:24" x14ac:dyDescent="0.25">
      <c r="X2790" s="256"/>
    </row>
    <row r="2791" spans="24:24" x14ac:dyDescent="0.25">
      <c r="X2791" s="256"/>
    </row>
    <row r="2792" spans="24:24" x14ac:dyDescent="0.25">
      <c r="X2792" s="256"/>
    </row>
    <row r="2793" spans="24:24" x14ac:dyDescent="0.25">
      <c r="X2793" s="256"/>
    </row>
    <row r="2794" spans="24:24" x14ac:dyDescent="0.25">
      <c r="X2794" s="256"/>
    </row>
    <row r="2795" spans="24:24" x14ac:dyDescent="0.25">
      <c r="X2795" s="256"/>
    </row>
    <row r="2796" spans="24:24" x14ac:dyDescent="0.25">
      <c r="X2796" s="256"/>
    </row>
    <row r="2797" spans="24:24" x14ac:dyDescent="0.25">
      <c r="X2797" s="256"/>
    </row>
    <row r="2798" spans="24:24" x14ac:dyDescent="0.25">
      <c r="X2798" s="256"/>
    </row>
    <row r="2799" spans="24:24" x14ac:dyDescent="0.25">
      <c r="X2799" s="256"/>
    </row>
    <row r="2800" spans="24:24" x14ac:dyDescent="0.25">
      <c r="X2800" s="256"/>
    </row>
    <row r="2801" spans="24:24" x14ac:dyDescent="0.25">
      <c r="X2801" s="256"/>
    </row>
    <row r="2802" spans="24:24" x14ac:dyDescent="0.25">
      <c r="X2802" s="256"/>
    </row>
    <row r="2803" spans="24:24" x14ac:dyDescent="0.25">
      <c r="X2803" s="256"/>
    </row>
    <row r="2804" spans="24:24" x14ac:dyDescent="0.25">
      <c r="X2804" s="256"/>
    </row>
    <row r="2805" spans="24:24" x14ac:dyDescent="0.25">
      <c r="X2805" s="256"/>
    </row>
    <row r="2806" spans="24:24" x14ac:dyDescent="0.25">
      <c r="X2806" s="256"/>
    </row>
    <row r="2807" spans="24:24" x14ac:dyDescent="0.25">
      <c r="X2807" s="256"/>
    </row>
    <row r="2808" spans="24:24" x14ac:dyDescent="0.25">
      <c r="X2808" s="256"/>
    </row>
    <row r="2809" spans="24:24" x14ac:dyDescent="0.25">
      <c r="X2809" s="256"/>
    </row>
    <row r="2810" spans="24:24" x14ac:dyDescent="0.25">
      <c r="X2810" s="256"/>
    </row>
    <row r="2811" spans="24:24" x14ac:dyDescent="0.25">
      <c r="X2811" s="256"/>
    </row>
    <row r="2812" spans="24:24" x14ac:dyDescent="0.25">
      <c r="X2812" s="256"/>
    </row>
    <row r="2813" spans="24:24" x14ac:dyDescent="0.25">
      <c r="X2813" s="256"/>
    </row>
    <row r="2814" spans="24:24" x14ac:dyDescent="0.25">
      <c r="X2814" s="256"/>
    </row>
    <row r="2815" spans="24:24" x14ac:dyDescent="0.25">
      <c r="X2815" s="256"/>
    </row>
    <row r="2816" spans="24:24" x14ac:dyDescent="0.25">
      <c r="X2816" s="256"/>
    </row>
    <row r="2817" spans="24:24" x14ac:dyDescent="0.25">
      <c r="X2817" s="256"/>
    </row>
    <row r="2818" spans="24:24" x14ac:dyDescent="0.25">
      <c r="X2818" s="256"/>
    </row>
    <row r="2819" spans="24:24" x14ac:dyDescent="0.25">
      <c r="X2819" s="256"/>
    </row>
    <row r="2820" spans="24:24" x14ac:dyDescent="0.25">
      <c r="X2820" s="256"/>
    </row>
    <row r="2821" spans="24:24" x14ac:dyDescent="0.25">
      <c r="X2821" s="256"/>
    </row>
    <row r="2822" spans="24:24" x14ac:dyDescent="0.25">
      <c r="X2822" s="256"/>
    </row>
    <row r="2823" spans="24:24" x14ac:dyDescent="0.25">
      <c r="X2823" s="256"/>
    </row>
    <row r="2824" spans="24:24" x14ac:dyDescent="0.25">
      <c r="X2824" s="256"/>
    </row>
    <row r="2825" spans="24:24" x14ac:dyDescent="0.25">
      <c r="X2825" s="256"/>
    </row>
    <row r="2826" spans="24:24" x14ac:dyDescent="0.25">
      <c r="X2826" s="256"/>
    </row>
    <row r="2827" spans="24:24" x14ac:dyDescent="0.25">
      <c r="X2827" s="256"/>
    </row>
    <row r="2828" spans="24:24" x14ac:dyDescent="0.25">
      <c r="X2828" s="256"/>
    </row>
    <row r="2829" spans="24:24" x14ac:dyDescent="0.25">
      <c r="X2829" s="256"/>
    </row>
    <row r="2830" spans="24:24" x14ac:dyDescent="0.25">
      <c r="X2830" s="256"/>
    </row>
    <row r="2831" spans="24:24" x14ac:dyDescent="0.25">
      <c r="X2831" s="256"/>
    </row>
    <row r="2832" spans="24:24" x14ac:dyDescent="0.25">
      <c r="X2832" s="256"/>
    </row>
    <row r="2833" spans="24:24" x14ac:dyDescent="0.25">
      <c r="X2833" s="256"/>
    </row>
    <row r="2834" spans="24:24" x14ac:dyDescent="0.25">
      <c r="X2834" s="256"/>
    </row>
    <row r="2835" spans="24:24" x14ac:dyDescent="0.25">
      <c r="X2835" s="256"/>
    </row>
    <row r="2836" spans="24:24" x14ac:dyDescent="0.25">
      <c r="X2836" s="256"/>
    </row>
    <row r="2837" spans="24:24" x14ac:dyDescent="0.25">
      <c r="X2837" s="256"/>
    </row>
    <row r="2838" spans="24:24" x14ac:dyDescent="0.25">
      <c r="X2838" s="256"/>
    </row>
    <row r="2839" spans="24:24" x14ac:dyDescent="0.25">
      <c r="X2839" s="256"/>
    </row>
    <row r="2840" spans="24:24" x14ac:dyDescent="0.25">
      <c r="X2840" s="256"/>
    </row>
    <row r="2841" spans="24:24" x14ac:dyDescent="0.25">
      <c r="X2841" s="256"/>
    </row>
    <row r="2842" spans="24:24" x14ac:dyDescent="0.25">
      <c r="X2842" s="256"/>
    </row>
    <row r="2843" spans="24:24" x14ac:dyDescent="0.25">
      <c r="X2843" s="256"/>
    </row>
    <row r="2844" spans="24:24" x14ac:dyDescent="0.25">
      <c r="X2844" s="256"/>
    </row>
    <row r="2845" spans="24:24" x14ac:dyDescent="0.25">
      <c r="X2845" s="256"/>
    </row>
    <row r="2846" spans="24:24" x14ac:dyDescent="0.25">
      <c r="X2846" s="256"/>
    </row>
    <row r="2847" spans="24:24" x14ac:dyDescent="0.25">
      <c r="X2847" s="256"/>
    </row>
    <row r="2848" spans="24:24" x14ac:dyDescent="0.25">
      <c r="X2848" s="256"/>
    </row>
    <row r="2849" spans="24:24" x14ac:dyDescent="0.25">
      <c r="X2849" s="256"/>
    </row>
    <row r="2850" spans="24:24" x14ac:dyDescent="0.25">
      <c r="X2850" s="256"/>
    </row>
    <row r="2851" spans="24:24" x14ac:dyDescent="0.25">
      <c r="X2851" s="256"/>
    </row>
    <row r="2852" spans="24:24" x14ac:dyDescent="0.25">
      <c r="X2852" s="256"/>
    </row>
    <row r="2853" spans="24:24" x14ac:dyDescent="0.25">
      <c r="X2853" s="256"/>
    </row>
    <row r="2854" spans="24:24" x14ac:dyDescent="0.25">
      <c r="X2854" s="256"/>
    </row>
    <row r="2855" spans="24:24" x14ac:dyDescent="0.25">
      <c r="X2855" s="256"/>
    </row>
    <row r="2856" spans="24:24" x14ac:dyDescent="0.25">
      <c r="X2856" s="256"/>
    </row>
    <row r="2857" spans="24:24" x14ac:dyDescent="0.25">
      <c r="X2857" s="256"/>
    </row>
    <row r="2858" spans="24:24" x14ac:dyDescent="0.25">
      <c r="X2858" s="256"/>
    </row>
    <row r="2859" spans="24:24" x14ac:dyDescent="0.25">
      <c r="X2859" s="256"/>
    </row>
    <row r="2860" spans="24:24" x14ac:dyDescent="0.25">
      <c r="X2860" s="256"/>
    </row>
    <row r="2861" spans="24:24" x14ac:dyDescent="0.25">
      <c r="X2861" s="256"/>
    </row>
    <row r="2862" spans="24:24" x14ac:dyDescent="0.25">
      <c r="X2862" s="256"/>
    </row>
    <row r="2863" spans="24:24" x14ac:dyDescent="0.25">
      <c r="X2863" s="256"/>
    </row>
    <row r="2864" spans="24:24" x14ac:dyDescent="0.25">
      <c r="X2864" s="256"/>
    </row>
    <row r="2865" spans="24:24" x14ac:dyDescent="0.25">
      <c r="X2865" s="256"/>
    </row>
    <row r="2866" spans="24:24" x14ac:dyDescent="0.25">
      <c r="X2866" s="256"/>
    </row>
    <row r="2867" spans="24:24" x14ac:dyDescent="0.25">
      <c r="X2867" s="256"/>
    </row>
    <row r="2868" spans="24:24" x14ac:dyDescent="0.25">
      <c r="X2868" s="256"/>
    </row>
    <row r="2869" spans="24:24" x14ac:dyDescent="0.25">
      <c r="X2869" s="256"/>
    </row>
    <row r="2870" spans="24:24" x14ac:dyDescent="0.25">
      <c r="X2870" s="256"/>
    </row>
    <row r="2871" spans="24:24" x14ac:dyDescent="0.25">
      <c r="X2871" s="256"/>
    </row>
    <row r="2872" spans="24:24" x14ac:dyDescent="0.25">
      <c r="X2872" s="256"/>
    </row>
    <row r="2873" spans="24:24" x14ac:dyDescent="0.25">
      <c r="X2873" s="256"/>
    </row>
    <row r="2874" spans="24:24" x14ac:dyDescent="0.25">
      <c r="X2874" s="256"/>
    </row>
    <row r="2875" spans="24:24" x14ac:dyDescent="0.25">
      <c r="X2875" s="256"/>
    </row>
    <row r="2876" spans="24:24" x14ac:dyDescent="0.25">
      <c r="X2876" s="256"/>
    </row>
    <row r="2877" spans="24:24" x14ac:dyDescent="0.25">
      <c r="X2877" s="256"/>
    </row>
    <row r="2878" spans="24:24" x14ac:dyDescent="0.25">
      <c r="X2878" s="256"/>
    </row>
    <row r="2879" spans="24:24" x14ac:dyDescent="0.25">
      <c r="X2879" s="256"/>
    </row>
    <row r="2880" spans="24:24" x14ac:dyDescent="0.25">
      <c r="X2880" s="256"/>
    </row>
    <row r="2881" spans="24:24" x14ac:dyDescent="0.25">
      <c r="X2881" s="256"/>
    </row>
    <row r="2882" spans="24:24" x14ac:dyDescent="0.25">
      <c r="X2882" s="256"/>
    </row>
    <row r="2883" spans="24:24" x14ac:dyDescent="0.25">
      <c r="X2883" s="256"/>
    </row>
    <row r="2884" spans="24:24" x14ac:dyDescent="0.25">
      <c r="X2884" s="256"/>
    </row>
    <row r="2885" spans="24:24" x14ac:dyDescent="0.25">
      <c r="X2885" s="256"/>
    </row>
    <row r="2886" spans="24:24" x14ac:dyDescent="0.25">
      <c r="X2886" s="256"/>
    </row>
    <row r="2887" spans="24:24" x14ac:dyDescent="0.25">
      <c r="X2887" s="256"/>
    </row>
    <row r="2888" spans="24:24" x14ac:dyDescent="0.25">
      <c r="X2888" s="256"/>
    </row>
    <row r="2889" spans="24:24" x14ac:dyDescent="0.25">
      <c r="X2889" s="256"/>
    </row>
    <row r="2890" spans="24:24" x14ac:dyDescent="0.25">
      <c r="X2890" s="256"/>
    </row>
    <row r="2891" spans="24:24" x14ac:dyDescent="0.25">
      <c r="X2891" s="256"/>
    </row>
    <row r="2892" spans="24:24" x14ac:dyDescent="0.25">
      <c r="X2892" s="256"/>
    </row>
    <row r="2893" spans="24:24" x14ac:dyDescent="0.25">
      <c r="X2893" s="256"/>
    </row>
    <row r="2894" spans="24:24" x14ac:dyDescent="0.25">
      <c r="X2894" s="256"/>
    </row>
    <row r="2895" spans="24:24" x14ac:dyDescent="0.25">
      <c r="X2895" s="256"/>
    </row>
    <row r="2896" spans="24:24" x14ac:dyDescent="0.25">
      <c r="X2896" s="256"/>
    </row>
    <row r="2897" spans="24:24" x14ac:dyDescent="0.25">
      <c r="X2897" s="256"/>
    </row>
    <row r="2898" spans="24:24" x14ac:dyDescent="0.25">
      <c r="X2898" s="256"/>
    </row>
    <row r="2899" spans="24:24" x14ac:dyDescent="0.25">
      <c r="X2899" s="256"/>
    </row>
    <row r="2900" spans="24:24" x14ac:dyDescent="0.25">
      <c r="X2900" s="256"/>
    </row>
    <row r="2901" spans="24:24" x14ac:dyDescent="0.25">
      <c r="X2901" s="256"/>
    </row>
    <row r="2902" spans="24:24" x14ac:dyDescent="0.25">
      <c r="X2902" s="256"/>
    </row>
    <row r="2903" spans="24:24" x14ac:dyDescent="0.25">
      <c r="X2903" s="256"/>
    </row>
    <row r="2904" spans="24:24" x14ac:dyDescent="0.25">
      <c r="X2904" s="256"/>
    </row>
    <row r="2905" spans="24:24" x14ac:dyDescent="0.25">
      <c r="X2905" s="256"/>
    </row>
    <row r="2906" spans="24:24" x14ac:dyDescent="0.25">
      <c r="X2906" s="256"/>
    </row>
    <row r="2907" spans="24:24" x14ac:dyDescent="0.25">
      <c r="X2907" s="256"/>
    </row>
    <row r="2908" spans="24:24" x14ac:dyDescent="0.25">
      <c r="X2908" s="256"/>
    </row>
    <row r="2909" spans="24:24" x14ac:dyDescent="0.25">
      <c r="X2909" s="256"/>
    </row>
    <row r="2910" spans="24:24" x14ac:dyDescent="0.25">
      <c r="X2910" s="256"/>
    </row>
    <row r="2911" spans="24:24" x14ac:dyDescent="0.25">
      <c r="X2911" s="256"/>
    </row>
    <row r="2912" spans="24:24" x14ac:dyDescent="0.25">
      <c r="X2912" s="256"/>
    </row>
    <row r="2913" spans="24:24" x14ac:dyDescent="0.25">
      <c r="X2913" s="256"/>
    </row>
    <row r="2914" spans="24:24" x14ac:dyDescent="0.25">
      <c r="X2914" s="256"/>
    </row>
    <row r="2915" spans="24:24" x14ac:dyDescent="0.25">
      <c r="X2915" s="256"/>
    </row>
    <row r="2916" spans="24:24" x14ac:dyDescent="0.25">
      <c r="X2916" s="256"/>
    </row>
    <row r="2917" spans="24:24" x14ac:dyDescent="0.25">
      <c r="X2917" s="256"/>
    </row>
    <row r="2918" spans="24:24" x14ac:dyDescent="0.25">
      <c r="X2918" s="256"/>
    </row>
    <row r="2919" spans="24:24" x14ac:dyDescent="0.25">
      <c r="X2919" s="256"/>
    </row>
    <row r="2920" spans="24:24" x14ac:dyDescent="0.25">
      <c r="X2920" s="256"/>
    </row>
    <row r="2921" spans="24:24" x14ac:dyDescent="0.25">
      <c r="X2921" s="256"/>
    </row>
    <row r="2922" spans="24:24" x14ac:dyDescent="0.25">
      <c r="X2922" s="256"/>
    </row>
    <row r="2923" spans="24:24" x14ac:dyDescent="0.25">
      <c r="X2923" s="256"/>
    </row>
    <row r="2924" spans="24:24" x14ac:dyDescent="0.25">
      <c r="X2924" s="256"/>
    </row>
    <row r="2925" spans="24:24" x14ac:dyDescent="0.25">
      <c r="X2925" s="256"/>
    </row>
    <row r="2926" spans="24:24" x14ac:dyDescent="0.25">
      <c r="X2926" s="256"/>
    </row>
    <row r="2927" spans="24:24" x14ac:dyDescent="0.25">
      <c r="X2927" s="256"/>
    </row>
    <row r="2928" spans="24:24" x14ac:dyDescent="0.25">
      <c r="X2928" s="256"/>
    </row>
    <row r="2929" spans="24:24" x14ac:dyDescent="0.25">
      <c r="X2929" s="256"/>
    </row>
    <row r="2930" spans="24:24" x14ac:dyDescent="0.25">
      <c r="X2930" s="256"/>
    </row>
    <row r="2931" spans="24:24" x14ac:dyDescent="0.25">
      <c r="X2931" s="256"/>
    </row>
    <row r="2932" spans="24:24" x14ac:dyDescent="0.25">
      <c r="X2932" s="256"/>
    </row>
    <row r="2933" spans="24:24" x14ac:dyDescent="0.25">
      <c r="X2933" s="256"/>
    </row>
    <row r="2934" spans="24:24" x14ac:dyDescent="0.25">
      <c r="X2934" s="256"/>
    </row>
    <row r="2935" spans="24:24" x14ac:dyDescent="0.25">
      <c r="X2935" s="256"/>
    </row>
    <row r="2936" spans="24:24" x14ac:dyDescent="0.25">
      <c r="X2936" s="256"/>
    </row>
    <row r="2937" spans="24:24" x14ac:dyDescent="0.25">
      <c r="X2937" s="256"/>
    </row>
    <row r="2938" spans="24:24" x14ac:dyDescent="0.25">
      <c r="X2938" s="256"/>
    </row>
    <row r="2939" spans="24:24" x14ac:dyDescent="0.25">
      <c r="X2939" s="256"/>
    </row>
    <row r="2940" spans="24:24" x14ac:dyDescent="0.25">
      <c r="X2940" s="256"/>
    </row>
    <row r="2941" spans="24:24" x14ac:dyDescent="0.25">
      <c r="X2941" s="256"/>
    </row>
    <row r="2942" spans="24:24" x14ac:dyDescent="0.25">
      <c r="X2942" s="256"/>
    </row>
    <row r="2943" spans="24:24" x14ac:dyDescent="0.25">
      <c r="X2943" s="256"/>
    </row>
    <row r="2944" spans="24:24" x14ac:dyDescent="0.25">
      <c r="X2944" s="256"/>
    </row>
    <row r="2945" spans="24:24" x14ac:dyDescent="0.25">
      <c r="X2945" s="256"/>
    </row>
    <row r="2946" spans="24:24" x14ac:dyDescent="0.25">
      <c r="X2946" s="256"/>
    </row>
    <row r="2947" spans="24:24" x14ac:dyDescent="0.25">
      <c r="X2947" s="256"/>
    </row>
    <row r="2948" spans="24:24" x14ac:dyDescent="0.25">
      <c r="X2948" s="256"/>
    </row>
    <row r="2949" spans="24:24" x14ac:dyDescent="0.25">
      <c r="X2949" s="256"/>
    </row>
    <row r="2950" spans="24:24" x14ac:dyDescent="0.25">
      <c r="X2950" s="256"/>
    </row>
    <row r="2951" spans="24:24" x14ac:dyDescent="0.25">
      <c r="X2951" s="256"/>
    </row>
    <row r="2952" spans="24:24" x14ac:dyDescent="0.25">
      <c r="X2952" s="256"/>
    </row>
    <row r="2953" spans="24:24" x14ac:dyDescent="0.25">
      <c r="X2953" s="256"/>
    </row>
    <row r="2954" spans="24:24" x14ac:dyDescent="0.25">
      <c r="X2954" s="256"/>
    </row>
    <row r="2955" spans="24:24" x14ac:dyDescent="0.25">
      <c r="X2955" s="256"/>
    </row>
    <row r="2956" spans="24:24" x14ac:dyDescent="0.25">
      <c r="X2956" s="256"/>
    </row>
    <row r="2957" spans="24:24" x14ac:dyDescent="0.25">
      <c r="X2957" s="256"/>
    </row>
    <row r="2958" spans="24:24" x14ac:dyDescent="0.25">
      <c r="X2958" s="256"/>
    </row>
    <row r="2959" spans="24:24" x14ac:dyDescent="0.25">
      <c r="X2959" s="256"/>
    </row>
    <row r="2960" spans="24:24" x14ac:dyDescent="0.25">
      <c r="X2960" s="256"/>
    </row>
    <row r="2961" spans="24:24" x14ac:dyDescent="0.25">
      <c r="X2961" s="256"/>
    </row>
    <row r="2962" spans="24:24" x14ac:dyDescent="0.25">
      <c r="X2962" s="256"/>
    </row>
    <row r="2963" spans="24:24" x14ac:dyDescent="0.25">
      <c r="X2963" s="256"/>
    </row>
    <row r="2964" spans="24:24" x14ac:dyDescent="0.25">
      <c r="X2964" s="256"/>
    </row>
    <row r="2965" spans="24:24" x14ac:dyDescent="0.25">
      <c r="X2965" s="256"/>
    </row>
    <row r="2966" spans="24:24" x14ac:dyDescent="0.25">
      <c r="X2966" s="256"/>
    </row>
    <row r="2967" spans="24:24" x14ac:dyDescent="0.25">
      <c r="X2967" s="256"/>
    </row>
    <row r="2968" spans="24:24" x14ac:dyDescent="0.25">
      <c r="X2968" s="256"/>
    </row>
    <row r="2969" spans="24:24" x14ac:dyDescent="0.25">
      <c r="X2969" s="256"/>
    </row>
    <row r="2970" spans="24:24" x14ac:dyDescent="0.25">
      <c r="X2970" s="256"/>
    </row>
    <row r="2971" spans="24:24" x14ac:dyDescent="0.25">
      <c r="X2971" s="256"/>
    </row>
    <row r="2972" spans="24:24" x14ac:dyDescent="0.25">
      <c r="X2972" s="256"/>
    </row>
    <row r="2973" spans="24:24" x14ac:dyDescent="0.25">
      <c r="X2973" s="256"/>
    </row>
    <row r="2974" spans="24:24" x14ac:dyDescent="0.25">
      <c r="X2974" s="256"/>
    </row>
    <row r="2975" spans="24:24" x14ac:dyDescent="0.25">
      <c r="X2975" s="256"/>
    </row>
    <row r="2976" spans="24:24" x14ac:dyDescent="0.25">
      <c r="X2976" s="256"/>
    </row>
    <row r="2977" spans="24:24" x14ac:dyDescent="0.25">
      <c r="X2977" s="256"/>
    </row>
    <row r="2978" spans="24:24" x14ac:dyDescent="0.25">
      <c r="X2978" s="256"/>
    </row>
    <row r="2979" spans="24:24" x14ac:dyDescent="0.25">
      <c r="X2979" s="256"/>
    </row>
    <row r="2980" spans="24:24" x14ac:dyDescent="0.25">
      <c r="X2980" s="256"/>
    </row>
    <row r="2981" spans="24:24" x14ac:dyDescent="0.25">
      <c r="X2981" s="256"/>
    </row>
    <row r="2982" spans="24:24" x14ac:dyDescent="0.25">
      <c r="X2982" s="256"/>
    </row>
    <row r="2983" spans="24:24" x14ac:dyDescent="0.25">
      <c r="X2983" s="256"/>
    </row>
    <row r="2984" spans="24:24" x14ac:dyDescent="0.25">
      <c r="X2984" s="256"/>
    </row>
    <row r="2985" spans="24:24" x14ac:dyDescent="0.25">
      <c r="X2985" s="256"/>
    </row>
    <row r="2986" spans="24:24" x14ac:dyDescent="0.25">
      <c r="X2986" s="256"/>
    </row>
    <row r="2987" spans="24:24" x14ac:dyDescent="0.25">
      <c r="X2987" s="256"/>
    </row>
    <row r="2988" spans="24:24" x14ac:dyDescent="0.25">
      <c r="X2988" s="256"/>
    </row>
    <row r="2989" spans="24:24" x14ac:dyDescent="0.25">
      <c r="X2989" s="256"/>
    </row>
    <row r="2990" spans="24:24" x14ac:dyDescent="0.25">
      <c r="X2990" s="256"/>
    </row>
    <row r="2991" spans="24:24" x14ac:dyDescent="0.25">
      <c r="X2991" s="256"/>
    </row>
    <row r="2992" spans="24:24" x14ac:dyDescent="0.25">
      <c r="X2992" s="256"/>
    </row>
    <row r="2993" spans="24:24" x14ac:dyDescent="0.25">
      <c r="X2993" s="256"/>
    </row>
    <row r="2994" spans="24:24" x14ac:dyDescent="0.25">
      <c r="X2994" s="256"/>
    </row>
    <row r="2995" spans="24:24" x14ac:dyDescent="0.25">
      <c r="X2995" s="256"/>
    </row>
    <row r="2996" spans="24:24" x14ac:dyDescent="0.25">
      <c r="X2996" s="256"/>
    </row>
    <row r="2997" spans="24:24" x14ac:dyDescent="0.25">
      <c r="X2997" s="256"/>
    </row>
    <row r="2998" spans="24:24" x14ac:dyDescent="0.25">
      <c r="X2998" s="256"/>
    </row>
    <row r="2999" spans="24:24" x14ac:dyDescent="0.25">
      <c r="X2999" s="256"/>
    </row>
    <row r="3000" spans="24:24" x14ac:dyDescent="0.25">
      <c r="X3000" s="256"/>
    </row>
    <row r="3001" spans="24:24" x14ac:dyDescent="0.25">
      <c r="X3001" s="256"/>
    </row>
    <row r="3002" spans="24:24" x14ac:dyDescent="0.25">
      <c r="X3002" s="256"/>
    </row>
    <row r="3003" spans="24:24" x14ac:dyDescent="0.25">
      <c r="X3003" s="256"/>
    </row>
    <row r="3004" spans="24:24" x14ac:dyDescent="0.25">
      <c r="X3004" s="256"/>
    </row>
    <row r="3005" spans="24:24" x14ac:dyDescent="0.25">
      <c r="X3005" s="256"/>
    </row>
    <row r="3006" spans="24:24" x14ac:dyDescent="0.25">
      <c r="X3006" s="256"/>
    </row>
    <row r="3007" spans="24:24" x14ac:dyDescent="0.25">
      <c r="X3007" s="256"/>
    </row>
    <row r="3008" spans="24:24" x14ac:dyDescent="0.25">
      <c r="X3008" s="256"/>
    </row>
    <row r="3009" spans="24:24" x14ac:dyDescent="0.25">
      <c r="X3009" s="256"/>
    </row>
    <row r="3010" spans="24:24" x14ac:dyDescent="0.25">
      <c r="X3010" s="256"/>
    </row>
    <row r="3011" spans="24:24" x14ac:dyDescent="0.25">
      <c r="X3011" s="256"/>
    </row>
    <row r="3012" spans="24:24" x14ac:dyDescent="0.25">
      <c r="X3012" s="256"/>
    </row>
    <row r="3013" spans="24:24" x14ac:dyDescent="0.25">
      <c r="X3013" s="256"/>
    </row>
    <row r="3014" spans="24:24" x14ac:dyDescent="0.25">
      <c r="X3014" s="256"/>
    </row>
    <row r="3015" spans="24:24" x14ac:dyDescent="0.25">
      <c r="X3015" s="256"/>
    </row>
    <row r="3016" spans="24:24" x14ac:dyDescent="0.25">
      <c r="X3016" s="256"/>
    </row>
    <row r="3017" spans="24:24" x14ac:dyDescent="0.25">
      <c r="X3017" s="256"/>
    </row>
    <row r="3018" spans="24:24" x14ac:dyDescent="0.25">
      <c r="X3018" s="256"/>
    </row>
    <row r="3019" spans="24:24" x14ac:dyDescent="0.25">
      <c r="X3019" s="256"/>
    </row>
    <row r="3020" spans="24:24" x14ac:dyDescent="0.25">
      <c r="X3020" s="256"/>
    </row>
    <row r="3021" spans="24:24" x14ac:dyDescent="0.25">
      <c r="X3021" s="256"/>
    </row>
    <row r="3022" spans="24:24" x14ac:dyDescent="0.25">
      <c r="X3022" s="256"/>
    </row>
    <row r="3023" spans="24:24" x14ac:dyDescent="0.25">
      <c r="X3023" s="256"/>
    </row>
    <row r="3024" spans="24:24" x14ac:dyDescent="0.25">
      <c r="X3024" s="256"/>
    </row>
    <row r="3025" spans="24:24" x14ac:dyDescent="0.25">
      <c r="X3025" s="256"/>
    </row>
    <row r="3026" spans="24:24" x14ac:dyDescent="0.25">
      <c r="X3026" s="256"/>
    </row>
    <row r="3027" spans="24:24" x14ac:dyDescent="0.25">
      <c r="X3027" s="256"/>
    </row>
    <row r="3028" spans="24:24" x14ac:dyDescent="0.25">
      <c r="X3028" s="256"/>
    </row>
    <row r="3029" spans="24:24" x14ac:dyDescent="0.25">
      <c r="X3029" s="256"/>
    </row>
    <row r="3030" spans="24:24" x14ac:dyDescent="0.25">
      <c r="X3030" s="256"/>
    </row>
    <row r="3031" spans="24:24" x14ac:dyDescent="0.25">
      <c r="X3031" s="256"/>
    </row>
    <row r="3032" spans="24:24" x14ac:dyDescent="0.25">
      <c r="X3032" s="256"/>
    </row>
    <row r="3033" spans="24:24" x14ac:dyDescent="0.25">
      <c r="X3033" s="256"/>
    </row>
    <row r="3034" spans="24:24" x14ac:dyDescent="0.25">
      <c r="X3034" s="256"/>
    </row>
    <row r="3035" spans="24:24" x14ac:dyDescent="0.25">
      <c r="X3035" s="256"/>
    </row>
    <row r="3036" spans="24:24" x14ac:dyDescent="0.25">
      <c r="X3036" s="256"/>
    </row>
    <row r="3037" spans="24:24" x14ac:dyDescent="0.25">
      <c r="X3037" s="256"/>
    </row>
    <row r="3038" spans="24:24" x14ac:dyDescent="0.25">
      <c r="X3038" s="256"/>
    </row>
    <row r="3039" spans="24:24" x14ac:dyDescent="0.25">
      <c r="X3039" s="256"/>
    </row>
    <row r="3040" spans="24:24" x14ac:dyDescent="0.25">
      <c r="X3040" s="256"/>
    </row>
    <row r="3041" spans="24:24" x14ac:dyDescent="0.25">
      <c r="X3041" s="256"/>
    </row>
    <row r="3042" spans="24:24" x14ac:dyDescent="0.25">
      <c r="X3042" s="256"/>
    </row>
    <row r="3043" spans="24:24" x14ac:dyDescent="0.25">
      <c r="X3043" s="256"/>
    </row>
    <row r="3044" spans="24:24" x14ac:dyDescent="0.25">
      <c r="X3044" s="256"/>
    </row>
    <row r="3045" spans="24:24" x14ac:dyDescent="0.25">
      <c r="X3045" s="256"/>
    </row>
    <row r="3046" spans="24:24" x14ac:dyDescent="0.25">
      <c r="X3046" s="256"/>
    </row>
    <row r="3047" spans="24:24" x14ac:dyDescent="0.25">
      <c r="X3047" s="256"/>
    </row>
    <row r="3048" spans="24:24" x14ac:dyDescent="0.25">
      <c r="X3048" s="256"/>
    </row>
    <row r="3049" spans="24:24" x14ac:dyDescent="0.25">
      <c r="X3049" s="256"/>
    </row>
    <row r="3050" spans="24:24" x14ac:dyDescent="0.25">
      <c r="X3050" s="256"/>
    </row>
    <row r="3051" spans="24:24" x14ac:dyDescent="0.25">
      <c r="X3051" s="256"/>
    </row>
    <row r="3052" spans="24:24" x14ac:dyDescent="0.25">
      <c r="X3052" s="256"/>
    </row>
    <row r="3053" spans="24:24" x14ac:dyDescent="0.25">
      <c r="X3053" s="256"/>
    </row>
    <row r="3054" spans="24:24" x14ac:dyDescent="0.25">
      <c r="X3054" s="256"/>
    </row>
    <row r="3055" spans="24:24" x14ac:dyDescent="0.25">
      <c r="X3055" s="256"/>
    </row>
    <row r="3056" spans="24:24" x14ac:dyDescent="0.25">
      <c r="X3056" s="256"/>
    </row>
    <row r="3057" spans="24:24" x14ac:dyDescent="0.25">
      <c r="X3057" s="256"/>
    </row>
    <row r="3058" spans="24:24" x14ac:dyDescent="0.25">
      <c r="X3058" s="256"/>
    </row>
    <row r="3059" spans="24:24" x14ac:dyDescent="0.25">
      <c r="X3059" s="256"/>
    </row>
    <row r="3060" spans="24:24" x14ac:dyDescent="0.25">
      <c r="X3060" s="256"/>
    </row>
    <row r="3061" spans="24:24" x14ac:dyDescent="0.25">
      <c r="X3061" s="256"/>
    </row>
    <row r="3062" spans="24:24" x14ac:dyDescent="0.25">
      <c r="X3062" s="256"/>
    </row>
    <row r="3063" spans="24:24" x14ac:dyDescent="0.25">
      <c r="X3063" s="256"/>
    </row>
    <row r="3064" spans="24:24" x14ac:dyDescent="0.25">
      <c r="X3064" s="256"/>
    </row>
    <row r="3065" spans="24:24" x14ac:dyDescent="0.25">
      <c r="X3065" s="256"/>
    </row>
    <row r="3066" spans="24:24" x14ac:dyDescent="0.25">
      <c r="X3066" s="256"/>
    </row>
    <row r="3067" spans="24:24" x14ac:dyDescent="0.25">
      <c r="X3067" s="256"/>
    </row>
    <row r="3068" spans="24:24" x14ac:dyDescent="0.25">
      <c r="X3068" s="256"/>
    </row>
    <row r="3069" spans="24:24" x14ac:dyDescent="0.25">
      <c r="X3069" s="256"/>
    </row>
    <row r="3070" spans="24:24" x14ac:dyDescent="0.25">
      <c r="X3070" s="256"/>
    </row>
    <row r="3071" spans="24:24" x14ac:dyDescent="0.25">
      <c r="X3071" s="256"/>
    </row>
    <row r="3072" spans="24:24" x14ac:dyDescent="0.25">
      <c r="X3072" s="256"/>
    </row>
    <row r="3073" spans="24:24" x14ac:dyDescent="0.25">
      <c r="X3073" s="256"/>
    </row>
    <row r="3074" spans="24:24" x14ac:dyDescent="0.25">
      <c r="X3074" s="256"/>
    </row>
    <row r="3075" spans="24:24" x14ac:dyDescent="0.25">
      <c r="X3075" s="256"/>
    </row>
    <row r="3076" spans="24:24" x14ac:dyDescent="0.25">
      <c r="X3076" s="256"/>
    </row>
    <row r="3077" spans="24:24" x14ac:dyDescent="0.25">
      <c r="X3077" s="256"/>
    </row>
    <row r="3078" spans="24:24" x14ac:dyDescent="0.25">
      <c r="X3078" s="256"/>
    </row>
    <row r="3079" spans="24:24" x14ac:dyDescent="0.25">
      <c r="X3079" s="256"/>
    </row>
    <row r="3080" spans="24:24" x14ac:dyDescent="0.25">
      <c r="X3080" s="256"/>
    </row>
    <row r="3081" spans="24:24" x14ac:dyDescent="0.25">
      <c r="X3081" s="256"/>
    </row>
    <row r="3082" spans="24:24" x14ac:dyDescent="0.25">
      <c r="X3082" s="256"/>
    </row>
    <row r="3083" spans="24:24" x14ac:dyDescent="0.25">
      <c r="X3083" s="256"/>
    </row>
    <row r="3084" spans="24:24" x14ac:dyDescent="0.25">
      <c r="X3084" s="256"/>
    </row>
    <row r="3085" spans="24:24" x14ac:dyDescent="0.25">
      <c r="X3085" s="256"/>
    </row>
    <row r="3086" spans="24:24" x14ac:dyDescent="0.25">
      <c r="X3086" s="256"/>
    </row>
    <row r="3087" spans="24:24" x14ac:dyDescent="0.25">
      <c r="X3087" s="256"/>
    </row>
    <row r="3088" spans="24:24" x14ac:dyDescent="0.25">
      <c r="X3088" s="256"/>
    </row>
    <row r="3089" spans="24:24" x14ac:dyDescent="0.25">
      <c r="X3089" s="256"/>
    </row>
    <row r="3090" spans="24:24" x14ac:dyDescent="0.25">
      <c r="X3090" s="256"/>
    </row>
    <row r="3091" spans="24:24" x14ac:dyDescent="0.25">
      <c r="X3091" s="256"/>
    </row>
    <row r="3092" spans="24:24" x14ac:dyDescent="0.25">
      <c r="X3092" s="256"/>
    </row>
    <row r="3093" spans="24:24" x14ac:dyDescent="0.25">
      <c r="X3093" s="256"/>
    </row>
    <row r="3094" spans="24:24" x14ac:dyDescent="0.25">
      <c r="X3094" s="256"/>
    </row>
    <row r="3095" spans="24:24" x14ac:dyDescent="0.25">
      <c r="X3095" s="256"/>
    </row>
    <row r="3096" spans="24:24" x14ac:dyDescent="0.25">
      <c r="X3096" s="256"/>
    </row>
    <row r="3097" spans="24:24" x14ac:dyDescent="0.25">
      <c r="X3097" s="256"/>
    </row>
    <row r="3098" spans="24:24" x14ac:dyDescent="0.25">
      <c r="X3098" s="256"/>
    </row>
    <row r="3099" spans="24:24" x14ac:dyDescent="0.25">
      <c r="X3099" s="256"/>
    </row>
    <row r="3100" spans="24:24" x14ac:dyDescent="0.25">
      <c r="X3100" s="256"/>
    </row>
    <row r="3101" spans="24:24" x14ac:dyDescent="0.25">
      <c r="X3101" s="256"/>
    </row>
    <row r="3102" spans="24:24" x14ac:dyDescent="0.25">
      <c r="X3102" s="256"/>
    </row>
    <row r="3103" spans="24:24" x14ac:dyDescent="0.25">
      <c r="X3103" s="256"/>
    </row>
    <row r="3104" spans="24:24" x14ac:dyDescent="0.25">
      <c r="X3104" s="256"/>
    </row>
    <row r="3105" spans="24:24" x14ac:dyDescent="0.25">
      <c r="X3105" s="256"/>
    </row>
    <row r="3106" spans="24:24" x14ac:dyDescent="0.25">
      <c r="X3106" s="256"/>
    </row>
    <row r="3107" spans="24:24" x14ac:dyDescent="0.25">
      <c r="X3107" s="256"/>
    </row>
    <row r="3108" spans="24:24" x14ac:dyDescent="0.25">
      <c r="X3108" s="256"/>
    </row>
    <row r="3109" spans="24:24" x14ac:dyDescent="0.25">
      <c r="X3109" s="256"/>
    </row>
    <row r="3110" spans="24:24" x14ac:dyDescent="0.25">
      <c r="X3110" s="256"/>
    </row>
    <row r="3111" spans="24:24" x14ac:dyDescent="0.25">
      <c r="X3111" s="256"/>
    </row>
    <row r="3112" spans="24:24" x14ac:dyDescent="0.25">
      <c r="X3112" s="256"/>
    </row>
    <row r="3113" spans="24:24" x14ac:dyDescent="0.25">
      <c r="X3113" s="256"/>
    </row>
    <row r="3114" spans="24:24" x14ac:dyDescent="0.25">
      <c r="X3114" s="256"/>
    </row>
    <row r="3115" spans="24:24" x14ac:dyDescent="0.25">
      <c r="X3115" s="256"/>
    </row>
    <row r="3116" spans="24:24" x14ac:dyDescent="0.25">
      <c r="X3116" s="256"/>
    </row>
    <row r="3117" spans="24:24" x14ac:dyDescent="0.25">
      <c r="X3117" s="256"/>
    </row>
    <row r="3118" spans="24:24" x14ac:dyDescent="0.25">
      <c r="X3118" s="256"/>
    </row>
    <row r="3119" spans="24:24" x14ac:dyDescent="0.25">
      <c r="X3119" s="256"/>
    </row>
    <row r="3120" spans="24:24" x14ac:dyDescent="0.25">
      <c r="X3120" s="256"/>
    </row>
    <row r="3121" spans="24:24" x14ac:dyDescent="0.25">
      <c r="X3121" s="256"/>
    </row>
    <row r="3122" spans="24:24" x14ac:dyDescent="0.25">
      <c r="X3122" s="256"/>
    </row>
    <row r="3123" spans="24:24" x14ac:dyDescent="0.25">
      <c r="X3123" s="256"/>
    </row>
    <row r="3124" spans="24:24" x14ac:dyDescent="0.25">
      <c r="X3124" s="256"/>
    </row>
    <row r="3125" spans="24:24" x14ac:dyDescent="0.25">
      <c r="X3125" s="256"/>
    </row>
    <row r="3126" spans="24:24" x14ac:dyDescent="0.25">
      <c r="X3126" s="256"/>
    </row>
    <row r="3127" spans="24:24" x14ac:dyDescent="0.25">
      <c r="X3127" s="256"/>
    </row>
    <row r="3128" spans="24:24" x14ac:dyDescent="0.25">
      <c r="X3128" s="256"/>
    </row>
    <row r="3129" spans="24:24" x14ac:dyDescent="0.25">
      <c r="X3129" s="256"/>
    </row>
    <row r="3130" spans="24:24" x14ac:dyDescent="0.25">
      <c r="X3130" s="256"/>
    </row>
    <row r="3131" spans="24:24" x14ac:dyDescent="0.25">
      <c r="X3131" s="256"/>
    </row>
    <row r="3132" spans="24:24" x14ac:dyDescent="0.25">
      <c r="X3132" s="256"/>
    </row>
    <row r="3133" spans="24:24" x14ac:dyDescent="0.25">
      <c r="X3133" s="256"/>
    </row>
    <row r="3134" spans="24:24" x14ac:dyDescent="0.25">
      <c r="X3134" s="256"/>
    </row>
    <row r="3135" spans="24:24" x14ac:dyDescent="0.25">
      <c r="X3135" s="256"/>
    </row>
    <row r="3136" spans="24:24" x14ac:dyDescent="0.25">
      <c r="X3136" s="256"/>
    </row>
    <row r="3137" spans="24:24" x14ac:dyDescent="0.25">
      <c r="X3137" s="256"/>
    </row>
    <row r="3138" spans="24:24" x14ac:dyDescent="0.25">
      <c r="X3138" s="256"/>
    </row>
    <row r="3139" spans="24:24" x14ac:dyDescent="0.25">
      <c r="X3139" s="256"/>
    </row>
    <row r="3140" spans="24:24" x14ac:dyDescent="0.25">
      <c r="X3140" s="256"/>
    </row>
    <row r="3141" spans="24:24" x14ac:dyDescent="0.25">
      <c r="X3141" s="256"/>
    </row>
    <row r="3142" spans="24:24" x14ac:dyDescent="0.25">
      <c r="X3142" s="256"/>
    </row>
    <row r="3143" spans="24:24" x14ac:dyDescent="0.25">
      <c r="X3143" s="256"/>
    </row>
    <row r="3144" spans="24:24" x14ac:dyDescent="0.25">
      <c r="X3144" s="256"/>
    </row>
    <row r="3145" spans="24:24" x14ac:dyDescent="0.25">
      <c r="X3145" s="256"/>
    </row>
    <row r="3146" spans="24:24" x14ac:dyDescent="0.25">
      <c r="X3146" s="256"/>
    </row>
    <row r="3147" spans="24:24" x14ac:dyDescent="0.25">
      <c r="X3147" s="256"/>
    </row>
    <row r="3148" spans="24:24" x14ac:dyDescent="0.25">
      <c r="X3148" s="256"/>
    </row>
    <row r="3149" spans="24:24" x14ac:dyDescent="0.25">
      <c r="X3149" s="256"/>
    </row>
    <row r="3150" spans="24:24" x14ac:dyDescent="0.25">
      <c r="X3150" s="256"/>
    </row>
    <row r="3151" spans="24:24" x14ac:dyDescent="0.25">
      <c r="X3151" s="256"/>
    </row>
    <row r="3152" spans="24:24" x14ac:dyDescent="0.25">
      <c r="X3152" s="256"/>
    </row>
    <row r="3153" spans="24:24" x14ac:dyDescent="0.25">
      <c r="X3153" s="256"/>
    </row>
    <row r="3154" spans="24:24" x14ac:dyDescent="0.25">
      <c r="X3154" s="256"/>
    </row>
    <row r="3155" spans="24:24" x14ac:dyDescent="0.25">
      <c r="X3155" s="256"/>
    </row>
    <row r="3156" spans="24:24" x14ac:dyDescent="0.25">
      <c r="X3156" s="256"/>
    </row>
    <row r="3157" spans="24:24" x14ac:dyDescent="0.25">
      <c r="X3157" s="256"/>
    </row>
    <row r="3158" spans="24:24" x14ac:dyDescent="0.25">
      <c r="X3158" s="256"/>
    </row>
    <row r="3159" spans="24:24" x14ac:dyDescent="0.25">
      <c r="X3159" s="256"/>
    </row>
    <row r="3160" spans="24:24" x14ac:dyDescent="0.25">
      <c r="X3160" s="256"/>
    </row>
    <row r="3161" spans="24:24" x14ac:dyDescent="0.25">
      <c r="X3161" s="256"/>
    </row>
    <row r="3162" spans="24:24" x14ac:dyDescent="0.25">
      <c r="X3162" s="256"/>
    </row>
    <row r="3163" spans="24:24" x14ac:dyDescent="0.25">
      <c r="X3163" s="256"/>
    </row>
    <row r="3164" spans="24:24" x14ac:dyDescent="0.25">
      <c r="X3164" s="256"/>
    </row>
    <row r="3165" spans="24:24" x14ac:dyDescent="0.25">
      <c r="X3165" s="256"/>
    </row>
    <row r="3166" spans="24:24" x14ac:dyDescent="0.25">
      <c r="X3166" s="256"/>
    </row>
    <row r="3167" spans="24:24" x14ac:dyDescent="0.25">
      <c r="X3167" s="256"/>
    </row>
    <row r="3168" spans="24:24" x14ac:dyDescent="0.25">
      <c r="X3168" s="256"/>
    </row>
    <row r="3169" spans="24:24" x14ac:dyDescent="0.25">
      <c r="X3169" s="256"/>
    </row>
    <row r="3170" spans="24:24" x14ac:dyDescent="0.25">
      <c r="X3170" s="256"/>
    </row>
    <row r="3171" spans="24:24" x14ac:dyDescent="0.25">
      <c r="X3171" s="256"/>
    </row>
    <row r="3172" spans="24:24" x14ac:dyDescent="0.25">
      <c r="X3172" s="256"/>
    </row>
    <row r="3173" spans="24:24" x14ac:dyDescent="0.25">
      <c r="X3173" s="256"/>
    </row>
    <row r="3174" spans="24:24" x14ac:dyDescent="0.25">
      <c r="X3174" s="256"/>
    </row>
    <row r="3175" spans="24:24" x14ac:dyDescent="0.25">
      <c r="X3175" s="256"/>
    </row>
    <row r="3176" spans="24:24" x14ac:dyDescent="0.25">
      <c r="X3176" s="256"/>
    </row>
    <row r="3177" spans="24:24" x14ac:dyDescent="0.25">
      <c r="X3177" s="256"/>
    </row>
    <row r="3178" spans="24:24" x14ac:dyDescent="0.25">
      <c r="X3178" s="256"/>
    </row>
    <row r="3179" spans="24:24" x14ac:dyDescent="0.25">
      <c r="X3179" s="256"/>
    </row>
    <row r="3180" spans="24:24" x14ac:dyDescent="0.25">
      <c r="X3180" s="256"/>
    </row>
    <row r="3181" spans="24:24" x14ac:dyDescent="0.25">
      <c r="X3181" s="256"/>
    </row>
    <row r="3182" spans="24:24" x14ac:dyDescent="0.25">
      <c r="X3182" s="256"/>
    </row>
    <row r="3183" spans="24:24" x14ac:dyDescent="0.25">
      <c r="X3183" s="256"/>
    </row>
    <row r="3184" spans="24:24" x14ac:dyDescent="0.25">
      <c r="X3184" s="256"/>
    </row>
    <row r="3185" spans="24:24" x14ac:dyDescent="0.25">
      <c r="X3185" s="256"/>
    </row>
    <row r="3186" spans="24:24" x14ac:dyDescent="0.25">
      <c r="X3186" s="256"/>
    </row>
    <row r="3187" spans="24:24" x14ac:dyDescent="0.25">
      <c r="X3187" s="256"/>
    </row>
    <row r="3188" spans="24:24" x14ac:dyDescent="0.25">
      <c r="X3188" s="256"/>
    </row>
    <row r="3189" spans="24:24" x14ac:dyDescent="0.25">
      <c r="X3189" s="256"/>
    </row>
    <row r="3190" spans="24:24" x14ac:dyDescent="0.25">
      <c r="X3190" s="256"/>
    </row>
    <row r="3191" spans="24:24" x14ac:dyDescent="0.25">
      <c r="X3191" s="256"/>
    </row>
    <row r="3192" spans="24:24" x14ac:dyDescent="0.25">
      <c r="X3192" s="256"/>
    </row>
    <row r="3193" spans="24:24" x14ac:dyDescent="0.25">
      <c r="X3193" s="256"/>
    </row>
    <row r="3194" spans="24:24" x14ac:dyDescent="0.25">
      <c r="X3194" s="256"/>
    </row>
    <row r="3195" spans="24:24" x14ac:dyDescent="0.25">
      <c r="X3195" s="256"/>
    </row>
    <row r="3196" spans="24:24" x14ac:dyDescent="0.25">
      <c r="X3196" s="256"/>
    </row>
    <row r="3197" spans="24:24" x14ac:dyDescent="0.25">
      <c r="X3197" s="256"/>
    </row>
    <row r="3198" spans="24:24" x14ac:dyDescent="0.25">
      <c r="X3198" s="256"/>
    </row>
    <row r="3199" spans="24:24" x14ac:dyDescent="0.25">
      <c r="X3199" s="256"/>
    </row>
    <row r="3200" spans="24:24" x14ac:dyDescent="0.25">
      <c r="X3200" s="256"/>
    </row>
    <row r="3201" spans="24:24" x14ac:dyDescent="0.25">
      <c r="X3201" s="256"/>
    </row>
    <row r="3202" spans="24:24" x14ac:dyDescent="0.25">
      <c r="X3202" s="256"/>
    </row>
    <row r="3203" spans="24:24" x14ac:dyDescent="0.25">
      <c r="X3203" s="256"/>
    </row>
    <row r="3204" spans="24:24" x14ac:dyDescent="0.25">
      <c r="X3204" s="256"/>
    </row>
    <row r="3205" spans="24:24" x14ac:dyDescent="0.25">
      <c r="X3205" s="256"/>
    </row>
    <row r="3206" spans="24:24" x14ac:dyDescent="0.25">
      <c r="X3206" s="256"/>
    </row>
    <row r="3207" spans="24:24" x14ac:dyDescent="0.25">
      <c r="X3207" s="256"/>
    </row>
    <row r="3208" spans="24:24" x14ac:dyDescent="0.25">
      <c r="X3208" s="256"/>
    </row>
    <row r="3209" spans="24:24" x14ac:dyDescent="0.25">
      <c r="X3209" s="256"/>
    </row>
    <row r="3210" spans="24:24" x14ac:dyDescent="0.25">
      <c r="X3210" s="256"/>
    </row>
    <row r="3211" spans="24:24" x14ac:dyDescent="0.25">
      <c r="X3211" s="256"/>
    </row>
    <row r="3212" spans="24:24" x14ac:dyDescent="0.25">
      <c r="X3212" s="256"/>
    </row>
    <row r="3213" spans="24:24" x14ac:dyDescent="0.25">
      <c r="X3213" s="256"/>
    </row>
    <row r="3214" spans="24:24" x14ac:dyDescent="0.25">
      <c r="X3214" s="256"/>
    </row>
    <row r="3215" spans="24:24" x14ac:dyDescent="0.25">
      <c r="X3215" s="256"/>
    </row>
    <row r="3216" spans="24:24" x14ac:dyDescent="0.25">
      <c r="X3216" s="256"/>
    </row>
    <row r="3217" spans="24:24" x14ac:dyDescent="0.25">
      <c r="X3217" s="256"/>
    </row>
    <row r="3218" spans="24:24" x14ac:dyDescent="0.25">
      <c r="X3218" s="256"/>
    </row>
    <row r="3219" spans="24:24" x14ac:dyDescent="0.25">
      <c r="X3219" s="256"/>
    </row>
    <row r="3220" spans="24:24" x14ac:dyDescent="0.25">
      <c r="X3220" s="256"/>
    </row>
    <row r="3221" spans="24:24" x14ac:dyDescent="0.25">
      <c r="X3221" s="256"/>
    </row>
    <row r="3222" spans="24:24" x14ac:dyDescent="0.25">
      <c r="X3222" s="256"/>
    </row>
    <row r="3223" spans="24:24" x14ac:dyDescent="0.25">
      <c r="X3223" s="256"/>
    </row>
    <row r="3224" spans="24:24" x14ac:dyDescent="0.25">
      <c r="X3224" s="256"/>
    </row>
    <row r="3225" spans="24:24" x14ac:dyDescent="0.25">
      <c r="X3225" s="256"/>
    </row>
    <row r="3226" spans="24:24" x14ac:dyDescent="0.25">
      <c r="X3226" s="256"/>
    </row>
    <row r="3227" spans="24:24" x14ac:dyDescent="0.25">
      <c r="X3227" s="256"/>
    </row>
    <row r="3228" spans="24:24" x14ac:dyDescent="0.25">
      <c r="X3228" s="256"/>
    </row>
    <row r="3229" spans="24:24" x14ac:dyDescent="0.25">
      <c r="X3229" s="256"/>
    </row>
    <row r="3230" spans="24:24" x14ac:dyDescent="0.25">
      <c r="X3230" s="256"/>
    </row>
    <row r="3231" spans="24:24" x14ac:dyDescent="0.25">
      <c r="X3231" s="256"/>
    </row>
    <row r="3232" spans="24:24" x14ac:dyDescent="0.25">
      <c r="X3232" s="256"/>
    </row>
    <row r="3233" spans="24:24" x14ac:dyDescent="0.25">
      <c r="X3233" s="256"/>
    </row>
    <row r="3234" spans="24:24" x14ac:dyDescent="0.25">
      <c r="X3234" s="256"/>
    </row>
    <row r="3235" spans="24:24" x14ac:dyDescent="0.25">
      <c r="X3235" s="256"/>
    </row>
    <row r="3236" spans="24:24" x14ac:dyDescent="0.25">
      <c r="X3236" s="256"/>
    </row>
    <row r="3237" spans="24:24" x14ac:dyDescent="0.25">
      <c r="X3237" s="256"/>
    </row>
    <row r="3238" spans="24:24" x14ac:dyDescent="0.25">
      <c r="X3238" s="256"/>
    </row>
    <row r="3239" spans="24:24" x14ac:dyDescent="0.25">
      <c r="X3239" s="256"/>
    </row>
    <row r="3240" spans="24:24" x14ac:dyDescent="0.25">
      <c r="X3240" s="256"/>
    </row>
    <row r="3241" spans="24:24" x14ac:dyDescent="0.25">
      <c r="X3241" s="256"/>
    </row>
    <row r="3242" spans="24:24" x14ac:dyDescent="0.25">
      <c r="X3242" s="256"/>
    </row>
    <row r="3243" spans="24:24" x14ac:dyDescent="0.25">
      <c r="X3243" s="256"/>
    </row>
    <row r="3244" spans="24:24" x14ac:dyDescent="0.25">
      <c r="X3244" s="256"/>
    </row>
    <row r="3245" spans="24:24" x14ac:dyDescent="0.25">
      <c r="X3245" s="256"/>
    </row>
    <row r="3246" spans="24:24" x14ac:dyDescent="0.25">
      <c r="X3246" s="256"/>
    </row>
    <row r="3247" spans="24:24" x14ac:dyDescent="0.25">
      <c r="X3247" s="256"/>
    </row>
    <row r="3248" spans="24:24" x14ac:dyDescent="0.25">
      <c r="X3248" s="256"/>
    </row>
    <row r="3249" spans="24:24" x14ac:dyDescent="0.25">
      <c r="X3249" s="256"/>
    </row>
    <row r="3250" spans="24:24" x14ac:dyDescent="0.25">
      <c r="X3250" s="256"/>
    </row>
    <row r="3251" spans="24:24" x14ac:dyDescent="0.25">
      <c r="X3251" s="256"/>
    </row>
    <row r="3252" spans="24:24" x14ac:dyDescent="0.25">
      <c r="X3252" s="256"/>
    </row>
    <row r="3253" spans="24:24" x14ac:dyDescent="0.25">
      <c r="X3253" s="256"/>
    </row>
    <row r="3254" spans="24:24" x14ac:dyDescent="0.25">
      <c r="X3254" s="256"/>
    </row>
    <row r="3255" spans="24:24" x14ac:dyDescent="0.25">
      <c r="X3255" s="256"/>
    </row>
    <row r="3256" spans="24:24" x14ac:dyDescent="0.25">
      <c r="X3256" s="256"/>
    </row>
    <row r="3257" spans="24:24" x14ac:dyDescent="0.25">
      <c r="X3257" s="256"/>
    </row>
    <row r="3258" spans="24:24" x14ac:dyDescent="0.25">
      <c r="X3258" s="256"/>
    </row>
    <row r="3259" spans="24:24" x14ac:dyDescent="0.25">
      <c r="X3259" s="256"/>
    </row>
    <row r="3260" spans="24:24" x14ac:dyDescent="0.25">
      <c r="X3260" s="256"/>
    </row>
    <row r="3261" spans="24:24" x14ac:dyDescent="0.25">
      <c r="X3261" s="256"/>
    </row>
    <row r="3262" spans="24:24" x14ac:dyDescent="0.25">
      <c r="X3262" s="256"/>
    </row>
    <row r="3263" spans="24:24" x14ac:dyDescent="0.25">
      <c r="X3263" s="256"/>
    </row>
    <row r="3264" spans="24:24" x14ac:dyDescent="0.25">
      <c r="X3264" s="256"/>
    </row>
    <row r="3265" spans="24:24" x14ac:dyDescent="0.25">
      <c r="X3265" s="256"/>
    </row>
    <row r="3266" spans="24:24" x14ac:dyDescent="0.25">
      <c r="X3266" s="256"/>
    </row>
    <row r="3267" spans="24:24" x14ac:dyDescent="0.25">
      <c r="X3267" s="256"/>
    </row>
    <row r="3268" spans="24:24" x14ac:dyDescent="0.25">
      <c r="X3268" s="256"/>
    </row>
    <row r="3269" spans="24:24" x14ac:dyDescent="0.25">
      <c r="X3269" s="256"/>
    </row>
    <row r="3270" spans="24:24" x14ac:dyDescent="0.25">
      <c r="X3270" s="256"/>
    </row>
    <row r="3271" spans="24:24" x14ac:dyDescent="0.25">
      <c r="X3271" s="256"/>
    </row>
    <row r="3272" spans="24:24" x14ac:dyDescent="0.25">
      <c r="X3272" s="256"/>
    </row>
    <row r="3273" spans="24:24" x14ac:dyDescent="0.25">
      <c r="X3273" s="256"/>
    </row>
    <row r="3274" spans="24:24" x14ac:dyDescent="0.25">
      <c r="X3274" s="256"/>
    </row>
    <row r="3275" spans="24:24" x14ac:dyDescent="0.25">
      <c r="X3275" s="256"/>
    </row>
    <row r="3276" spans="24:24" x14ac:dyDescent="0.25">
      <c r="X3276" s="256"/>
    </row>
    <row r="3277" spans="24:24" x14ac:dyDescent="0.25">
      <c r="X3277" s="256"/>
    </row>
    <row r="3278" spans="24:24" x14ac:dyDescent="0.25">
      <c r="X3278" s="256"/>
    </row>
    <row r="3279" spans="24:24" x14ac:dyDescent="0.25">
      <c r="X3279" s="256"/>
    </row>
    <row r="3280" spans="24:24" x14ac:dyDescent="0.25">
      <c r="X3280" s="256"/>
    </row>
    <row r="3281" spans="24:24" x14ac:dyDescent="0.25">
      <c r="X3281" s="256"/>
    </row>
    <row r="3282" spans="24:24" x14ac:dyDescent="0.25">
      <c r="X3282" s="256"/>
    </row>
    <row r="3283" spans="24:24" x14ac:dyDescent="0.25">
      <c r="X3283" s="256"/>
    </row>
    <row r="3284" spans="24:24" x14ac:dyDescent="0.25">
      <c r="X3284" s="256"/>
    </row>
    <row r="3285" spans="24:24" x14ac:dyDescent="0.25">
      <c r="X3285" s="256"/>
    </row>
    <row r="3286" spans="24:24" x14ac:dyDescent="0.25">
      <c r="X3286" s="256"/>
    </row>
    <row r="3287" spans="24:24" x14ac:dyDescent="0.25">
      <c r="X3287" s="256"/>
    </row>
    <row r="3288" spans="24:24" x14ac:dyDescent="0.25">
      <c r="X3288" s="256"/>
    </row>
    <row r="3289" spans="24:24" x14ac:dyDescent="0.25">
      <c r="X3289" s="256"/>
    </row>
    <row r="3290" spans="24:24" x14ac:dyDescent="0.25">
      <c r="X3290" s="256"/>
    </row>
    <row r="3291" spans="24:24" x14ac:dyDescent="0.25">
      <c r="X3291" s="256"/>
    </row>
    <row r="3292" spans="24:24" x14ac:dyDescent="0.25">
      <c r="X3292" s="256"/>
    </row>
    <row r="3293" spans="24:24" x14ac:dyDescent="0.25">
      <c r="X3293" s="256"/>
    </row>
    <row r="3294" spans="24:24" x14ac:dyDescent="0.25">
      <c r="X3294" s="256"/>
    </row>
    <row r="3295" spans="24:24" x14ac:dyDescent="0.25">
      <c r="X3295" s="256"/>
    </row>
    <row r="3296" spans="24:24" x14ac:dyDescent="0.25">
      <c r="X3296" s="256"/>
    </row>
    <row r="3297" spans="24:24" x14ac:dyDescent="0.25">
      <c r="X3297" s="256"/>
    </row>
    <row r="3298" spans="24:24" x14ac:dyDescent="0.25">
      <c r="X3298" s="256"/>
    </row>
    <row r="3299" spans="24:24" x14ac:dyDescent="0.25">
      <c r="X3299" s="256"/>
    </row>
    <row r="3300" spans="24:24" x14ac:dyDescent="0.25">
      <c r="X3300" s="256"/>
    </row>
    <row r="3301" spans="24:24" x14ac:dyDescent="0.25">
      <c r="X3301" s="256"/>
    </row>
    <row r="3302" spans="24:24" x14ac:dyDescent="0.25">
      <c r="X3302" s="256"/>
    </row>
    <row r="3303" spans="24:24" x14ac:dyDescent="0.25">
      <c r="X3303" s="256"/>
    </row>
    <row r="3304" spans="24:24" x14ac:dyDescent="0.25">
      <c r="X3304" s="256"/>
    </row>
    <row r="3305" spans="24:24" x14ac:dyDescent="0.25">
      <c r="X3305" s="256"/>
    </row>
    <row r="3306" spans="24:24" x14ac:dyDescent="0.25">
      <c r="X3306" s="256"/>
    </row>
    <row r="3307" spans="24:24" x14ac:dyDescent="0.25">
      <c r="X3307" s="256"/>
    </row>
    <row r="3308" spans="24:24" x14ac:dyDescent="0.25">
      <c r="X3308" s="256"/>
    </row>
    <row r="3309" spans="24:24" x14ac:dyDescent="0.25">
      <c r="X3309" s="256"/>
    </row>
    <row r="3310" spans="24:24" x14ac:dyDescent="0.25">
      <c r="X3310" s="256"/>
    </row>
    <row r="3311" spans="24:24" x14ac:dyDescent="0.25">
      <c r="X3311" s="256"/>
    </row>
    <row r="3312" spans="24:24" x14ac:dyDescent="0.25">
      <c r="X3312" s="256"/>
    </row>
    <row r="3313" spans="24:24" x14ac:dyDescent="0.25">
      <c r="X3313" s="256"/>
    </row>
    <row r="3314" spans="24:24" x14ac:dyDescent="0.25">
      <c r="X3314" s="256"/>
    </row>
    <row r="3315" spans="24:24" x14ac:dyDescent="0.25">
      <c r="X3315" s="256"/>
    </row>
    <row r="3316" spans="24:24" x14ac:dyDescent="0.25">
      <c r="X3316" s="256"/>
    </row>
    <row r="3317" spans="24:24" x14ac:dyDescent="0.25">
      <c r="X3317" s="256"/>
    </row>
    <row r="3318" spans="24:24" x14ac:dyDescent="0.25">
      <c r="X3318" s="256"/>
    </row>
    <row r="3319" spans="24:24" x14ac:dyDescent="0.25">
      <c r="X3319" s="256"/>
    </row>
    <row r="3320" spans="24:24" x14ac:dyDescent="0.25">
      <c r="X3320" s="256"/>
    </row>
    <row r="3321" spans="24:24" x14ac:dyDescent="0.25">
      <c r="X3321" s="256"/>
    </row>
    <row r="3322" spans="24:24" x14ac:dyDescent="0.25">
      <c r="X3322" s="256"/>
    </row>
    <row r="3323" spans="24:24" x14ac:dyDescent="0.25">
      <c r="X3323" s="256"/>
    </row>
    <row r="3324" spans="24:24" x14ac:dyDescent="0.25">
      <c r="X3324" s="256"/>
    </row>
    <row r="3325" spans="24:24" x14ac:dyDescent="0.25">
      <c r="X3325" s="256"/>
    </row>
    <row r="3326" spans="24:24" x14ac:dyDescent="0.25">
      <c r="X3326" s="256"/>
    </row>
    <row r="3327" spans="24:24" x14ac:dyDescent="0.25">
      <c r="X3327" s="256"/>
    </row>
    <row r="3328" spans="24:24" x14ac:dyDescent="0.25">
      <c r="X3328" s="256"/>
    </row>
    <row r="3329" spans="24:24" x14ac:dyDescent="0.25">
      <c r="X3329" s="256"/>
    </row>
    <row r="3330" spans="24:24" x14ac:dyDescent="0.25">
      <c r="X3330" s="256"/>
    </row>
    <row r="3331" spans="24:24" x14ac:dyDescent="0.25">
      <c r="X3331" s="256"/>
    </row>
    <row r="3332" spans="24:24" x14ac:dyDescent="0.25">
      <c r="X3332" s="256"/>
    </row>
    <row r="3333" spans="24:24" x14ac:dyDescent="0.25">
      <c r="X3333" s="256"/>
    </row>
    <row r="3334" spans="24:24" x14ac:dyDescent="0.25">
      <c r="X3334" s="256"/>
    </row>
    <row r="3335" spans="24:24" x14ac:dyDescent="0.25">
      <c r="X3335" s="256"/>
    </row>
    <row r="3336" spans="24:24" x14ac:dyDescent="0.25">
      <c r="X3336" s="256"/>
    </row>
    <row r="3337" spans="24:24" x14ac:dyDescent="0.25">
      <c r="X3337" s="256"/>
    </row>
    <row r="3338" spans="24:24" x14ac:dyDescent="0.25">
      <c r="X3338" s="256"/>
    </row>
    <row r="3339" spans="24:24" x14ac:dyDescent="0.25">
      <c r="X3339" s="256"/>
    </row>
    <row r="3340" spans="24:24" x14ac:dyDescent="0.25">
      <c r="X3340" s="256"/>
    </row>
    <row r="3341" spans="24:24" x14ac:dyDescent="0.25">
      <c r="X3341" s="256"/>
    </row>
    <row r="3342" spans="24:24" x14ac:dyDescent="0.25">
      <c r="X3342" s="256"/>
    </row>
    <row r="3343" spans="24:24" x14ac:dyDescent="0.25">
      <c r="X3343" s="256"/>
    </row>
    <row r="3344" spans="24:24" x14ac:dyDescent="0.25">
      <c r="X3344" s="256"/>
    </row>
    <row r="3345" spans="24:24" x14ac:dyDescent="0.25">
      <c r="X3345" s="256"/>
    </row>
    <row r="3346" spans="24:24" x14ac:dyDescent="0.25">
      <c r="X3346" s="256"/>
    </row>
    <row r="3347" spans="24:24" x14ac:dyDescent="0.25">
      <c r="X3347" s="256"/>
    </row>
    <row r="3348" spans="24:24" x14ac:dyDescent="0.25">
      <c r="X3348" s="256"/>
    </row>
    <row r="3349" spans="24:24" x14ac:dyDescent="0.25">
      <c r="X3349" s="256"/>
    </row>
    <row r="3350" spans="24:24" x14ac:dyDescent="0.25">
      <c r="X3350" s="256"/>
    </row>
    <row r="3351" spans="24:24" x14ac:dyDescent="0.25">
      <c r="X3351" s="256"/>
    </row>
    <row r="3352" spans="24:24" x14ac:dyDescent="0.25">
      <c r="X3352" s="256"/>
    </row>
    <row r="3353" spans="24:24" x14ac:dyDescent="0.25">
      <c r="X3353" s="256"/>
    </row>
    <row r="3354" spans="24:24" x14ac:dyDescent="0.25">
      <c r="X3354" s="256"/>
    </row>
    <row r="3355" spans="24:24" x14ac:dyDescent="0.25">
      <c r="X3355" s="256"/>
    </row>
    <row r="3356" spans="24:24" x14ac:dyDescent="0.25">
      <c r="X3356" s="256"/>
    </row>
    <row r="3357" spans="24:24" x14ac:dyDescent="0.25">
      <c r="X3357" s="256"/>
    </row>
    <row r="3358" spans="24:24" x14ac:dyDescent="0.25">
      <c r="X3358" s="256"/>
    </row>
    <row r="3359" spans="24:24" x14ac:dyDescent="0.25">
      <c r="X3359" s="256"/>
    </row>
    <row r="3360" spans="24:24" x14ac:dyDescent="0.25">
      <c r="X3360" s="256"/>
    </row>
    <row r="3361" spans="24:24" x14ac:dyDescent="0.25">
      <c r="X3361" s="256"/>
    </row>
    <row r="3362" spans="24:24" x14ac:dyDescent="0.25">
      <c r="X3362" s="256"/>
    </row>
    <row r="3363" spans="24:24" x14ac:dyDescent="0.25">
      <c r="X3363" s="256"/>
    </row>
    <row r="3364" spans="24:24" x14ac:dyDescent="0.25">
      <c r="X3364" s="256"/>
    </row>
    <row r="3365" spans="24:24" x14ac:dyDescent="0.25">
      <c r="X3365" s="256"/>
    </row>
    <row r="3366" spans="24:24" x14ac:dyDescent="0.25">
      <c r="X3366" s="256"/>
    </row>
    <row r="3367" spans="24:24" x14ac:dyDescent="0.25">
      <c r="X3367" s="256"/>
    </row>
    <row r="3368" spans="24:24" x14ac:dyDescent="0.25">
      <c r="X3368" s="256"/>
    </row>
    <row r="3369" spans="24:24" x14ac:dyDescent="0.25">
      <c r="X3369" s="256"/>
    </row>
    <row r="3370" spans="24:24" x14ac:dyDescent="0.25">
      <c r="X3370" s="256"/>
    </row>
    <row r="3371" spans="24:24" x14ac:dyDescent="0.25">
      <c r="X3371" s="256"/>
    </row>
    <row r="3372" spans="24:24" x14ac:dyDescent="0.25">
      <c r="X3372" s="256"/>
    </row>
    <row r="3373" spans="24:24" x14ac:dyDescent="0.25">
      <c r="X3373" s="256"/>
    </row>
    <row r="3374" spans="24:24" x14ac:dyDescent="0.25">
      <c r="X3374" s="256"/>
    </row>
    <row r="3375" spans="24:24" x14ac:dyDescent="0.25">
      <c r="X3375" s="256"/>
    </row>
    <row r="3376" spans="24:24" x14ac:dyDescent="0.25">
      <c r="X3376" s="256"/>
    </row>
    <row r="3377" spans="24:24" x14ac:dyDescent="0.25">
      <c r="X3377" s="256"/>
    </row>
    <row r="3378" spans="24:24" x14ac:dyDescent="0.25">
      <c r="X3378" s="256"/>
    </row>
    <row r="3379" spans="24:24" x14ac:dyDescent="0.25">
      <c r="X3379" s="256"/>
    </row>
    <row r="3380" spans="24:24" x14ac:dyDescent="0.25">
      <c r="X3380" s="256"/>
    </row>
    <row r="3381" spans="24:24" x14ac:dyDescent="0.25">
      <c r="X3381" s="256"/>
    </row>
    <row r="3382" spans="24:24" x14ac:dyDescent="0.25">
      <c r="X3382" s="256"/>
    </row>
    <row r="3383" spans="24:24" x14ac:dyDescent="0.25">
      <c r="X3383" s="256"/>
    </row>
    <row r="3384" spans="24:24" x14ac:dyDescent="0.25">
      <c r="X3384" s="256"/>
    </row>
    <row r="3385" spans="24:24" x14ac:dyDescent="0.25">
      <c r="X3385" s="256"/>
    </row>
    <row r="3386" spans="24:24" x14ac:dyDescent="0.25">
      <c r="X3386" s="256"/>
    </row>
    <row r="3387" spans="24:24" x14ac:dyDescent="0.25">
      <c r="X3387" s="256"/>
    </row>
    <row r="3388" spans="24:24" x14ac:dyDescent="0.25">
      <c r="X3388" s="256"/>
    </row>
    <row r="3389" spans="24:24" x14ac:dyDescent="0.25">
      <c r="X3389" s="256"/>
    </row>
    <row r="3390" spans="24:24" x14ac:dyDescent="0.25">
      <c r="X3390" s="256"/>
    </row>
    <row r="3391" spans="24:24" x14ac:dyDescent="0.25">
      <c r="X3391" s="256"/>
    </row>
    <row r="3392" spans="24:24" x14ac:dyDescent="0.25">
      <c r="X3392" s="256"/>
    </row>
    <row r="3393" spans="24:24" x14ac:dyDescent="0.25">
      <c r="X3393" s="256"/>
    </row>
    <row r="3394" spans="24:24" x14ac:dyDescent="0.25">
      <c r="X3394" s="256"/>
    </row>
    <row r="3395" spans="24:24" x14ac:dyDescent="0.25">
      <c r="X3395" s="256"/>
    </row>
    <row r="3396" spans="24:24" x14ac:dyDescent="0.25">
      <c r="X3396" s="256"/>
    </row>
    <row r="3397" spans="24:24" x14ac:dyDescent="0.25">
      <c r="X3397" s="256"/>
    </row>
    <row r="3398" spans="24:24" x14ac:dyDescent="0.25">
      <c r="X3398" s="256"/>
    </row>
    <row r="3399" spans="24:24" x14ac:dyDescent="0.25">
      <c r="X3399" s="256"/>
    </row>
    <row r="3400" spans="24:24" x14ac:dyDescent="0.25">
      <c r="X3400" s="256"/>
    </row>
    <row r="3401" spans="24:24" x14ac:dyDescent="0.25">
      <c r="X3401" s="256"/>
    </row>
    <row r="3402" spans="24:24" x14ac:dyDescent="0.25">
      <c r="X3402" s="256"/>
    </row>
    <row r="3403" spans="24:24" x14ac:dyDescent="0.25">
      <c r="X3403" s="256"/>
    </row>
    <row r="3404" spans="24:24" x14ac:dyDescent="0.25">
      <c r="X3404" s="256"/>
    </row>
    <row r="3405" spans="24:24" x14ac:dyDescent="0.25">
      <c r="X3405" s="256"/>
    </row>
    <row r="3406" spans="24:24" x14ac:dyDescent="0.25">
      <c r="X3406" s="256"/>
    </row>
    <row r="3407" spans="24:24" x14ac:dyDescent="0.25">
      <c r="X3407" s="256"/>
    </row>
    <row r="3408" spans="24:24" x14ac:dyDescent="0.25">
      <c r="X3408" s="256"/>
    </row>
    <row r="3409" spans="24:24" x14ac:dyDescent="0.25">
      <c r="X3409" s="256"/>
    </row>
    <row r="3410" spans="24:24" x14ac:dyDescent="0.25">
      <c r="X3410" s="256"/>
    </row>
    <row r="3411" spans="24:24" x14ac:dyDescent="0.25">
      <c r="X3411" s="256"/>
    </row>
    <row r="3412" spans="24:24" x14ac:dyDescent="0.25">
      <c r="X3412" s="256"/>
    </row>
    <row r="3413" spans="24:24" x14ac:dyDescent="0.25">
      <c r="X3413" s="256"/>
    </row>
    <row r="3414" spans="24:24" x14ac:dyDescent="0.25">
      <c r="X3414" s="256"/>
    </row>
    <row r="3415" spans="24:24" x14ac:dyDescent="0.25">
      <c r="X3415" s="256"/>
    </row>
    <row r="3416" spans="24:24" x14ac:dyDescent="0.25">
      <c r="X3416" s="256"/>
    </row>
    <row r="3417" spans="24:24" x14ac:dyDescent="0.25">
      <c r="X3417" s="256"/>
    </row>
    <row r="3418" spans="24:24" x14ac:dyDescent="0.25">
      <c r="X3418" s="256"/>
    </row>
    <row r="3419" spans="24:24" x14ac:dyDescent="0.25">
      <c r="X3419" s="256"/>
    </row>
    <row r="3420" spans="24:24" x14ac:dyDescent="0.25">
      <c r="X3420" s="256"/>
    </row>
    <row r="3421" spans="24:24" x14ac:dyDescent="0.25">
      <c r="X3421" s="256"/>
    </row>
    <row r="3422" spans="24:24" x14ac:dyDescent="0.25">
      <c r="X3422" s="256"/>
    </row>
    <row r="3423" spans="24:24" x14ac:dyDescent="0.25">
      <c r="X3423" s="256"/>
    </row>
    <row r="3424" spans="24:24" x14ac:dyDescent="0.25">
      <c r="X3424" s="256"/>
    </row>
    <row r="3425" spans="24:24" x14ac:dyDescent="0.25">
      <c r="X3425" s="256"/>
    </row>
    <row r="3426" spans="24:24" x14ac:dyDescent="0.25">
      <c r="X3426" s="256"/>
    </row>
    <row r="3427" spans="24:24" x14ac:dyDescent="0.25">
      <c r="X3427" s="256"/>
    </row>
    <row r="3428" spans="24:24" x14ac:dyDescent="0.25">
      <c r="X3428" s="256"/>
    </row>
    <row r="3429" spans="24:24" x14ac:dyDescent="0.25">
      <c r="X3429" s="256"/>
    </row>
    <row r="3430" spans="24:24" x14ac:dyDescent="0.25">
      <c r="X3430" s="256"/>
    </row>
    <row r="3431" spans="24:24" x14ac:dyDescent="0.25">
      <c r="X3431" s="256"/>
    </row>
    <row r="3432" spans="24:24" x14ac:dyDescent="0.25">
      <c r="X3432" s="256"/>
    </row>
    <row r="3433" spans="24:24" x14ac:dyDescent="0.25">
      <c r="X3433" s="256"/>
    </row>
    <row r="3434" spans="24:24" x14ac:dyDescent="0.25">
      <c r="X3434" s="256"/>
    </row>
    <row r="3435" spans="24:24" x14ac:dyDescent="0.25">
      <c r="X3435" s="256"/>
    </row>
    <row r="3436" spans="24:24" x14ac:dyDescent="0.25">
      <c r="X3436" s="256"/>
    </row>
    <row r="3437" spans="24:24" x14ac:dyDescent="0.25">
      <c r="X3437" s="256"/>
    </row>
    <row r="3438" spans="24:24" x14ac:dyDescent="0.25">
      <c r="X3438" s="256"/>
    </row>
    <row r="3439" spans="24:24" x14ac:dyDescent="0.25">
      <c r="X3439" s="256"/>
    </row>
    <row r="3440" spans="24:24" x14ac:dyDescent="0.25">
      <c r="X3440" s="256"/>
    </row>
    <row r="3441" spans="24:24" x14ac:dyDescent="0.25">
      <c r="X3441" s="256"/>
    </row>
    <row r="3442" spans="24:24" x14ac:dyDescent="0.25">
      <c r="X3442" s="256"/>
    </row>
    <row r="3443" spans="24:24" x14ac:dyDescent="0.25">
      <c r="X3443" s="256"/>
    </row>
    <row r="3444" spans="24:24" x14ac:dyDescent="0.25">
      <c r="X3444" s="256"/>
    </row>
    <row r="3445" spans="24:24" x14ac:dyDescent="0.25">
      <c r="X3445" s="256"/>
    </row>
    <row r="3446" spans="24:24" x14ac:dyDescent="0.25">
      <c r="X3446" s="256"/>
    </row>
    <row r="3447" spans="24:24" x14ac:dyDescent="0.25">
      <c r="X3447" s="256"/>
    </row>
    <row r="3448" spans="24:24" x14ac:dyDescent="0.25">
      <c r="X3448" s="256"/>
    </row>
    <row r="3449" spans="24:24" x14ac:dyDescent="0.25">
      <c r="X3449" s="256"/>
    </row>
    <row r="3450" spans="24:24" x14ac:dyDescent="0.25">
      <c r="X3450" s="256"/>
    </row>
    <row r="3451" spans="24:24" x14ac:dyDescent="0.25">
      <c r="X3451" s="256"/>
    </row>
    <row r="3452" spans="24:24" x14ac:dyDescent="0.25">
      <c r="X3452" s="256"/>
    </row>
    <row r="3453" spans="24:24" x14ac:dyDescent="0.25">
      <c r="X3453" s="256"/>
    </row>
    <row r="3454" spans="24:24" x14ac:dyDescent="0.25">
      <c r="X3454" s="256"/>
    </row>
    <row r="3455" spans="24:24" x14ac:dyDescent="0.25">
      <c r="X3455" s="256"/>
    </row>
    <row r="3456" spans="24:24" x14ac:dyDescent="0.25">
      <c r="X3456" s="256"/>
    </row>
    <row r="3457" spans="24:24" x14ac:dyDescent="0.25">
      <c r="X3457" s="256"/>
    </row>
    <row r="3458" spans="24:24" x14ac:dyDescent="0.25">
      <c r="X3458" s="256"/>
    </row>
    <row r="3459" spans="24:24" x14ac:dyDescent="0.25">
      <c r="X3459" s="256"/>
    </row>
    <row r="3460" spans="24:24" x14ac:dyDescent="0.25">
      <c r="X3460" s="256"/>
    </row>
    <row r="3461" spans="24:24" x14ac:dyDescent="0.25">
      <c r="X3461" s="256"/>
    </row>
    <row r="3462" spans="24:24" x14ac:dyDescent="0.25">
      <c r="X3462" s="256"/>
    </row>
    <row r="3463" spans="24:24" x14ac:dyDescent="0.25">
      <c r="X3463" s="256"/>
    </row>
    <row r="3464" spans="24:24" x14ac:dyDescent="0.25">
      <c r="X3464" s="256"/>
    </row>
    <row r="3465" spans="24:24" x14ac:dyDescent="0.25">
      <c r="X3465" s="256"/>
    </row>
    <row r="3466" spans="24:24" x14ac:dyDescent="0.25">
      <c r="X3466" s="256"/>
    </row>
    <row r="3467" spans="24:24" x14ac:dyDescent="0.25">
      <c r="X3467" s="256"/>
    </row>
    <row r="3468" spans="24:24" x14ac:dyDescent="0.25">
      <c r="X3468" s="256"/>
    </row>
    <row r="3469" spans="24:24" x14ac:dyDescent="0.25">
      <c r="X3469" s="256"/>
    </row>
    <row r="3470" spans="24:24" x14ac:dyDescent="0.25">
      <c r="X3470" s="256"/>
    </row>
    <row r="3471" spans="24:24" x14ac:dyDescent="0.25">
      <c r="X3471" s="256"/>
    </row>
    <row r="3472" spans="24:24" x14ac:dyDescent="0.25">
      <c r="X3472" s="256"/>
    </row>
    <row r="3473" spans="24:24" x14ac:dyDescent="0.25">
      <c r="X3473" s="256"/>
    </row>
    <row r="3474" spans="24:24" x14ac:dyDescent="0.25">
      <c r="X3474" s="256"/>
    </row>
    <row r="3475" spans="24:24" x14ac:dyDescent="0.25">
      <c r="X3475" s="256"/>
    </row>
    <row r="3476" spans="24:24" x14ac:dyDescent="0.25">
      <c r="X3476" s="256"/>
    </row>
    <row r="3477" spans="24:24" x14ac:dyDescent="0.25">
      <c r="X3477" s="256"/>
    </row>
    <row r="3478" spans="24:24" x14ac:dyDescent="0.25">
      <c r="X3478" s="256"/>
    </row>
    <row r="3479" spans="24:24" x14ac:dyDescent="0.25">
      <c r="X3479" s="256"/>
    </row>
    <row r="3480" spans="24:24" x14ac:dyDescent="0.25">
      <c r="X3480" s="256"/>
    </row>
    <row r="3481" spans="24:24" x14ac:dyDescent="0.25">
      <c r="X3481" s="256"/>
    </row>
    <row r="3482" spans="24:24" x14ac:dyDescent="0.25">
      <c r="X3482" s="256"/>
    </row>
    <row r="3483" spans="24:24" x14ac:dyDescent="0.25">
      <c r="X3483" s="256"/>
    </row>
    <row r="3484" spans="24:24" x14ac:dyDescent="0.25">
      <c r="X3484" s="256"/>
    </row>
    <row r="3485" spans="24:24" x14ac:dyDescent="0.25">
      <c r="X3485" s="256"/>
    </row>
    <row r="3486" spans="24:24" x14ac:dyDescent="0.25">
      <c r="X3486" s="256"/>
    </row>
    <row r="3487" spans="24:24" x14ac:dyDescent="0.25">
      <c r="X3487" s="256"/>
    </row>
    <row r="3488" spans="24:24" x14ac:dyDescent="0.25">
      <c r="X3488" s="256"/>
    </row>
    <row r="3489" spans="24:24" x14ac:dyDescent="0.25">
      <c r="X3489" s="256"/>
    </row>
    <row r="3490" spans="24:24" x14ac:dyDescent="0.25">
      <c r="X3490" s="256"/>
    </row>
    <row r="3491" spans="24:24" x14ac:dyDescent="0.25">
      <c r="X3491" s="256"/>
    </row>
    <row r="3492" spans="24:24" x14ac:dyDescent="0.25">
      <c r="X3492" s="256"/>
    </row>
    <row r="3493" spans="24:24" x14ac:dyDescent="0.25">
      <c r="X3493" s="256"/>
    </row>
    <row r="3494" spans="24:24" x14ac:dyDescent="0.25">
      <c r="X3494" s="256"/>
    </row>
    <row r="3495" spans="24:24" x14ac:dyDescent="0.25">
      <c r="X3495" s="256"/>
    </row>
    <row r="3496" spans="24:24" x14ac:dyDescent="0.25">
      <c r="X3496" s="256"/>
    </row>
    <row r="3497" spans="24:24" x14ac:dyDescent="0.25">
      <c r="X3497" s="256"/>
    </row>
    <row r="3498" spans="24:24" x14ac:dyDescent="0.25">
      <c r="X3498" s="256"/>
    </row>
    <row r="3499" spans="24:24" x14ac:dyDescent="0.25">
      <c r="X3499" s="256"/>
    </row>
    <row r="3500" spans="24:24" x14ac:dyDescent="0.25">
      <c r="X3500" s="256"/>
    </row>
    <row r="3501" spans="24:24" x14ac:dyDescent="0.25">
      <c r="X3501" s="256"/>
    </row>
    <row r="3502" spans="24:24" x14ac:dyDescent="0.25">
      <c r="X3502" s="256"/>
    </row>
    <row r="3503" spans="24:24" x14ac:dyDescent="0.25">
      <c r="X3503" s="256"/>
    </row>
    <row r="3504" spans="24:24" x14ac:dyDescent="0.25">
      <c r="X3504" s="256"/>
    </row>
    <row r="3505" spans="24:24" x14ac:dyDescent="0.25">
      <c r="X3505" s="256"/>
    </row>
    <row r="3506" spans="24:24" x14ac:dyDescent="0.25">
      <c r="X3506" s="256"/>
    </row>
    <row r="3507" spans="24:24" x14ac:dyDescent="0.25">
      <c r="X3507" s="256"/>
    </row>
    <row r="3508" spans="24:24" x14ac:dyDescent="0.25">
      <c r="X3508" s="256"/>
    </row>
    <row r="3509" spans="24:24" x14ac:dyDescent="0.25">
      <c r="X3509" s="256"/>
    </row>
    <row r="3510" spans="24:24" x14ac:dyDescent="0.25">
      <c r="X3510" s="256"/>
    </row>
    <row r="3511" spans="24:24" x14ac:dyDescent="0.25">
      <c r="X3511" s="256"/>
    </row>
    <row r="3512" spans="24:24" x14ac:dyDescent="0.25">
      <c r="X3512" s="256"/>
    </row>
    <row r="3513" spans="24:24" x14ac:dyDescent="0.25">
      <c r="X3513" s="256"/>
    </row>
    <row r="3514" spans="24:24" x14ac:dyDescent="0.25">
      <c r="X3514" s="256"/>
    </row>
    <row r="3515" spans="24:24" x14ac:dyDescent="0.25">
      <c r="X3515" s="256"/>
    </row>
    <row r="3516" spans="24:24" x14ac:dyDescent="0.25">
      <c r="X3516" s="256"/>
    </row>
    <row r="3517" spans="24:24" x14ac:dyDescent="0.25">
      <c r="X3517" s="256"/>
    </row>
    <row r="3518" spans="24:24" x14ac:dyDescent="0.25">
      <c r="X3518" s="256"/>
    </row>
    <row r="3519" spans="24:24" x14ac:dyDescent="0.25">
      <c r="X3519" s="256"/>
    </row>
    <row r="3520" spans="24:24" x14ac:dyDescent="0.25">
      <c r="X3520" s="256"/>
    </row>
    <row r="3521" spans="24:24" x14ac:dyDescent="0.25">
      <c r="X3521" s="256"/>
    </row>
    <row r="3522" spans="24:24" x14ac:dyDescent="0.25">
      <c r="X3522" s="256"/>
    </row>
    <row r="3523" spans="24:24" x14ac:dyDescent="0.25">
      <c r="X3523" s="256"/>
    </row>
    <row r="3524" spans="24:24" x14ac:dyDescent="0.25">
      <c r="X3524" s="256"/>
    </row>
    <row r="3525" spans="24:24" x14ac:dyDescent="0.25">
      <c r="X3525" s="256"/>
    </row>
    <row r="3526" spans="24:24" x14ac:dyDescent="0.25">
      <c r="X3526" s="256"/>
    </row>
    <row r="3527" spans="24:24" x14ac:dyDescent="0.25">
      <c r="X3527" s="256"/>
    </row>
    <row r="3528" spans="24:24" x14ac:dyDescent="0.25">
      <c r="X3528" s="256"/>
    </row>
    <row r="3529" spans="24:24" x14ac:dyDescent="0.25">
      <c r="X3529" s="256"/>
    </row>
    <row r="3530" spans="24:24" x14ac:dyDescent="0.25">
      <c r="X3530" s="256"/>
    </row>
    <row r="3531" spans="24:24" x14ac:dyDescent="0.25">
      <c r="X3531" s="256"/>
    </row>
    <row r="3532" spans="24:24" x14ac:dyDescent="0.25">
      <c r="X3532" s="256"/>
    </row>
    <row r="3533" spans="24:24" x14ac:dyDescent="0.25">
      <c r="X3533" s="256"/>
    </row>
    <row r="3534" spans="24:24" x14ac:dyDescent="0.25">
      <c r="X3534" s="256"/>
    </row>
    <row r="3535" spans="24:24" x14ac:dyDescent="0.25">
      <c r="X3535" s="256"/>
    </row>
    <row r="3536" spans="24:24" x14ac:dyDescent="0.25">
      <c r="X3536" s="256"/>
    </row>
    <row r="3537" spans="24:24" x14ac:dyDescent="0.25">
      <c r="X3537" s="256"/>
    </row>
    <row r="3538" spans="24:24" x14ac:dyDescent="0.25">
      <c r="X3538" s="256"/>
    </row>
    <row r="3539" spans="24:24" x14ac:dyDescent="0.25">
      <c r="X3539" s="256"/>
    </row>
    <row r="3540" spans="24:24" x14ac:dyDescent="0.25">
      <c r="X3540" s="256"/>
    </row>
    <row r="3541" spans="24:24" x14ac:dyDescent="0.25">
      <c r="X3541" s="256"/>
    </row>
    <row r="3542" spans="24:24" x14ac:dyDescent="0.25">
      <c r="X3542" s="256"/>
    </row>
    <row r="3543" spans="24:24" x14ac:dyDescent="0.25">
      <c r="X3543" s="256"/>
    </row>
    <row r="3544" spans="24:24" x14ac:dyDescent="0.25">
      <c r="X3544" s="256"/>
    </row>
    <row r="3545" spans="24:24" x14ac:dyDescent="0.25">
      <c r="X3545" s="256"/>
    </row>
    <row r="3546" spans="24:24" x14ac:dyDescent="0.25">
      <c r="X3546" s="256"/>
    </row>
    <row r="3547" spans="24:24" x14ac:dyDescent="0.25">
      <c r="X3547" s="256"/>
    </row>
    <row r="3548" spans="24:24" x14ac:dyDescent="0.25">
      <c r="X3548" s="256"/>
    </row>
    <row r="3549" spans="24:24" x14ac:dyDescent="0.25">
      <c r="X3549" s="256"/>
    </row>
    <row r="3550" spans="24:24" x14ac:dyDescent="0.25">
      <c r="X3550" s="256"/>
    </row>
    <row r="3551" spans="24:24" x14ac:dyDescent="0.25">
      <c r="X3551" s="256"/>
    </row>
    <row r="3552" spans="24:24" x14ac:dyDescent="0.25">
      <c r="X3552" s="256"/>
    </row>
    <row r="3553" spans="24:24" x14ac:dyDescent="0.25">
      <c r="X3553" s="256"/>
    </row>
    <row r="3554" spans="24:24" x14ac:dyDescent="0.25">
      <c r="X3554" s="256"/>
    </row>
    <row r="3555" spans="24:24" x14ac:dyDescent="0.25">
      <c r="X3555" s="256"/>
    </row>
    <row r="3556" spans="24:24" x14ac:dyDescent="0.25">
      <c r="X3556" s="256"/>
    </row>
    <row r="3557" spans="24:24" x14ac:dyDescent="0.25">
      <c r="X3557" s="256"/>
    </row>
    <row r="3558" spans="24:24" x14ac:dyDescent="0.25">
      <c r="X3558" s="256"/>
    </row>
    <row r="3559" spans="24:24" x14ac:dyDescent="0.25">
      <c r="X3559" s="256"/>
    </row>
    <row r="3560" spans="24:24" x14ac:dyDescent="0.25">
      <c r="X3560" s="256"/>
    </row>
    <row r="3561" spans="24:24" x14ac:dyDescent="0.25">
      <c r="X3561" s="256"/>
    </row>
    <row r="3562" spans="24:24" x14ac:dyDescent="0.25">
      <c r="X3562" s="256"/>
    </row>
    <row r="3563" spans="24:24" x14ac:dyDescent="0.25">
      <c r="X3563" s="256"/>
    </row>
    <row r="3564" spans="24:24" x14ac:dyDescent="0.25">
      <c r="X3564" s="256"/>
    </row>
    <row r="3565" spans="24:24" x14ac:dyDescent="0.25">
      <c r="X3565" s="256"/>
    </row>
    <row r="3566" spans="24:24" x14ac:dyDescent="0.25">
      <c r="X3566" s="256"/>
    </row>
    <row r="3567" spans="24:24" x14ac:dyDescent="0.25">
      <c r="X3567" s="256"/>
    </row>
    <row r="3568" spans="24:24" x14ac:dyDescent="0.25">
      <c r="X3568" s="256"/>
    </row>
    <row r="3569" spans="24:24" x14ac:dyDescent="0.25">
      <c r="X3569" s="256"/>
    </row>
    <row r="3570" spans="24:24" x14ac:dyDescent="0.25">
      <c r="X3570" s="256"/>
    </row>
    <row r="3571" spans="24:24" x14ac:dyDescent="0.25">
      <c r="X3571" s="256"/>
    </row>
    <row r="3572" spans="24:24" x14ac:dyDescent="0.25">
      <c r="X3572" s="256"/>
    </row>
    <row r="3573" spans="24:24" x14ac:dyDescent="0.25">
      <c r="X3573" s="256"/>
    </row>
    <row r="3574" spans="24:24" x14ac:dyDescent="0.25">
      <c r="X3574" s="256"/>
    </row>
    <row r="3575" spans="24:24" x14ac:dyDescent="0.25">
      <c r="X3575" s="256"/>
    </row>
    <row r="3576" spans="24:24" x14ac:dyDescent="0.25">
      <c r="X3576" s="256"/>
    </row>
    <row r="3577" spans="24:24" x14ac:dyDescent="0.25">
      <c r="X3577" s="256"/>
    </row>
    <row r="3578" spans="24:24" x14ac:dyDescent="0.25">
      <c r="X3578" s="256"/>
    </row>
    <row r="3579" spans="24:24" x14ac:dyDescent="0.25">
      <c r="X3579" s="256"/>
    </row>
    <row r="3580" spans="24:24" x14ac:dyDescent="0.25">
      <c r="X3580" s="256"/>
    </row>
    <row r="3581" spans="24:24" x14ac:dyDescent="0.25">
      <c r="X3581" s="256"/>
    </row>
    <row r="3582" spans="24:24" x14ac:dyDescent="0.25">
      <c r="X3582" s="256"/>
    </row>
    <row r="3583" spans="24:24" x14ac:dyDescent="0.25">
      <c r="X3583" s="256"/>
    </row>
    <row r="3584" spans="24:24" x14ac:dyDescent="0.25">
      <c r="X3584" s="256"/>
    </row>
    <row r="3585" spans="24:24" x14ac:dyDescent="0.25">
      <c r="X3585" s="256"/>
    </row>
    <row r="3586" spans="24:24" x14ac:dyDescent="0.25">
      <c r="X3586" s="256"/>
    </row>
    <row r="3587" spans="24:24" x14ac:dyDescent="0.25">
      <c r="X3587" s="256"/>
    </row>
    <row r="3588" spans="24:24" x14ac:dyDescent="0.25">
      <c r="X3588" s="256"/>
    </row>
    <row r="3589" spans="24:24" x14ac:dyDescent="0.25">
      <c r="X3589" s="256"/>
    </row>
    <row r="3590" spans="24:24" x14ac:dyDescent="0.25">
      <c r="X3590" s="256"/>
    </row>
    <row r="3591" spans="24:24" x14ac:dyDescent="0.25">
      <c r="X3591" s="256"/>
    </row>
    <row r="3592" spans="24:24" x14ac:dyDescent="0.25">
      <c r="X3592" s="256"/>
    </row>
    <row r="3593" spans="24:24" x14ac:dyDescent="0.25">
      <c r="X3593" s="256"/>
    </row>
    <row r="3594" spans="24:24" x14ac:dyDescent="0.25">
      <c r="X3594" s="256"/>
    </row>
    <row r="3595" spans="24:24" x14ac:dyDescent="0.25">
      <c r="X3595" s="256"/>
    </row>
    <row r="3596" spans="24:24" x14ac:dyDescent="0.25">
      <c r="X3596" s="256"/>
    </row>
    <row r="3597" spans="24:24" x14ac:dyDescent="0.25">
      <c r="X3597" s="256"/>
    </row>
    <row r="3598" spans="24:24" x14ac:dyDescent="0.25">
      <c r="X3598" s="256"/>
    </row>
    <row r="3599" spans="24:24" x14ac:dyDescent="0.25">
      <c r="X3599" s="256"/>
    </row>
    <row r="3600" spans="24:24" x14ac:dyDescent="0.25">
      <c r="X3600" s="256"/>
    </row>
    <row r="3601" spans="24:24" x14ac:dyDescent="0.25">
      <c r="X3601" s="256"/>
    </row>
    <row r="3602" spans="24:24" x14ac:dyDescent="0.25">
      <c r="X3602" s="256"/>
    </row>
    <row r="3603" spans="24:24" x14ac:dyDescent="0.25">
      <c r="X3603" s="256"/>
    </row>
    <row r="3604" spans="24:24" x14ac:dyDescent="0.25">
      <c r="X3604" s="256"/>
    </row>
    <row r="3605" spans="24:24" x14ac:dyDescent="0.25">
      <c r="X3605" s="256"/>
    </row>
    <row r="3606" spans="24:24" x14ac:dyDescent="0.25">
      <c r="X3606" s="256"/>
    </row>
    <row r="3607" spans="24:24" x14ac:dyDescent="0.25">
      <c r="X3607" s="256"/>
    </row>
    <row r="3608" spans="24:24" x14ac:dyDescent="0.25">
      <c r="X3608" s="256"/>
    </row>
    <row r="3609" spans="24:24" x14ac:dyDescent="0.25">
      <c r="X3609" s="256"/>
    </row>
    <row r="3610" spans="24:24" x14ac:dyDescent="0.25">
      <c r="X3610" s="256"/>
    </row>
    <row r="3611" spans="24:24" x14ac:dyDescent="0.25">
      <c r="X3611" s="256"/>
    </row>
    <row r="3612" spans="24:24" x14ac:dyDescent="0.25">
      <c r="X3612" s="256"/>
    </row>
    <row r="3613" spans="24:24" x14ac:dyDescent="0.25">
      <c r="X3613" s="256"/>
    </row>
    <row r="3614" spans="24:24" x14ac:dyDescent="0.25">
      <c r="X3614" s="256"/>
    </row>
    <row r="3615" spans="24:24" x14ac:dyDescent="0.25">
      <c r="X3615" s="256"/>
    </row>
    <row r="3616" spans="24:24" x14ac:dyDescent="0.25">
      <c r="X3616" s="256"/>
    </row>
    <row r="3617" spans="24:24" x14ac:dyDescent="0.25">
      <c r="X3617" s="256"/>
    </row>
    <row r="3618" spans="24:24" x14ac:dyDescent="0.25">
      <c r="X3618" s="256"/>
    </row>
    <row r="3619" spans="24:24" x14ac:dyDescent="0.25">
      <c r="X3619" s="256"/>
    </row>
    <row r="3620" spans="24:24" x14ac:dyDescent="0.25">
      <c r="X3620" s="256"/>
    </row>
    <row r="3621" spans="24:24" x14ac:dyDescent="0.25">
      <c r="X3621" s="256"/>
    </row>
    <row r="3622" spans="24:24" x14ac:dyDescent="0.25">
      <c r="X3622" s="256"/>
    </row>
    <row r="3623" spans="24:24" x14ac:dyDescent="0.25">
      <c r="X3623" s="256"/>
    </row>
    <row r="3624" spans="24:24" x14ac:dyDescent="0.25">
      <c r="X3624" s="256"/>
    </row>
    <row r="3625" spans="24:24" x14ac:dyDescent="0.25">
      <c r="X3625" s="256"/>
    </row>
    <row r="3626" spans="24:24" x14ac:dyDescent="0.25">
      <c r="X3626" s="256"/>
    </row>
    <row r="3627" spans="24:24" x14ac:dyDescent="0.25">
      <c r="X3627" s="256"/>
    </row>
    <row r="3628" spans="24:24" x14ac:dyDescent="0.25">
      <c r="X3628" s="256"/>
    </row>
    <row r="3629" spans="24:24" x14ac:dyDescent="0.25">
      <c r="X3629" s="256"/>
    </row>
    <row r="3630" spans="24:24" x14ac:dyDescent="0.25">
      <c r="X3630" s="256"/>
    </row>
    <row r="3631" spans="24:24" x14ac:dyDescent="0.25">
      <c r="X3631" s="256"/>
    </row>
    <row r="3632" spans="24:24" x14ac:dyDescent="0.25">
      <c r="X3632" s="256"/>
    </row>
    <row r="3633" spans="24:24" x14ac:dyDescent="0.25">
      <c r="X3633" s="256"/>
    </row>
    <row r="3634" spans="24:24" x14ac:dyDescent="0.25">
      <c r="X3634" s="256"/>
    </row>
    <row r="3635" spans="24:24" x14ac:dyDescent="0.25">
      <c r="X3635" s="256"/>
    </row>
    <row r="3636" spans="24:24" x14ac:dyDescent="0.25">
      <c r="X3636" s="256"/>
    </row>
    <row r="3637" spans="24:24" x14ac:dyDescent="0.25">
      <c r="X3637" s="256"/>
    </row>
    <row r="3638" spans="24:24" x14ac:dyDescent="0.25">
      <c r="X3638" s="256"/>
    </row>
    <row r="3639" spans="24:24" x14ac:dyDescent="0.25">
      <c r="X3639" s="256"/>
    </row>
    <row r="3640" spans="24:24" x14ac:dyDescent="0.25">
      <c r="X3640" s="256"/>
    </row>
    <row r="3641" spans="24:24" x14ac:dyDescent="0.25">
      <c r="X3641" s="256"/>
    </row>
    <row r="3642" spans="24:24" x14ac:dyDescent="0.25">
      <c r="X3642" s="256"/>
    </row>
    <row r="3643" spans="24:24" x14ac:dyDescent="0.25">
      <c r="X3643" s="256"/>
    </row>
    <row r="3644" spans="24:24" x14ac:dyDescent="0.25">
      <c r="X3644" s="256"/>
    </row>
    <row r="3645" spans="24:24" x14ac:dyDescent="0.25">
      <c r="X3645" s="256"/>
    </row>
    <row r="3646" spans="24:24" x14ac:dyDescent="0.25">
      <c r="X3646" s="256"/>
    </row>
    <row r="3647" spans="24:24" x14ac:dyDescent="0.25">
      <c r="X3647" s="256"/>
    </row>
    <row r="3648" spans="24:24" x14ac:dyDescent="0.25">
      <c r="X3648" s="256"/>
    </row>
    <row r="3649" spans="24:24" x14ac:dyDescent="0.25">
      <c r="X3649" s="256"/>
    </row>
    <row r="3650" spans="24:24" x14ac:dyDescent="0.25">
      <c r="X3650" s="256"/>
    </row>
    <row r="3651" spans="24:24" x14ac:dyDescent="0.25">
      <c r="X3651" s="256"/>
    </row>
    <row r="3652" spans="24:24" x14ac:dyDescent="0.25">
      <c r="X3652" s="256"/>
    </row>
    <row r="3653" spans="24:24" x14ac:dyDescent="0.25">
      <c r="X3653" s="256"/>
    </row>
    <row r="3654" spans="24:24" x14ac:dyDescent="0.25">
      <c r="X3654" s="256"/>
    </row>
    <row r="3655" spans="24:24" x14ac:dyDescent="0.25">
      <c r="X3655" s="256"/>
    </row>
    <row r="3656" spans="24:24" x14ac:dyDescent="0.25">
      <c r="X3656" s="256"/>
    </row>
    <row r="3657" spans="24:24" x14ac:dyDescent="0.25">
      <c r="X3657" s="256"/>
    </row>
    <row r="3658" spans="24:24" x14ac:dyDescent="0.25">
      <c r="X3658" s="256"/>
    </row>
    <row r="3659" spans="24:24" x14ac:dyDescent="0.25">
      <c r="X3659" s="256"/>
    </row>
    <row r="3660" spans="24:24" x14ac:dyDescent="0.25">
      <c r="X3660" s="256"/>
    </row>
    <row r="3661" spans="24:24" x14ac:dyDescent="0.25">
      <c r="X3661" s="256"/>
    </row>
    <row r="3662" spans="24:24" x14ac:dyDescent="0.25">
      <c r="X3662" s="256"/>
    </row>
    <row r="3663" spans="24:24" x14ac:dyDescent="0.25">
      <c r="X3663" s="256"/>
    </row>
    <row r="3664" spans="24:24" x14ac:dyDescent="0.25">
      <c r="X3664" s="256"/>
    </row>
    <row r="3665" spans="24:24" x14ac:dyDescent="0.25">
      <c r="X3665" s="256"/>
    </row>
    <row r="3666" spans="24:24" x14ac:dyDescent="0.25">
      <c r="X3666" s="256"/>
    </row>
    <row r="3667" spans="24:24" x14ac:dyDescent="0.25">
      <c r="X3667" s="256"/>
    </row>
    <row r="3668" spans="24:24" x14ac:dyDescent="0.25">
      <c r="X3668" s="256"/>
    </row>
    <row r="3669" spans="24:24" x14ac:dyDescent="0.25">
      <c r="X3669" s="256"/>
    </row>
    <row r="3670" spans="24:24" x14ac:dyDescent="0.25">
      <c r="X3670" s="256"/>
    </row>
    <row r="3671" spans="24:24" x14ac:dyDescent="0.25">
      <c r="X3671" s="256"/>
    </row>
    <row r="3672" spans="24:24" x14ac:dyDescent="0.25">
      <c r="X3672" s="256"/>
    </row>
    <row r="3673" spans="24:24" x14ac:dyDescent="0.25">
      <c r="X3673" s="256"/>
    </row>
    <row r="3674" spans="24:24" x14ac:dyDescent="0.25">
      <c r="X3674" s="256"/>
    </row>
    <row r="3675" spans="24:24" x14ac:dyDescent="0.25">
      <c r="X3675" s="256"/>
    </row>
    <row r="3676" spans="24:24" x14ac:dyDescent="0.25">
      <c r="X3676" s="256"/>
    </row>
    <row r="3677" spans="24:24" x14ac:dyDescent="0.25">
      <c r="X3677" s="256"/>
    </row>
    <row r="3678" spans="24:24" x14ac:dyDescent="0.25">
      <c r="X3678" s="256"/>
    </row>
    <row r="3679" spans="24:24" x14ac:dyDescent="0.25">
      <c r="X3679" s="256"/>
    </row>
    <row r="3680" spans="24:24" x14ac:dyDescent="0.25">
      <c r="X3680" s="256"/>
    </row>
    <row r="3681" spans="24:24" x14ac:dyDescent="0.25">
      <c r="X3681" s="256"/>
    </row>
    <row r="3682" spans="24:24" x14ac:dyDescent="0.25">
      <c r="X3682" s="256"/>
    </row>
    <row r="3683" spans="24:24" x14ac:dyDescent="0.25">
      <c r="X3683" s="256"/>
    </row>
    <row r="3684" spans="24:24" x14ac:dyDescent="0.25">
      <c r="X3684" s="256"/>
    </row>
    <row r="3685" spans="24:24" x14ac:dyDescent="0.25">
      <c r="X3685" s="256"/>
    </row>
    <row r="3686" spans="24:24" x14ac:dyDescent="0.25">
      <c r="X3686" s="256"/>
    </row>
    <row r="3687" spans="24:24" x14ac:dyDescent="0.25">
      <c r="X3687" s="256"/>
    </row>
    <row r="3688" spans="24:24" x14ac:dyDescent="0.25">
      <c r="X3688" s="256"/>
    </row>
    <row r="3689" spans="24:24" x14ac:dyDescent="0.25">
      <c r="X3689" s="256"/>
    </row>
    <row r="3690" spans="24:24" x14ac:dyDescent="0.25">
      <c r="X3690" s="256"/>
    </row>
    <row r="3691" spans="24:24" x14ac:dyDescent="0.25">
      <c r="X3691" s="256"/>
    </row>
    <row r="3692" spans="24:24" x14ac:dyDescent="0.25">
      <c r="X3692" s="256"/>
    </row>
    <row r="3693" spans="24:24" x14ac:dyDescent="0.25">
      <c r="X3693" s="256"/>
    </row>
    <row r="3694" spans="24:24" x14ac:dyDescent="0.25">
      <c r="X3694" s="256"/>
    </row>
    <row r="3695" spans="24:24" x14ac:dyDescent="0.25">
      <c r="X3695" s="256"/>
    </row>
    <row r="3696" spans="24:24" x14ac:dyDescent="0.25">
      <c r="X3696" s="256"/>
    </row>
    <row r="3697" spans="24:24" x14ac:dyDescent="0.25">
      <c r="X3697" s="256"/>
    </row>
    <row r="3698" spans="24:24" x14ac:dyDescent="0.25">
      <c r="X3698" s="256"/>
    </row>
    <row r="3699" spans="24:24" x14ac:dyDescent="0.25">
      <c r="X3699" s="256"/>
    </row>
    <row r="3700" spans="24:24" x14ac:dyDescent="0.25">
      <c r="X3700" s="256"/>
    </row>
    <row r="3701" spans="24:24" x14ac:dyDescent="0.25">
      <c r="X3701" s="256"/>
    </row>
    <row r="3702" spans="24:24" x14ac:dyDescent="0.25">
      <c r="X3702" s="256"/>
    </row>
    <row r="3703" spans="24:24" x14ac:dyDescent="0.25">
      <c r="X3703" s="256"/>
    </row>
    <row r="3704" spans="24:24" x14ac:dyDescent="0.25">
      <c r="X3704" s="256"/>
    </row>
    <row r="3705" spans="24:24" x14ac:dyDescent="0.25">
      <c r="X3705" s="256"/>
    </row>
    <row r="3706" spans="24:24" x14ac:dyDescent="0.25">
      <c r="X3706" s="256"/>
    </row>
    <row r="3707" spans="24:24" x14ac:dyDescent="0.25">
      <c r="X3707" s="256"/>
    </row>
    <row r="3708" spans="24:24" x14ac:dyDescent="0.25">
      <c r="X3708" s="256"/>
    </row>
    <row r="3709" spans="24:24" x14ac:dyDescent="0.25">
      <c r="X3709" s="256"/>
    </row>
    <row r="3710" spans="24:24" x14ac:dyDescent="0.25">
      <c r="X3710" s="256"/>
    </row>
    <row r="3711" spans="24:24" x14ac:dyDescent="0.25">
      <c r="X3711" s="256"/>
    </row>
    <row r="3712" spans="24:24" x14ac:dyDescent="0.25">
      <c r="X3712" s="256"/>
    </row>
    <row r="3713" spans="24:24" x14ac:dyDescent="0.25">
      <c r="X3713" s="256"/>
    </row>
    <row r="3714" spans="24:24" x14ac:dyDescent="0.25">
      <c r="X3714" s="256"/>
    </row>
    <row r="3715" spans="24:24" x14ac:dyDescent="0.25">
      <c r="X3715" s="256"/>
    </row>
    <row r="3716" spans="24:24" x14ac:dyDescent="0.25">
      <c r="X3716" s="256"/>
    </row>
    <row r="3717" spans="24:24" x14ac:dyDescent="0.25">
      <c r="X3717" s="256"/>
    </row>
    <row r="3718" spans="24:24" x14ac:dyDescent="0.25">
      <c r="X3718" s="256"/>
    </row>
    <row r="3719" spans="24:24" x14ac:dyDescent="0.25">
      <c r="X3719" s="256"/>
    </row>
    <row r="3720" spans="24:24" x14ac:dyDescent="0.25">
      <c r="X3720" s="256"/>
    </row>
    <row r="3721" spans="24:24" x14ac:dyDescent="0.25">
      <c r="X3721" s="256"/>
    </row>
    <row r="3722" spans="24:24" x14ac:dyDescent="0.25">
      <c r="X3722" s="256"/>
    </row>
    <row r="3723" spans="24:24" x14ac:dyDescent="0.25">
      <c r="X3723" s="256"/>
    </row>
    <row r="3724" spans="24:24" x14ac:dyDescent="0.25">
      <c r="X3724" s="256"/>
    </row>
    <row r="3725" spans="24:24" x14ac:dyDescent="0.25">
      <c r="X3725" s="256"/>
    </row>
    <row r="3726" spans="24:24" x14ac:dyDescent="0.25">
      <c r="X3726" s="256"/>
    </row>
    <row r="3727" spans="24:24" x14ac:dyDescent="0.25">
      <c r="X3727" s="256"/>
    </row>
    <row r="3728" spans="24:24" x14ac:dyDescent="0.25">
      <c r="X3728" s="256"/>
    </row>
    <row r="3729" spans="24:24" x14ac:dyDescent="0.25">
      <c r="X3729" s="256"/>
    </row>
    <row r="3730" spans="24:24" x14ac:dyDescent="0.25">
      <c r="X3730" s="256"/>
    </row>
    <row r="3731" spans="24:24" x14ac:dyDescent="0.25">
      <c r="X3731" s="256"/>
    </row>
    <row r="3732" spans="24:24" x14ac:dyDescent="0.25">
      <c r="X3732" s="256"/>
    </row>
    <row r="3733" spans="24:24" x14ac:dyDescent="0.25">
      <c r="X3733" s="256"/>
    </row>
    <row r="3734" spans="24:24" x14ac:dyDescent="0.25">
      <c r="X3734" s="256"/>
    </row>
    <row r="3735" spans="24:24" x14ac:dyDescent="0.25">
      <c r="X3735" s="256"/>
    </row>
    <row r="3736" spans="24:24" x14ac:dyDescent="0.25">
      <c r="X3736" s="256"/>
    </row>
    <row r="3737" spans="24:24" x14ac:dyDescent="0.25">
      <c r="X3737" s="256"/>
    </row>
    <row r="3738" spans="24:24" x14ac:dyDescent="0.25">
      <c r="X3738" s="256"/>
    </row>
    <row r="3739" spans="24:24" x14ac:dyDescent="0.25">
      <c r="X3739" s="256"/>
    </row>
    <row r="3740" spans="24:24" x14ac:dyDescent="0.25">
      <c r="X3740" s="256"/>
    </row>
    <row r="3741" spans="24:24" x14ac:dyDescent="0.25">
      <c r="X3741" s="256"/>
    </row>
    <row r="3742" spans="24:24" x14ac:dyDescent="0.25">
      <c r="X3742" s="256"/>
    </row>
    <row r="3743" spans="24:24" x14ac:dyDescent="0.25">
      <c r="X3743" s="256"/>
    </row>
    <row r="3744" spans="24:24" x14ac:dyDescent="0.25">
      <c r="X3744" s="256"/>
    </row>
    <row r="3745" spans="24:24" x14ac:dyDescent="0.25">
      <c r="X3745" s="256"/>
    </row>
    <row r="3746" spans="24:24" x14ac:dyDescent="0.25">
      <c r="X3746" s="256"/>
    </row>
    <row r="3747" spans="24:24" x14ac:dyDescent="0.25">
      <c r="X3747" s="256"/>
    </row>
    <row r="3748" spans="24:24" x14ac:dyDescent="0.25">
      <c r="X3748" s="256"/>
    </row>
    <row r="3749" spans="24:24" x14ac:dyDescent="0.25">
      <c r="X3749" s="256"/>
    </row>
    <row r="3750" spans="24:24" x14ac:dyDescent="0.25">
      <c r="X3750" s="256"/>
    </row>
    <row r="3751" spans="24:24" x14ac:dyDescent="0.25">
      <c r="X3751" s="256"/>
    </row>
    <row r="3752" spans="24:24" x14ac:dyDescent="0.25">
      <c r="X3752" s="256"/>
    </row>
    <row r="3753" spans="24:24" x14ac:dyDescent="0.25">
      <c r="X3753" s="256"/>
    </row>
    <row r="3754" spans="24:24" x14ac:dyDescent="0.25">
      <c r="X3754" s="256"/>
    </row>
    <row r="3755" spans="24:24" x14ac:dyDescent="0.25">
      <c r="X3755" s="256"/>
    </row>
    <row r="3756" spans="24:24" x14ac:dyDescent="0.25">
      <c r="X3756" s="256"/>
    </row>
    <row r="3757" spans="24:24" x14ac:dyDescent="0.25">
      <c r="X3757" s="256"/>
    </row>
    <row r="3758" spans="24:24" x14ac:dyDescent="0.25">
      <c r="X3758" s="256"/>
    </row>
    <row r="3759" spans="24:24" x14ac:dyDescent="0.25">
      <c r="X3759" s="256"/>
    </row>
    <row r="3760" spans="24:24" x14ac:dyDescent="0.25">
      <c r="X3760" s="256"/>
    </row>
    <row r="3761" spans="24:24" x14ac:dyDescent="0.25">
      <c r="X3761" s="256"/>
    </row>
    <row r="3762" spans="24:24" x14ac:dyDescent="0.25">
      <c r="X3762" s="256"/>
    </row>
    <row r="3763" spans="24:24" x14ac:dyDescent="0.25">
      <c r="X3763" s="256"/>
    </row>
    <row r="3764" spans="24:24" x14ac:dyDescent="0.25">
      <c r="X3764" s="256"/>
    </row>
    <row r="3765" spans="24:24" x14ac:dyDescent="0.25">
      <c r="X3765" s="256"/>
    </row>
    <row r="3766" spans="24:24" x14ac:dyDescent="0.25">
      <c r="X3766" s="256"/>
    </row>
    <row r="3767" spans="24:24" x14ac:dyDescent="0.25">
      <c r="X3767" s="256"/>
    </row>
    <row r="3768" spans="24:24" x14ac:dyDescent="0.25">
      <c r="X3768" s="256"/>
    </row>
    <row r="3769" spans="24:24" x14ac:dyDescent="0.25">
      <c r="X3769" s="256"/>
    </row>
    <row r="3770" spans="24:24" x14ac:dyDescent="0.25">
      <c r="X3770" s="256"/>
    </row>
    <row r="3771" spans="24:24" x14ac:dyDescent="0.25">
      <c r="X3771" s="256"/>
    </row>
    <row r="3772" spans="24:24" x14ac:dyDescent="0.25">
      <c r="X3772" s="256"/>
    </row>
    <row r="3773" spans="24:24" x14ac:dyDescent="0.25">
      <c r="X3773" s="256"/>
    </row>
    <row r="3774" spans="24:24" x14ac:dyDescent="0.25">
      <c r="X3774" s="256"/>
    </row>
    <row r="3775" spans="24:24" x14ac:dyDescent="0.25">
      <c r="X3775" s="256"/>
    </row>
    <row r="3776" spans="24:24" x14ac:dyDescent="0.25">
      <c r="X3776" s="256"/>
    </row>
    <row r="3777" spans="24:24" x14ac:dyDescent="0.25">
      <c r="X3777" s="256"/>
    </row>
    <row r="3778" spans="24:24" x14ac:dyDescent="0.25">
      <c r="X3778" s="256"/>
    </row>
    <row r="3779" spans="24:24" x14ac:dyDescent="0.25">
      <c r="X3779" s="256"/>
    </row>
    <row r="3780" spans="24:24" x14ac:dyDescent="0.25">
      <c r="X3780" s="256"/>
    </row>
    <row r="3781" spans="24:24" x14ac:dyDescent="0.25">
      <c r="X3781" s="256"/>
    </row>
    <row r="3782" spans="24:24" x14ac:dyDescent="0.25">
      <c r="X3782" s="256"/>
    </row>
    <row r="3783" spans="24:24" x14ac:dyDescent="0.25">
      <c r="X3783" s="256"/>
    </row>
    <row r="3784" spans="24:24" x14ac:dyDescent="0.25">
      <c r="X3784" s="256"/>
    </row>
    <row r="3785" spans="24:24" x14ac:dyDescent="0.25">
      <c r="X3785" s="256"/>
    </row>
    <row r="3786" spans="24:24" x14ac:dyDescent="0.25">
      <c r="X3786" s="256"/>
    </row>
    <row r="3787" spans="24:24" x14ac:dyDescent="0.25">
      <c r="X3787" s="256"/>
    </row>
    <row r="3788" spans="24:24" x14ac:dyDescent="0.25">
      <c r="X3788" s="256"/>
    </row>
    <row r="3789" spans="24:24" x14ac:dyDescent="0.25">
      <c r="X3789" s="256"/>
    </row>
    <row r="3790" spans="24:24" x14ac:dyDescent="0.25">
      <c r="X3790" s="256"/>
    </row>
    <row r="3791" spans="24:24" x14ac:dyDescent="0.25">
      <c r="X3791" s="256"/>
    </row>
    <row r="3792" spans="24:24" x14ac:dyDescent="0.25">
      <c r="X3792" s="256"/>
    </row>
    <row r="3793" spans="24:24" x14ac:dyDescent="0.25">
      <c r="X3793" s="256"/>
    </row>
    <row r="3794" spans="24:24" x14ac:dyDescent="0.25">
      <c r="X3794" s="256"/>
    </row>
    <row r="3795" spans="24:24" x14ac:dyDescent="0.25">
      <c r="X3795" s="256"/>
    </row>
    <row r="3796" spans="24:24" x14ac:dyDescent="0.25">
      <c r="X3796" s="256"/>
    </row>
    <row r="3797" spans="24:24" x14ac:dyDescent="0.25">
      <c r="X3797" s="256"/>
    </row>
    <row r="3798" spans="24:24" x14ac:dyDescent="0.25">
      <c r="X3798" s="256"/>
    </row>
    <row r="3799" spans="24:24" x14ac:dyDescent="0.25">
      <c r="X3799" s="256"/>
    </row>
    <row r="3800" spans="24:24" x14ac:dyDescent="0.25">
      <c r="X3800" s="256"/>
    </row>
    <row r="3801" spans="24:24" x14ac:dyDescent="0.25">
      <c r="X3801" s="256"/>
    </row>
    <row r="3802" spans="24:24" x14ac:dyDescent="0.25">
      <c r="X3802" s="256"/>
    </row>
    <row r="3803" spans="24:24" x14ac:dyDescent="0.25">
      <c r="X3803" s="256"/>
    </row>
    <row r="3804" spans="24:24" x14ac:dyDescent="0.25">
      <c r="X3804" s="256"/>
    </row>
    <row r="3805" spans="24:24" x14ac:dyDescent="0.25">
      <c r="X3805" s="256"/>
    </row>
    <row r="3806" spans="24:24" x14ac:dyDescent="0.25">
      <c r="X3806" s="256"/>
    </row>
    <row r="3807" spans="24:24" x14ac:dyDescent="0.25">
      <c r="X3807" s="256"/>
    </row>
    <row r="3808" spans="24:24" x14ac:dyDescent="0.25">
      <c r="X3808" s="256"/>
    </row>
    <row r="3809" spans="24:24" x14ac:dyDescent="0.25">
      <c r="X3809" s="256"/>
    </row>
    <row r="3810" spans="24:24" x14ac:dyDescent="0.25">
      <c r="X3810" s="256"/>
    </row>
    <row r="3811" spans="24:24" x14ac:dyDescent="0.25">
      <c r="X3811" s="256"/>
    </row>
    <row r="3812" spans="24:24" x14ac:dyDescent="0.25">
      <c r="X3812" s="256"/>
    </row>
    <row r="3813" spans="24:24" x14ac:dyDescent="0.25">
      <c r="X3813" s="256"/>
    </row>
    <row r="3814" spans="24:24" x14ac:dyDescent="0.25">
      <c r="X3814" s="256"/>
    </row>
    <row r="3815" spans="24:24" x14ac:dyDescent="0.25">
      <c r="X3815" s="256"/>
    </row>
    <row r="3816" spans="24:24" x14ac:dyDescent="0.25">
      <c r="X3816" s="256"/>
    </row>
    <row r="3817" spans="24:24" x14ac:dyDescent="0.25">
      <c r="X3817" s="256"/>
    </row>
    <row r="3818" spans="24:24" x14ac:dyDescent="0.25">
      <c r="X3818" s="256"/>
    </row>
    <row r="3819" spans="24:24" x14ac:dyDescent="0.25">
      <c r="X3819" s="256"/>
    </row>
    <row r="3820" spans="24:24" x14ac:dyDescent="0.25">
      <c r="X3820" s="256"/>
    </row>
    <row r="3821" spans="24:24" x14ac:dyDescent="0.25">
      <c r="X3821" s="256"/>
    </row>
    <row r="3822" spans="24:24" x14ac:dyDescent="0.25">
      <c r="X3822" s="256"/>
    </row>
    <row r="3823" spans="24:24" x14ac:dyDescent="0.25">
      <c r="X3823" s="256"/>
    </row>
    <row r="3824" spans="24:24" x14ac:dyDescent="0.25">
      <c r="X3824" s="256"/>
    </row>
    <row r="3825" spans="24:24" x14ac:dyDescent="0.25">
      <c r="X3825" s="256"/>
    </row>
    <row r="3826" spans="24:24" x14ac:dyDescent="0.25">
      <c r="X3826" s="256"/>
    </row>
    <row r="3827" spans="24:24" x14ac:dyDescent="0.25">
      <c r="X3827" s="256"/>
    </row>
    <row r="3828" spans="24:24" x14ac:dyDescent="0.25">
      <c r="X3828" s="256"/>
    </row>
    <row r="3829" spans="24:24" x14ac:dyDescent="0.25">
      <c r="X3829" s="256"/>
    </row>
    <row r="3830" spans="24:24" x14ac:dyDescent="0.25">
      <c r="X3830" s="256"/>
    </row>
    <row r="3831" spans="24:24" x14ac:dyDescent="0.25">
      <c r="X3831" s="256"/>
    </row>
    <row r="3832" spans="24:24" x14ac:dyDescent="0.25">
      <c r="X3832" s="256"/>
    </row>
    <row r="3833" spans="24:24" x14ac:dyDescent="0.25">
      <c r="X3833" s="256"/>
    </row>
    <row r="3834" spans="24:24" x14ac:dyDescent="0.25">
      <c r="X3834" s="256"/>
    </row>
    <row r="3835" spans="24:24" x14ac:dyDescent="0.25">
      <c r="X3835" s="256"/>
    </row>
    <row r="3836" spans="24:24" x14ac:dyDescent="0.25">
      <c r="X3836" s="256"/>
    </row>
    <row r="3837" spans="24:24" x14ac:dyDescent="0.25">
      <c r="X3837" s="256"/>
    </row>
    <row r="3838" spans="24:24" x14ac:dyDescent="0.25">
      <c r="X3838" s="256"/>
    </row>
    <row r="3839" spans="24:24" x14ac:dyDescent="0.25">
      <c r="X3839" s="256"/>
    </row>
    <row r="3840" spans="24:24" x14ac:dyDescent="0.25">
      <c r="X3840" s="256"/>
    </row>
    <row r="3841" spans="24:24" x14ac:dyDescent="0.25">
      <c r="X3841" s="256"/>
    </row>
    <row r="3842" spans="24:24" x14ac:dyDescent="0.25">
      <c r="X3842" s="256"/>
    </row>
    <row r="3843" spans="24:24" x14ac:dyDescent="0.25">
      <c r="X3843" s="256"/>
    </row>
    <row r="3844" spans="24:24" x14ac:dyDescent="0.25">
      <c r="X3844" s="256"/>
    </row>
    <row r="3845" spans="24:24" x14ac:dyDescent="0.25">
      <c r="X3845" s="256"/>
    </row>
    <row r="3846" spans="24:24" x14ac:dyDescent="0.25">
      <c r="X3846" s="256"/>
    </row>
    <row r="3847" spans="24:24" x14ac:dyDescent="0.25">
      <c r="X3847" s="256"/>
    </row>
    <row r="3848" spans="24:24" x14ac:dyDescent="0.25">
      <c r="X3848" s="256"/>
    </row>
    <row r="3849" spans="24:24" x14ac:dyDescent="0.25">
      <c r="X3849" s="256"/>
    </row>
    <row r="3850" spans="24:24" x14ac:dyDescent="0.25">
      <c r="X3850" s="256"/>
    </row>
    <row r="3851" spans="24:24" x14ac:dyDescent="0.25">
      <c r="X3851" s="256"/>
    </row>
    <row r="3852" spans="24:24" x14ac:dyDescent="0.25">
      <c r="X3852" s="256"/>
    </row>
    <row r="3853" spans="24:24" x14ac:dyDescent="0.25">
      <c r="X3853" s="256"/>
    </row>
    <row r="3854" spans="24:24" x14ac:dyDescent="0.25">
      <c r="X3854" s="256"/>
    </row>
    <row r="3855" spans="24:24" x14ac:dyDescent="0.25">
      <c r="X3855" s="256"/>
    </row>
    <row r="3856" spans="24:24" x14ac:dyDescent="0.25">
      <c r="X3856" s="256"/>
    </row>
    <row r="3857" spans="24:24" x14ac:dyDescent="0.25">
      <c r="X3857" s="256"/>
    </row>
    <row r="3858" spans="24:24" x14ac:dyDescent="0.25">
      <c r="X3858" s="256"/>
    </row>
    <row r="3859" spans="24:24" x14ac:dyDescent="0.25">
      <c r="X3859" s="256"/>
    </row>
    <row r="3860" spans="24:24" x14ac:dyDescent="0.25">
      <c r="X3860" s="256"/>
    </row>
    <row r="3861" spans="24:24" x14ac:dyDescent="0.25">
      <c r="X3861" s="256"/>
    </row>
    <row r="3862" spans="24:24" x14ac:dyDescent="0.25">
      <c r="X3862" s="256"/>
    </row>
    <row r="3863" spans="24:24" x14ac:dyDescent="0.25">
      <c r="X3863" s="256"/>
    </row>
    <row r="3864" spans="24:24" x14ac:dyDescent="0.25">
      <c r="X3864" s="256"/>
    </row>
    <row r="3865" spans="24:24" x14ac:dyDescent="0.25">
      <c r="X3865" s="256"/>
    </row>
    <row r="3866" spans="24:24" x14ac:dyDescent="0.25">
      <c r="X3866" s="256"/>
    </row>
    <row r="3867" spans="24:24" x14ac:dyDescent="0.25">
      <c r="X3867" s="256"/>
    </row>
    <row r="3868" spans="24:24" x14ac:dyDescent="0.25">
      <c r="X3868" s="256"/>
    </row>
    <row r="3869" spans="24:24" x14ac:dyDescent="0.25">
      <c r="X3869" s="256"/>
    </row>
    <row r="3870" spans="24:24" x14ac:dyDescent="0.25">
      <c r="X3870" s="256"/>
    </row>
    <row r="3871" spans="24:24" x14ac:dyDescent="0.25">
      <c r="X3871" s="256"/>
    </row>
    <row r="3872" spans="24:24" x14ac:dyDescent="0.25">
      <c r="X3872" s="256"/>
    </row>
    <row r="3873" spans="24:24" x14ac:dyDescent="0.25">
      <c r="X3873" s="256"/>
    </row>
    <row r="3874" spans="24:24" x14ac:dyDescent="0.25">
      <c r="X3874" s="256"/>
    </row>
    <row r="3875" spans="24:24" x14ac:dyDescent="0.25">
      <c r="X3875" s="256"/>
    </row>
    <row r="3876" spans="24:24" x14ac:dyDescent="0.25">
      <c r="X3876" s="256"/>
    </row>
    <row r="3877" spans="24:24" x14ac:dyDescent="0.25">
      <c r="X3877" s="256"/>
    </row>
    <row r="3878" spans="24:24" x14ac:dyDescent="0.25">
      <c r="X3878" s="256"/>
    </row>
    <row r="3879" spans="24:24" x14ac:dyDescent="0.25">
      <c r="X3879" s="256"/>
    </row>
    <row r="3880" spans="24:24" x14ac:dyDescent="0.25">
      <c r="X3880" s="256"/>
    </row>
    <row r="3881" spans="24:24" x14ac:dyDescent="0.25">
      <c r="X3881" s="256"/>
    </row>
    <row r="3882" spans="24:24" x14ac:dyDescent="0.25">
      <c r="X3882" s="256"/>
    </row>
    <row r="3883" spans="24:24" x14ac:dyDescent="0.25">
      <c r="X3883" s="256"/>
    </row>
    <row r="3884" spans="24:24" x14ac:dyDescent="0.25">
      <c r="X3884" s="256"/>
    </row>
    <row r="3885" spans="24:24" x14ac:dyDescent="0.25">
      <c r="X3885" s="256"/>
    </row>
    <row r="3886" spans="24:24" x14ac:dyDescent="0.25">
      <c r="X3886" s="256"/>
    </row>
    <row r="3887" spans="24:24" x14ac:dyDescent="0.25">
      <c r="X3887" s="256"/>
    </row>
    <row r="3888" spans="24:24" x14ac:dyDescent="0.25">
      <c r="X3888" s="256"/>
    </row>
    <row r="3889" spans="24:24" x14ac:dyDescent="0.25">
      <c r="X3889" s="256"/>
    </row>
    <row r="3890" spans="24:24" x14ac:dyDescent="0.25">
      <c r="X3890" s="256"/>
    </row>
    <row r="3891" spans="24:24" x14ac:dyDescent="0.25">
      <c r="X3891" s="256"/>
    </row>
    <row r="3892" spans="24:24" x14ac:dyDescent="0.25">
      <c r="X3892" s="256"/>
    </row>
    <row r="3893" spans="24:24" x14ac:dyDescent="0.25">
      <c r="X3893" s="256"/>
    </row>
    <row r="3894" spans="24:24" x14ac:dyDescent="0.25">
      <c r="X3894" s="256"/>
    </row>
    <row r="3895" spans="24:24" x14ac:dyDescent="0.25">
      <c r="X3895" s="256"/>
    </row>
    <row r="3896" spans="24:24" x14ac:dyDescent="0.25">
      <c r="X3896" s="256"/>
    </row>
    <row r="3897" spans="24:24" x14ac:dyDescent="0.25">
      <c r="X3897" s="256"/>
    </row>
    <row r="3898" spans="24:24" x14ac:dyDescent="0.25">
      <c r="X3898" s="256"/>
    </row>
    <row r="3899" spans="24:24" x14ac:dyDescent="0.25">
      <c r="X3899" s="256"/>
    </row>
    <row r="3900" spans="24:24" x14ac:dyDescent="0.25">
      <c r="X3900" s="256"/>
    </row>
    <row r="3901" spans="24:24" x14ac:dyDescent="0.25">
      <c r="X3901" s="256"/>
    </row>
    <row r="3902" spans="24:24" x14ac:dyDescent="0.25">
      <c r="X3902" s="256"/>
    </row>
    <row r="3903" spans="24:24" x14ac:dyDescent="0.25">
      <c r="X3903" s="256"/>
    </row>
    <row r="3904" spans="24:24" x14ac:dyDescent="0.25">
      <c r="X3904" s="256"/>
    </row>
    <row r="3905" spans="24:24" x14ac:dyDescent="0.25">
      <c r="X3905" s="256"/>
    </row>
    <row r="3906" spans="24:24" x14ac:dyDescent="0.25">
      <c r="X3906" s="256"/>
    </row>
    <row r="3907" spans="24:24" x14ac:dyDescent="0.25">
      <c r="X3907" s="256"/>
    </row>
    <row r="3908" spans="24:24" x14ac:dyDescent="0.25">
      <c r="X3908" s="256"/>
    </row>
    <row r="3909" spans="24:24" x14ac:dyDescent="0.25">
      <c r="X3909" s="256"/>
    </row>
    <row r="3910" spans="24:24" x14ac:dyDescent="0.25">
      <c r="X3910" s="256"/>
    </row>
    <row r="3911" spans="24:24" x14ac:dyDescent="0.25">
      <c r="X3911" s="256"/>
    </row>
    <row r="3912" spans="24:24" x14ac:dyDescent="0.25">
      <c r="X3912" s="256"/>
    </row>
    <row r="3913" spans="24:24" x14ac:dyDescent="0.25">
      <c r="X3913" s="256"/>
    </row>
    <row r="3914" spans="24:24" x14ac:dyDescent="0.25">
      <c r="X3914" s="256"/>
    </row>
    <row r="3915" spans="24:24" x14ac:dyDescent="0.25">
      <c r="X3915" s="256"/>
    </row>
    <row r="3916" spans="24:24" x14ac:dyDescent="0.25">
      <c r="X3916" s="256"/>
    </row>
    <row r="3917" spans="24:24" x14ac:dyDescent="0.25">
      <c r="X3917" s="256"/>
    </row>
    <row r="3918" spans="24:24" x14ac:dyDescent="0.25">
      <c r="X3918" s="256"/>
    </row>
    <row r="3919" spans="24:24" x14ac:dyDescent="0.25">
      <c r="X3919" s="256"/>
    </row>
    <row r="3920" spans="24:24" x14ac:dyDescent="0.25">
      <c r="X3920" s="256"/>
    </row>
    <row r="3921" spans="24:24" x14ac:dyDescent="0.25">
      <c r="X3921" s="256"/>
    </row>
    <row r="3922" spans="24:24" x14ac:dyDescent="0.25">
      <c r="X3922" s="256"/>
    </row>
    <row r="3923" spans="24:24" x14ac:dyDescent="0.25">
      <c r="X3923" s="256"/>
    </row>
    <row r="3924" spans="24:24" x14ac:dyDescent="0.25">
      <c r="X3924" s="256"/>
    </row>
    <row r="3925" spans="24:24" x14ac:dyDescent="0.25">
      <c r="X3925" s="256"/>
    </row>
    <row r="3926" spans="24:24" x14ac:dyDescent="0.25">
      <c r="X3926" s="256"/>
    </row>
    <row r="3927" spans="24:24" x14ac:dyDescent="0.25">
      <c r="X3927" s="256"/>
    </row>
    <row r="3928" spans="24:24" x14ac:dyDescent="0.25">
      <c r="X3928" s="256"/>
    </row>
    <row r="3929" spans="24:24" x14ac:dyDescent="0.25">
      <c r="X3929" s="256"/>
    </row>
    <row r="3930" spans="24:24" x14ac:dyDescent="0.25">
      <c r="X3930" s="256"/>
    </row>
    <row r="3931" spans="24:24" x14ac:dyDescent="0.25">
      <c r="X3931" s="256"/>
    </row>
    <row r="3932" spans="24:24" x14ac:dyDescent="0.25">
      <c r="X3932" s="256"/>
    </row>
    <row r="3933" spans="24:24" x14ac:dyDescent="0.25">
      <c r="X3933" s="256"/>
    </row>
    <row r="3934" spans="24:24" x14ac:dyDescent="0.25">
      <c r="X3934" s="256"/>
    </row>
    <row r="3935" spans="24:24" x14ac:dyDescent="0.25">
      <c r="X3935" s="256"/>
    </row>
    <row r="3936" spans="24:24" x14ac:dyDescent="0.25">
      <c r="X3936" s="256"/>
    </row>
    <row r="3937" spans="24:24" x14ac:dyDescent="0.25">
      <c r="X3937" s="256"/>
    </row>
    <row r="3938" spans="24:24" x14ac:dyDescent="0.25">
      <c r="X3938" s="256"/>
    </row>
    <row r="3939" spans="24:24" x14ac:dyDescent="0.25">
      <c r="X3939" s="256"/>
    </row>
    <row r="3940" spans="24:24" x14ac:dyDescent="0.25">
      <c r="X3940" s="256"/>
    </row>
    <row r="3941" spans="24:24" x14ac:dyDescent="0.25">
      <c r="X3941" s="256"/>
    </row>
    <row r="3942" spans="24:24" x14ac:dyDescent="0.25">
      <c r="X3942" s="256"/>
    </row>
    <row r="3943" spans="24:24" x14ac:dyDescent="0.25">
      <c r="X3943" s="256"/>
    </row>
    <row r="3944" spans="24:24" x14ac:dyDescent="0.25">
      <c r="X3944" s="256"/>
    </row>
    <row r="3945" spans="24:24" x14ac:dyDescent="0.25">
      <c r="X3945" s="256"/>
    </row>
    <row r="3946" spans="24:24" x14ac:dyDescent="0.25">
      <c r="X3946" s="256"/>
    </row>
    <row r="3947" spans="24:24" x14ac:dyDescent="0.25">
      <c r="X3947" s="256"/>
    </row>
    <row r="3948" spans="24:24" x14ac:dyDescent="0.25">
      <c r="X3948" s="256"/>
    </row>
    <row r="3949" spans="24:24" x14ac:dyDescent="0.25">
      <c r="X3949" s="256"/>
    </row>
    <row r="3950" spans="24:24" x14ac:dyDescent="0.25">
      <c r="X3950" s="256"/>
    </row>
    <row r="3951" spans="24:24" x14ac:dyDescent="0.25">
      <c r="X3951" s="256"/>
    </row>
    <row r="3952" spans="24:24" x14ac:dyDescent="0.25">
      <c r="X3952" s="256"/>
    </row>
    <row r="3953" spans="24:24" x14ac:dyDescent="0.25">
      <c r="X3953" s="256"/>
    </row>
    <row r="3954" spans="24:24" x14ac:dyDescent="0.25">
      <c r="X3954" s="256"/>
    </row>
    <row r="3955" spans="24:24" x14ac:dyDescent="0.25">
      <c r="X3955" s="256"/>
    </row>
    <row r="3956" spans="24:24" x14ac:dyDescent="0.25">
      <c r="X3956" s="256"/>
    </row>
    <row r="3957" spans="24:24" x14ac:dyDescent="0.25">
      <c r="X3957" s="256"/>
    </row>
    <row r="3958" spans="24:24" x14ac:dyDescent="0.25">
      <c r="X3958" s="256"/>
    </row>
    <row r="3959" spans="24:24" x14ac:dyDescent="0.25">
      <c r="X3959" s="256"/>
    </row>
    <row r="3960" spans="24:24" x14ac:dyDescent="0.25">
      <c r="X3960" s="256"/>
    </row>
    <row r="3961" spans="24:24" x14ac:dyDescent="0.25">
      <c r="X3961" s="256"/>
    </row>
    <row r="3962" spans="24:24" x14ac:dyDescent="0.25">
      <c r="X3962" s="256"/>
    </row>
    <row r="3963" spans="24:24" x14ac:dyDescent="0.25">
      <c r="X3963" s="256"/>
    </row>
    <row r="3964" spans="24:24" x14ac:dyDescent="0.25">
      <c r="X3964" s="256"/>
    </row>
    <row r="3965" spans="24:24" x14ac:dyDescent="0.25">
      <c r="X3965" s="256"/>
    </row>
    <row r="3966" spans="24:24" x14ac:dyDescent="0.25">
      <c r="X3966" s="256"/>
    </row>
    <row r="3967" spans="24:24" x14ac:dyDescent="0.25">
      <c r="X3967" s="256"/>
    </row>
    <row r="3968" spans="24:24" x14ac:dyDescent="0.25">
      <c r="X3968" s="256"/>
    </row>
    <row r="3969" spans="24:24" x14ac:dyDescent="0.25">
      <c r="X3969" s="256"/>
    </row>
    <row r="3970" spans="24:24" x14ac:dyDescent="0.25">
      <c r="X3970" s="256"/>
    </row>
    <row r="3971" spans="24:24" x14ac:dyDescent="0.25">
      <c r="X3971" s="256"/>
    </row>
    <row r="3972" spans="24:24" x14ac:dyDescent="0.25">
      <c r="X3972" s="256"/>
    </row>
    <row r="3973" spans="24:24" x14ac:dyDescent="0.25">
      <c r="X3973" s="256"/>
    </row>
    <row r="3974" spans="24:24" x14ac:dyDescent="0.25">
      <c r="X3974" s="256"/>
    </row>
    <row r="3975" spans="24:24" x14ac:dyDescent="0.25">
      <c r="X3975" s="256"/>
    </row>
    <row r="3976" spans="24:24" x14ac:dyDescent="0.25">
      <c r="X3976" s="256"/>
    </row>
    <row r="3977" spans="24:24" x14ac:dyDescent="0.25">
      <c r="X3977" s="256"/>
    </row>
    <row r="3978" spans="24:24" x14ac:dyDescent="0.25">
      <c r="X3978" s="256"/>
    </row>
    <row r="3979" spans="24:24" x14ac:dyDescent="0.25">
      <c r="X3979" s="256"/>
    </row>
    <row r="3980" spans="24:24" x14ac:dyDescent="0.25">
      <c r="X3980" s="256"/>
    </row>
    <row r="3981" spans="24:24" x14ac:dyDescent="0.25">
      <c r="X3981" s="256"/>
    </row>
    <row r="3982" spans="24:24" x14ac:dyDescent="0.25">
      <c r="X3982" s="256"/>
    </row>
    <row r="3983" spans="24:24" x14ac:dyDescent="0.25">
      <c r="X3983" s="256"/>
    </row>
    <row r="3984" spans="24:24" x14ac:dyDescent="0.25">
      <c r="X3984" s="256"/>
    </row>
    <row r="3985" spans="24:24" x14ac:dyDescent="0.25">
      <c r="X3985" s="256"/>
    </row>
    <row r="3986" spans="24:24" x14ac:dyDescent="0.25">
      <c r="X3986" s="256"/>
    </row>
    <row r="3987" spans="24:24" x14ac:dyDescent="0.25">
      <c r="X3987" s="256"/>
    </row>
    <row r="3988" spans="24:24" x14ac:dyDescent="0.25">
      <c r="X3988" s="256"/>
    </row>
    <row r="3989" spans="24:24" x14ac:dyDescent="0.25">
      <c r="X3989" s="256"/>
    </row>
    <row r="3990" spans="24:24" x14ac:dyDescent="0.25">
      <c r="X3990" s="256"/>
    </row>
    <row r="3991" spans="24:24" x14ac:dyDescent="0.25">
      <c r="X3991" s="256"/>
    </row>
    <row r="3992" spans="24:24" x14ac:dyDescent="0.25">
      <c r="X3992" s="256"/>
    </row>
    <row r="3993" spans="24:24" x14ac:dyDescent="0.25">
      <c r="X3993" s="256"/>
    </row>
    <row r="3994" spans="24:24" x14ac:dyDescent="0.25">
      <c r="X3994" s="256"/>
    </row>
    <row r="3995" spans="24:24" x14ac:dyDescent="0.25">
      <c r="X3995" s="256"/>
    </row>
    <row r="3996" spans="24:24" x14ac:dyDescent="0.25">
      <c r="X3996" s="256"/>
    </row>
    <row r="3997" spans="24:24" x14ac:dyDescent="0.25">
      <c r="X3997" s="256"/>
    </row>
    <row r="3998" spans="24:24" x14ac:dyDescent="0.25">
      <c r="X3998" s="256"/>
    </row>
    <row r="3999" spans="24:24" x14ac:dyDescent="0.25">
      <c r="X3999" s="256"/>
    </row>
    <row r="4000" spans="24:24" x14ac:dyDescent="0.25">
      <c r="X4000" s="256"/>
    </row>
    <row r="4001" spans="24:24" x14ac:dyDescent="0.25">
      <c r="X4001" s="256"/>
    </row>
    <row r="4002" spans="24:24" x14ac:dyDescent="0.25">
      <c r="X4002" s="256"/>
    </row>
    <row r="4003" spans="24:24" x14ac:dyDescent="0.25">
      <c r="X4003" s="256"/>
    </row>
    <row r="4004" spans="24:24" x14ac:dyDescent="0.25">
      <c r="X4004" s="256"/>
    </row>
    <row r="4005" spans="24:24" x14ac:dyDescent="0.25">
      <c r="X4005" s="256"/>
    </row>
    <row r="4006" spans="24:24" x14ac:dyDescent="0.25">
      <c r="X4006" s="256"/>
    </row>
    <row r="4007" spans="24:24" x14ac:dyDescent="0.25">
      <c r="X4007" s="256"/>
    </row>
    <row r="4008" spans="24:24" x14ac:dyDescent="0.25">
      <c r="X4008" s="256"/>
    </row>
    <row r="4009" spans="24:24" x14ac:dyDescent="0.25">
      <c r="X4009" s="256"/>
    </row>
    <row r="4010" spans="24:24" x14ac:dyDescent="0.25">
      <c r="X4010" s="256"/>
    </row>
    <row r="4011" spans="24:24" x14ac:dyDescent="0.25">
      <c r="X4011" s="256"/>
    </row>
    <row r="4012" spans="24:24" x14ac:dyDescent="0.25">
      <c r="X4012" s="256"/>
    </row>
    <row r="4013" spans="24:24" x14ac:dyDescent="0.25">
      <c r="X4013" s="256"/>
    </row>
    <row r="4014" spans="24:24" x14ac:dyDescent="0.25">
      <c r="X4014" s="256"/>
    </row>
    <row r="4015" spans="24:24" x14ac:dyDescent="0.25">
      <c r="X4015" s="256"/>
    </row>
    <row r="4016" spans="24:24" x14ac:dyDescent="0.25">
      <c r="X4016" s="256"/>
    </row>
    <row r="4017" spans="24:24" x14ac:dyDescent="0.25">
      <c r="X4017" s="256"/>
    </row>
    <row r="4018" spans="24:24" x14ac:dyDescent="0.25">
      <c r="X4018" s="256"/>
    </row>
    <row r="4019" spans="24:24" x14ac:dyDescent="0.25">
      <c r="X4019" s="256"/>
    </row>
    <row r="4020" spans="24:24" x14ac:dyDescent="0.25">
      <c r="X4020" s="256"/>
    </row>
    <row r="4021" spans="24:24" x14ac:dyDescent="0.25">
      <c r="X4021" s="256"/>
    </row>
    <row r="4022" spans="24:24" x14ac:dyDescent="0.25">
      <c r="X4022" s="256"/>
    </row>
    <row r="4023" spans="24:24" x14ac:dyDescent="0.25">
      <c r="X4023" s="256"/>
    </row>
    <row r="4024" spans="24:24" x14ac:dyDescent="0.25">
      <c r="X4024" s="256"/>
    </row>
    <row r="4025" spans="24:24" x14ac:dyDescent="0.25">
      <c r="X4025" s="256"/>
    </row>
    <row r="4026" spans="24:24" x14ac:dyDescent="0.25">
      <c r="X4026" s="256"/>
    </row>
    <row r="4027" spans="24:24" x14ac:dyDescent="0.25">
      <c r="X4027" s="256"/>
    </row>
    <row r="4028" spans="24:24" x14ac:dyDescent="0.25">
      <c r="X4028" s="256"/>
    </row>
    <row r="4029" spans="24:24" x14ac:dyDescent="0.25">
      <c r="X4029" s="256"/>
    </row>
    <row r="4030" spans="24:24" x14ac:dyDescent="0.25">
      <c r="X4030" s="256"/>
    </row>
    <row r="4031" spans="24:24" x14ac:dyDescent="0.25">
      <c r="X4031" s="256"/>
    </row>
    <row r="4032" spans="24:24" x14ac:dyDescent="0.25">
      <c r="X4032" s="256"/>
    </row>
    <row r="4033" spans="24:24" x14ac:dyDescent="0.25">
      <c r="X4033" s="256"/>
    </row>
    <row r="4034" spans="24:24" x14ac:dyDescent="0.25">
      <c r="X4034" s="256"/>
    </row>
    <row r="4035" spans="24:24" x14ac:dyDescent="0.25">
      <c r="X4035" s="256"/>
    </row>
    <row r="4036" spans="24:24" x14ac:dyDescent="0.25">
      <c r="X4036" s="256"/>
    </row>
    <row r="4037" spans="24:24" x14ac:dyDescent="0.25">
      <c r="X4037" s="256"/>
    </row>
    <row r="4038" spans="24:24" x14ac:dyDescent="0.25">
      <c r="X4038" s="256"/>
    </row>
    <row r="4039" spans="24:24" x14ac:dyDescent="0.25">
      <c r="X4039" s="256"/>
    </row>
    <row r="4040" spans="24:24" x14ac:dyDescent="0.25">
      <c r="X4040" s="256"/>
    </row>
    <row r="4041" spans="24:24" x14ac:dyDescent="0.25">
      <c r="X4041" s="256"/>
    </row>
    <row r="4042" spans="24:24" x14ac:dyDescent="0.25">
      <c r="X4042" s="256"/>
    </row>
    <row r="4043" spans="24:24" x14ac:dyDescent="0.25">
      <c r="X4043" s="256"/>
    </row>
    <row r="4044" spans="24:24" x14ac:dyDescent="0.25">
      <c r="X4044" s="256"/>
    </row>
    <row r="4045" spans="24:24" x14ac:dyDescent="0.25">
      <c r="X4045" s="256"/>
    </row>
    <row r="4046" spans="24:24" x14ac:dyDescent="0.25">
      <c r="X4046" s="256"/>
    </row>
    <row r="4047" spans="24:24" x14ac:dyDescent="0.25">
      <c r="X4047" s="256"/>
    </row>
    <row r="4048" spans="24:24" x14ac:dyDescent="0.25">
      <c r="X4048" s="256"/>
    </row>
    <row r="4049" spans="24:24" x14ac:dyDescent="0.25">
      <c r="X4049" s="256"/>
    </row>
    <row r="4050" spans="24:24" x14ac:dyDescent="0.25">
      <c r="X4050" s="256"/>
    </row>
    <row r="4051" spans="24:24" x14ac:dyDescent="0.25">
      <c r="X4051" s="256"/>
    </row>
    <row r="4052" spans="24:24" x14ac:dyDescent="0.25">
      <c r="X4052" s="256"/>
    </row>
    <row r="4053" spans="24:24" x14ac:dyDescent="0.25">
      <c r="X4053" s="256"/>
    </row>
    <row r="4054" spans="24:24" x14ac:dyDescent="0.25">
      <c r="X4054" s="256"/>
    </row>
    <row r="4055" spans="24:24" x14ac:dyDescent="0.25">
      <c r="X4055" s="256"/>
    </row>
    <row r="4056" spans="24:24" x14ac:dyDescent="0.25">
      <c r="X4056" s="256"/>
    </row>
    <row r="4057" spans="24:24" x14ac:dyDescent="0.25">
      <c r="X4057" s="256"/>
    </row>
    <row r="4058" spans="24:24" x14ac:dyDescent="0.25">
      <c r="X4058" s="256"/>
    </row>
    <row r="4059" spans="24:24" x14ac:dyDescent="0.25">
      <c r="X4059" s="256"/>
    </row>
    <row r="4060" spans="24:24" x14ac:dyDescent="0.25">
      <c r="X4060" s="256"/>
    </row>
    <row r="4061" spans="24:24" x14ac:dyDescent="0.25">
      <c r="X4061" s="256"/>
    </row>
    <row r="4062" spans="24:24" x14ac:dyDescent="0.25">
      <c r="X4062" s="256"/>
    </row>
    <row r="4063" spans="24:24" x14ac:dyDescent="0.25">
      <c r="X4063" s="256"/>
    </row>
    <row r="4064" spans="24:24" x14ac:dyDescent="0.25">
      <c r="X4064" s="256"/>
    </row>
    <row r="4065" spans="24:24" x14ac:dyDescent="0.25">
      <c r="X4065" s="256"/>
    </row>
    <row r="4066" spans="24:24" x14ac:dyDescent="0.25">
      <c r="X4066" s="256"/>
    </row>
    <row r="4067" spans="24:24" x14ac:dyDescent="0.25">
      <c r="X4067" s="256"/>
    </row>
    <row r="4068" spans="24:24" x14ac:dyDescent="0.25">
      <c r="X4068" s="256"/>
    </row>
    <row r="4069" spans="24:24" x14ac:dyDescent="0.25">
      <c r="X4069" s="256"/>
    </row>
    <row r="4070" spans="24:24" x14ac:dyDescent="0.25">
      <c r="X4070" s="256"/>
    </row>
    <row r="4071" spans="24:24" x14ac:dyDescent="0.25">
      <c r="X4071" s="256"/>
    </row>
    <row r="4072" spans="24:24" x14ac:dyDescent="0.25">
      <c r="X4072" s="256"/>
    </row>
    <row r="4073" spans="24:24" x14ac:dyDescent="0.25">
      <c r="X4073" s="256"/>
    </row>
    <row r="4074" spans="24:24" x14ac:dyDescent="0.25">
      <c r="X4074" s="256"/>
    </row>
    <row r="4075" spans="24:24" x14ac:dyDescent="0.25">
      <c r="X4075" s="256"/>
    </row>
    <row r="4076" spans="24:24" x14ac:dyDescent="0.25">
      <c r="X4076" s="256"/>
    </row>
    <row r="4077" spans="24:24" x14ac:dyDescent="0.25">
      <c r="X4077" s="256"/>
    </row>
    <row r="4078" spans="24:24" x14ac:dyDescent="0.25">
      <c r="X4078" s="256"/>
    </row>
    <row r="4079" spans="24:24" x14ac:dyDescent="0.25">
      <c r="X4079" s="256"/>
    </row>
    <row r="4080" spans="24:24" x14ac:dyDescent="0.25">
      <c r="X4080" s="256"/>
    </row>
    <row r="4081" spans="24:24" x14ac:dyDescent="0.25">
      <c r="X4081" s="256"/>
    </row>
    <row r="4082" spans="24:24" x14ac:dyDescent="0.25">
      <c r="X4082" s="256"/>
    </row>
    <row r="4083" spans="24:24" x14ac:dyDescent="0.25">
      <c r="X4083" s="256"/>
    </row>
    <row r="4084" spans="24:24" x14ac:dyDescent="0.25">
      <c r="X4084" s="256"/>
    </row>
    <row r="4085" spans="24:24" x14ac:dyDescent="0.25">
      <c r="X4085" s="256"/>
    </row>
    <row r="4086" spans="24:24" x14ac:dyDescent="0.25">
      <c r="X4086" s="256"/>
    </row>
    <row r="4087" spans="24:24" x14ac:dyDescent="0.25">
      <c r="X4087" s="256"/>
    </row>
    <row r="4088" spans="24:24" x14ac:dyDescent="0.25">
      <c r="X4088" s="256"/>
    </row>
    <row r="4089" spans="24:24" x14ac:dyDescent="0.25">
      <c r="X4089" s="256"/>
    </row>
    <row r="4090" spans="24:24" x14ac:dyDescent="0.25">
      <c r="X4090" s="256"/>
    </row>
    <row r="4091" spans="24:24" x14ac:dyDescent="0.25">
      <c r="X4091" s="256"/>
    </row>
    <row r="4092" spans="24:24" x14ac:dyDescent="0.25">
      <c r="X4092" s="256"/>
    </row>
    <row r="4093" spans="24:24" x14ac:dyDescent="0.25">
      <c r="X4093" s="256"/>
    </row>
    <row r="4094" spans="24:24" x14ac:dyDescent="0.25">
      <c r="X4094" s="256"/>
    </row>
    <row r="4095" spans="24:24" x14ac:dyDescent="0.25">
      <c r="X4095" s="256"/>
    </row>
    <row r="4096" spans="24:24" x14ac:dyDescent="0.25">
      <c r="X4096" s="256"/>
    </row>
    <row r="4097" spans="24:24" x14ac:dyDescent="0.25">
      <c r="X4097" s="256"/>
    </row>
    <row r="4098" spans="24:24" x14ac:dyDescent="0.25">
      <c r="X4098" s="256"/>
    </row>
    <row r="4099" spans="24:24" x14ac:dyDescent="0.25">
      <c r="X4099" s="256"/>
    </row>
    <row r="4100" spans="24:24" x14ac:dyDescent="0.25">
      <c r="X4100" s="256"/>
    </row>
    <row r="4101" spans="24:24" x14ac:dyDescent="0.25">
      <c r="X4101" s="256"/>
    </row>
    <row r="4102" spans="24:24" x14ac:dyDescent="0.25">
      <c r="X4102" s="256"/>
    </row>
    <row r="4103" spans="24:24" x14ac:dyDescent="0.25">
      <c r="X4103" s="256"/>
    </row>
    <row r="4104" spans="24:24" x14ac:dyDescent="0.25">
      <c r="X4104" s="256"/>
    </row>
    <row r="4105" spans="24:24" x14ac:dyDescent="0.25">
      <c r="X4105" s="256"/>
    </row>
    <row r="4106" spans="24:24" x14ac:dyDescent="0.25">
      <c r="X4106" s="256"/>
    </row>
    <row r="4107" spans="24:24" x14ac:dyDescent="0.25">
      <c r="X4107" s="256"/>
    </row>
    <row r="4108" spans="24:24" x14ac:dyDescent="0.25">
      <c r="X4108" s="256"/>
    </row>
    <row r="4109" spans="24:24" x14ac:dyDescent="0.25">
      <c r="X4109" s="256"/>
    </row>
    <row r="4110" spans="24:24" x14ac:dyDescent="0.25">
      <c r="X4110" s="256"/>
    </row>
    <row r="4111" spans="24:24" x14ac:dyDescent="0.25">
      <c r="X4111" s="256"/>
    </row>
    <row r="4112" spans="24:24" x14ac:dyDescent="0.25">
      <c r="X4112" s="256"/>
    </row>
    <row r="4113" spans="24:24" x14ac:dyDescent="0.25">
      <c r="X4113" s="256"/>
    </row>
    <row r="4114" spans="24:24" x14ac:dyDescent="0.25">
      <c r="X4114" s="256"/>
    </row>
    <row r="4115" spans="24:24" x14ac:dyDescent="0.25">
      <c r="X4115" s="256"/>
    </row>
    <row r="4116" spans="24:24" x14ac:dyDescent="0.25">
      <c r="X4116" s="256"/>
    </row>
    <row r="4117" spans="24:24" x14ac:dyDescent="0.25">
      <c r="X4117" s="256"/>
    </row>
    <row r="4118" spans="24:24" x14ac:dyDescent="0.25">
      <c r="X4118" s="256"/>
    </row>
    <row r="4119" spans="24:24" x14ac:dyDescent="0.25">
      <c r="X4119" s="256"/>
    </row>
    <row r="4120" spans="24:24" x14ac:dyDescent="0.25">
      <c r="X4120" s="256"/>
    </row>
    <row r="4121" spans="24:24" x14ac:dyDescent="0.25">
      <c r="X4121" s="256"/>
    </row>
    <row r="4122" spans="24:24" x14ac:dyDescent="0.25">
      <c r="X4122" s="256"/>
    </row>
    <row r="4123" spans="24:24" x14ac:dyDescent="0.25">
      <c r="X4123" s="256"/>
    </row>
    <row r="4124" spans="24:24" x14ac:dyDescent="0.25">
      <c r="X4124" s="256"/>
    </row>
    <row r="4125" spans="24:24" x14ac:dyDescent="0.25">
      <c r="X4125" s="256"/>
    </row>
    <row r="4126" spans="24:24" x14ac:dyDescent="0.25">
      <c r="X4126" s="256"/>
    </row>
    <row r="4127" spans="24:24" x14ac:dyDescent="0.25">
      <c r="X4127" s="256"/>
    </row>
    <row r="4128" spans="24:24" x14ac:dyDescent="0.25">
      <c r="X4128" s="256"/>
    </row>
    <row r="4129" spans="24:24" x14ac:dyDescent="0.25">
      <c r="X4129" s="256"/>
    </row>
    <row r="4130" spans="24:24" x14ac:dyDescent="0.25">
      <c r="X4130" s="256"/>
    </row>
    <row r="4131" spans="24:24" x14ac:dyDescent="0.25">
      <c r="X4131" s="256"/>
    </row>
    <row r="4132" spans="24:24" x14ac:dyDescent="0.25">
      <c r="X4132" s="256"/>
    </row>
    <row r="4133" spans="24:24" x14ac:dyDescent="0.25">
      <c r="X4133" s="256"/>
    </row>
    <row r="4134" spans="24:24" x14ac:dyDescent="0.25">
      <c r="X4134" s="256"/>
    </row>
    <row r="4135" spans="24:24" x14ac:dyDescent="0.25">
      <c r="X4135" s="256"/>
    </row>
    <row r="4136" spans="24:24" x14ac:dyDescent="0.25">
      <c r="X4136" s="256"/>
    </row>
    <row r="4137" spans="24:24" x14ac:dyDescent="0.25">
      <c r="X4137" s="256"/>
    </row>
    <row r="4138" spans="24:24" x14ac:dyDescent="0.25">
      <c r="X4138" s="256"/>
    </row>
    <row r="4139" spans="24:24" x14ac:dyDescent="0.25">
      <c r="X4139" s="256"/>
    </row>
    <row r="4140" spans="24:24" x14ac:dyDescent="0.25">
      <c r="X4140" s="256"/>
    </row>
    <row r="4141" spans="24:24" x14ac:dyDescent="0.25">
      <c r="X4141" s="256"/>
    </row>
    <row r="4142" spans="24:24" x14ac:dyDescent="0.25">
      <c r="X4142" s="256"/>
    </row>
    <row r="4143" spans="24:24" x14ac:dyDescent="0.25">
      <c r="X4143" s="256"/>
    </row>
    <row r="4144" spans="24:24" x14ac:dyDescent="0.25">
      <c r="X4144" s="256"/>
    </row>
    <row r="4145" spans="24:24" x14ac:dyDescent="0.25">
      <c r="X4145" s="256"/>
    </row>
    <row r="4146" spans="24:24" x14ac:dyDescent="0.25">
      <c r="X4146" s="256"/>
    </row>
    <row r="4147" spans="24:24" x14ac:dyDescent="0.25">
      <c r="X4147" s="256"/>
    </row>
    <row r="4148" spans="24:24" x14ac:dyDescent="0.25">
      <c r="X4148" s="256"/>
    </row>
    <row r="4149" spans="24:24" x14ac:dyDescent="0.25">
      <c r="X4149" s="256"/>
    </row>
    <row r="4150" spans="24:24" x14ac:dyDescent="0.25">
      <c r="X4150" s="256"/>
    </row>
    <row r="4151" spans="24:24" x14ac:dyDescent="0.25">
      <c r="X4151" s="256"/>
    </row>
    <row r="4152" spans="24:24" x14ac:dyDescent="0.25">
      <c r="X4152" s="256"/>
    </row>
    <row r="4153" spans="24:24" x14ac:dyDescent="0.25">
      <c r="X4153" s="256"/>
    </row>
    <row r="4154" spans="24:24" x14ac:dyDescent="0.25">
      <c r="X4154" s="256"/>
    </row>
    <row r="4155" spans="24:24" x14ac:dyDescent="0.25">
      <c r="X4155" s="256"/>
    </row>
    <row r="4156" spans="24:24" x14ac:dyDescent="0.25">
      <c r="X4156" s="256"/>
    </row>
    <row r="4157" spans="24:24" x14ac:dyDescent="0.25">
      <c r="X4157" s="256"/>
    </row>
    <row r="4158" spans="24:24" x14ac:dyDescent="0.25">
      <c r="X4158" s="256"/>
    </row>
    <row r="4159" spans="24:24" x14ac:dyDescent="0.25">
      <c r="X4159" s="256"/>
    </row>
    <row r="4160" spans="24:24" x14ac:dyDescent="0.25">
      <c r="X4160" s="256"/>
    </row>
    <row r="4161" spans="24:24" x14ac:dyDescent="0.25">
      <c r="X4161" s="256"/>
    </row>
    <row r="4162" spans="24:24" x14ac:dyDescent="0.25">
      <c r="X4162" s="256"/>
    </row>
    <row r="4163" spans="24:24" x14ac:dyDescent="0.25">
      <c r="X4163" s="256"/>
    </row>
    <row r="4164" spans="24:24" x14ac:dyDescent="0.25">
      <c r="X4164" s="256"/>
    </row>
    <row r="4165" spans="24:24" x14ac:dyDescent="0.25">
      <c r="X4165" s="256"/>
    </row>
    <row r="4166" spans="24:24" x14ac:dyDescent="0.25">
      <c r="X4166" s="256"/>
    </row>
    <row r="4167" spans="24:24" x14ac:dyDescent="0.25">
      <c r="X4167" s="256"/>
    </row>
    <row r="4168" spans="24:24" x14ac:dyDescent="0.25">
      <c r="X4168" s="256"/>
    </row>
    <row r="4169" spans="24:24" x14ac:dyDescent="0.25">
      <c r="X4169" s="256"/>
    </row>
    <row r="4170" spans="24:24" x14ac:dyDescent="0.25">
      <c r="X4170" s="256"/>
    </row>
    <row r="4171" spans="24:24" x14ac:dyDescent="0.25">
      <c r="X4171" s="256"/>
    </row>
    <row r="4172" spans="24:24" x14ac:dyDescent="0.25">
      <c r="X4172" s="256"/>
    </row>
    <row r="4173" spans="24:24" x14ac:dyDescent="0.25">
      <c r="X4173" s="256"/>
    </row>
    <row r="4174" spans="24:24" x14ac:dyDescent="0.25">
      <c r="X4174" s="256"/>
    </row>
    <row r="4175" spans="24:24" x14ac:dyDescent="0.25">
      <c r="X4175" s="256"/>
    </row>
    <row r="4176" spans="24:24" x14ac:dyDescent="0.25">
      <c r="X4176" s="256"/>
    </row>
    <row r="4177" spans="24:24" x14ac:dyDescent="0.25">
      <c r="X4177" s="256"/>
    </row>
    <row r="4178" spans="24:24" x14ac:dyDescent="0.25">
      <c r="X4178" s="256"/>
    </row>
    <row r="4179" spans="24:24" x14ac:dyDescent="0.25">
      <c r="X4179" s="256"/>
    </row>
    <row r="4180" spans="24:24" x14ac:dyDescent="0.25">
      <c r="X4180" s="256"/>
    </row>
    <row r="4181" spans="24:24" x14ac:dyDescent="0.25">
      <c r="X4181" s="256"/>
    </row>
    <row r="4182" spans="24:24" x14ac:dyDescent="0.25">
      <c r="X4182" s="256"/>
    </row>
    <row r="4183" spans="24:24" x14ac:dyDescent="0.25">
      <c r="X4183" s="256"/>
    </row>
    <row r="4184" spans="24:24" x14ac:dyDescent="0.25">
      <c r="X4184" s="256"/>
    </row>
    <row r="4185" spans="24:24" x14ac:dyDescent="0.25">
      <c r="X4185" s="256"/>
    </row>
    <row r="4186" spans="24:24" x14ac:dyDescent="0.25">
      <c r="X4186" s="256"/>
    </row>
    <row r="4187" spans="24:24" x14ac:dyDescent="0.25">
      <c r="X4187" s="256"/>
    </row>
    <row r="4188" spans="24:24" x14ac:dyDescent="0.25">
      <c r="X4188" s="256"/>
    </row>
    <row r="4189" spans="24:24" x14ac:dyDescent="0.25">
      <c r="X4189" s="256"/>
    </row>
    <row r="4190" spans="24:24" x14ac:dyDescent="0.25">
      <c r="X4190" s="256"/>
    </row>
    <row r="4191" spans="24:24" x14ac:dyDescent="0.25">
      <c r="X4191" s="256"/>
    </row>
    <row r="4192" spans="24:24" x14ac:dyDescent="0.25">
      <c r="X4192" s="256"/>
    </row>
    <row r="4193" spans="24:24" x14ac:dyDescent="0.25">
      <c r="X4193" s="256"/>
    </row>
    <row r="4194" spans="24:24" x14ac:dyDescent="0.25">
      <c r="X4194" s="256"/>
    </row>
    <row r="4195" spans="24:24" x14ac:dyDescent="0.25">
      <c r="X4195" s="256"/>
    </row>
    <row r="4196" spans="24:24" x14ac:dyDescent="0.25">
      <c r="X4196" s="256"/>
    </row>
    <row r="4197" spans="24:24" x14ac:dyDescent="0.25">
      <c r="X4197" s="256"/>
    </row>
    <row r="4198" spans="24:24" x14ac:dyDescent="0.25">
      <c r="X4198" s="256"/>
    </row>
    <row r="4199" spans="24:24" x14ac:dyDescent="0.25">
      <c r="X4199" s="256"/>
    </row>
    <row r="4200" spans="24:24" x14ac:dyDescent="0.25">
      <c r="X4200" s="256"/>
    </row>
    <row r="4201" spans="24:24" x14ac:dyDescent="0.25">
      <c r="X4201" s="256"/>
    </row>
    <row r="4202" spans="24:24" x14ac:dyDescent="0.25">
      <c r="X4202" s="256"/>
    </row>
    <row r="4203" spans="24:24" x14ac:dyDescent="0.25">
      <c r="X4203" s="256"/>
    </row>
    <row r="4204" spans="24:24" x14ac:dyDescent="0.25">
      <c r="X4204" s="256"/>
    </row>
    <row r="4205" spans="24:24" x14ac:dyDescent="0.25">
      <c r="X4205" s="256"/>
    </row>
    <row r="4206" spans="24:24" x14ac:dyDescent="0.25">
      <c r="X4206" s="256"/>
    </row>
    <row r="4207" spans="24:24" x14ac:dyDescent="0.25">
      <c r="X4207" s="256"/>
    </row>
    <row r="4208" spans="24:24" x14ac:dyDescent="0.25">
      <c r="X4208" s="256"/>
    </row>
    <row r="4209" spans="24:24" x14ac:dyDescent="0.25">
      <c r="X4209" s="256"/>
    </row>
    <row r="4210" spans="24:24" x14ac:dyDescent="0.25">
      <c r="X4210" s="256"/>
    </row>
    <row r="4211" spans="24:24" x14ac:dyDescent="0.25">
      <c r="X4211" s="256"/>
    </row>
    <row r="4212" spans="24:24" x14ac:dyDescent="0.25">
      <c r="X4212" s="256"/>
    </row>
    <row r="4213" spans="24:24" x14ac:dyDescent="0.25">
      <c r="X4213" s="256"/>
    </row>
    <row r="4214" spans="24:24" x14ac:dyDescent="0.25">
      <c r="X4214" s="256"/>
    </row>
    <row r="4215" spans="24:24" x14ac:dyDescent="0.25">
      <c r="X4215" s="256"/>
    </row>
    <row r="4216" spans="24:24" x14ac:dyDescent="0.25">
      <c r="X4216" s="256"/>
    </row>
    <row r="4217" spans="24:24" x14ac:dyDescent="0.25">
      <c r="X4217" s="256"/>
    </row>
    <row r="4218" spans="24:24" x14ac:dyDescent="0.25">
      <c r="X4218" s="256"/>
    </row>
    <row r="4219" spans="24:24" x14ac:dyDescent="0.25">
      <c r="X4219" s="256"/>
    </row>
    <row r="4220" spans="24:24" x14ac:dyDescent="0.25">
      <c r="X4220" s="256"/>
    </row>
    <row r="4221" spans="24:24" x14ac:dyDescent="0.25">
      <c r="X4221" s="256"/>
    </row>
    <row r="4222" spans="24:24" x14ac:dyDescent="0.25">
      <c r="X4222" s="256"/>
    </row>
    <row r="4223" spans="24:24" x14ac:dyDescent="0.25">
      <c r="X4223" s="256"/>
    </row>
    <row r="4224" spans="24:24" x14ac:dyDescent="0.25">
      <c r="X4224" s="256"/>
    </row>
    <row r="4225" spans="24:24" x14ac:dyDescent="0.25">
      <c r="X4225" s="256"/>
    </row>
    <row r="4226" spans="24:24" x14ac:dyDescent="0.25">
      <c r="X4226" s="256"/>
    </row>
    <row r="4227" spans="24:24" x14ac:dyDescent="0.25">
      <c r="X4227" s="256"/>
    </row>
    <row r="4228" spans="24:24" x14ac:dyDescent="0.25">
      <c r="X4228" s="256"/>
    </row>
    <row r="4229" spans="24:24" x14ac:dyDescent="0.25">
      <c r="X4229" s="256"/>
    </row>
    <row r="4230" spans="24:24" x14ac:dyDescent="0.25">
      <c r="X4230" s="256"/>
    </row>
    <row r="4231" spans="24:24" x14ac:dyDescent="0.25">
      <c r="X4231" s="256"/>
    </row>
    <row r="4232" spans="24:24" x14ac:dyDescent="0.25">
      <c r="X4232" s="256"/>
    </row>
    <row r="4233" spans="24:24" x14ac:dyDescent="0.25">
      <c r="X4233" s="256"/>
    </row>
    <row r="4234" spans="24:24" x14ac:dyDescent="0.25">
      <c r="X4234" s="256"/>
    </row>
    <row r="4235" spans="24:24" x14ac:dyDescent="0.25">
      <c r="X4235" s="256"/>
    </row>
    <row r="4236" spans="24:24" x14ac:dyDescent="0.25">
      <c r="X4236" s="256"/>
    </row>
    <row r="4237" spans="24:24" x14ac:dyDescent="0.25">
      <c r="X4237" s="256"/>
    </row>
    <row r="4238" spans="24:24" x14ac:dyDescent="0.25">
      <c r="X4238" s="256"/>
    </row>
    <row r="4239" spans="24:24" x14ac:dyDescent="0.25">
      <c r="X4239" s="256"/>
    </row>
    <row r="4240" spans="24:24" x14ac:dyDescent="0.25">
      <c r="X4240" s="256"/>
    </row>
    <row r="4241" spans="24:24" x14ac:dyDescent="0.25">
      <c r="X4241" s="256"/>
    </row>
    <row r="4242" spans="24:24" x14ac:dyDescent="0.25">
      <c r="X4242" s="256"/>
    </row>
    <row r="4243" spans="24:24" x14ac:dyDescent="0.25">
      <c r="X4243" s="256"/>
    </row>
    <row r="4244" spans="24:24" x14ac:dyDescent="0.25">
      <c r="X4244" s="256"/>
    </row>
    <row r="4245" spans="24:24" x14ac:dyDescent="0.25">
      <c r="X4245" s="256"/>
    </row>
    <row r="4246" spans="24:24" x14ac:dyDescent="0.25">
      <c r="X4246" s="256"/>
    </row>
    <row r="4247" spans="24:24" x14ac:dyDescent="0.25">
      <c r="X4247" s="256"/>
    </row>
    <row r="4248" spans="24:24" x14ac:dyDescent="0.25">
      <c r="X4248" s="256"/>
    </row>
    <row r="4249" spans="24:24" x14ac:dyDescent="0.25">
      <c r="X4249" s="256"/>
    </row>
    <row r="4250" spans="24:24" x14ac:dyDescent="0.25">
      <c r="X4250" s="256"/>
    </row>
    <row r="4251" spans="24:24" x14ac:dyDescent="0.25">
      <c r="X4251" s="256"/>
    </row>
    <row r="4252" spans="24:24" x14ac:dyDescent="0.25">
      <c r="X4252" s="256"/>
    </row>
    <row r="4253" spans="24:24" x14ac:dyDescent="0.25">
      <c r="X4253" s="256"/>
    </row>
    <row r="4254" spans="24:24" x14ac:dyDescent="0.25">
      <c r="X4254" s="256"/>
    </row>
    <row r="4255" spans="24:24" x14ac:dyDescent="0.25">
      <c r="X4255" s="256"/>
    </row>
    <row r="4256" spans="24:24" x14ac:dyDescent="0.25">
      <c r="X4256" s="256"/>
    </row>
    <row r="4257" spans="24:24" x14ac:dyDescent="0.25">
      <c r="X4257" s="256"/>
    </row>
    <row r="4258" spans="24:24" x14ac:dyDescent="0.25">
      <c r="X4258" s="256"/>
    </row>
    <row r="4259" spans="24:24" x14ac:dyDescent="0.25">
      <c r="X4259" s="256"/>
    </row>
    <row r="4260" spans="24:24" x14ac:dyDescent="0.25">
      <c r="X4260" s="256"/>
    </row>
    <row r="4261" spans="24:24" x14ac:dyDescent="0.25">
      <c r="X4261" s="256"/>
    </row>
    <row r="4262" spans="24:24" x14ac:dyDescent="0.25">
      <c r="X4262" s="256"/>
    </row>
    <row r="4263" spans="24:24" x14ac:dyDescent="0.25">
      <c r="X4263" s="256"/>
    </row>
    <row r="4264" spans="24:24" x14ac:dyDescent="0.25">
      <c r="X4264" s="256"/>
    </row>
    <row r="4265" spans="24:24" x14ac:dyDescent="0.25">
      <c r="X4265" s="256"/>
    </row>
    <row r="4266" spans="24:24" x14ac:dyDescent="0.25">
      <c r="X4266" s="256"/>
    </row>
    <row r="4267" spans="24:24" x14ac:dyDescent="0.25">
      <c r="X4267" s="256"/>
    </row>
    <row r="4268" spans="24:24" x14ac:dyDescent="0.25">
      <c r="X4268" s="256"/>
    </row>
    <row r="4269" spans="24:24" x14ac:dyDescent="0.25">
      <c r="X4269" s="256"/>
    </row>
    <row r="4270" spans="24:24" x14ac:dyDescent="0.25">
      <c r="X4270" s="256"/>
    </row>
    <row r="4271" spans="24:24" x14ac:dyDescent="0.25">
      <c r="X4271" s="256"/>
    </row>
    <row r="4272" spans="24:24" x14ac:dyDescent="0.25">
      <c r="X4272" s="256"/>
    </row>
    <row r="4273" spans="24:24" x14ac:dyDescent="0.25">
      <c r="X4273" s="256"/>
    </row>
    <row r="4274" spans="24:24" x14ac:dyDescent="0.25">
      <c r="X4274" s="256"/>
    </row>
    <row r="4275" spans="24:24" x14ac:dyDescent="0.25">
      <c r="X4275" s="256"/>
    </row>
    <row r="4276" spans="24:24" x14ac:dyDescent="0.25">
      <c r="X4276" s="256"/>
    </row>
    <row r="4277" spans="24:24" x14ac:dyDescent="0.25">
      <c r="X4277" s="256"/>
    </row>
    <row r="4278" spans="24:24" x14ac:dyDescent="0.25">
      <c r="X4278" s="256"/>
    </row>
    <row r="4279" spans="24:24" x14ac:dyDescent="0.25">
      <c r="X4279" s="256"/>
    </row>
    <row r="4280" spans="24:24" x14ac:dyDescent="0.25">
      <c r="X4280" s="256"/>
    </row>
    <row r="4281" spans="24:24" x14ac:dyDescent="0.25">
      <c r="X4281" s="256"/>
    </row>
    <row r="4282" spans="24:24" x14ac:dyDescent="0.25">
      <c r="X4282" s="256"/>
    </row>
    <row r="4283" spans="24:24" x14ac:dyDescent="0.25">
      <c r="X4283" s="256"/>
    </row>
    <row r="4284" spans="24:24" x14ac:dyDescent="0.25">
      <c r="X4284" s="256"/>
    </row>
    <row r="4285" spans="24:24" x14ac:dyDescent="0.25">
      <c r="X4285" s="256"/>
    </row>
    <row r="4286" spans="24:24" x14ac:dyDescent="0.25">
      <c r="X4286" s="256"/>
    </row>
    <row r="4287" spans="24:24" x14ac:dyDescent="0.25">
      <c r="X4287" s="256"/>
    </row>
    <row r="4288" spans="24:24" x14ac:dyDescent="0.25">
      <c r="X4288" s="256"/>
    </row>
    <row r="4289" spans="24:24" x14ac:dyDescent="0.25">
      <c r="X4289" s="256"/>
    </row>
    <row r="4290" spans="24:24" x14ac:dyDescent="0.25">
      <c r="X4290" s="256"/>
    </row>
    <row r="4291" spans="24:24" x14ac:dyDescent="0.25">
      <c r="X4291" s="256"/>
    </row>
    <row r="4292" spans="24:24" x14ac:dyDescent="0.25">
      <c r="X4292" s="256"/>
    </row>
    <row r="4293" spans="24:24" x14ac:dyDescent="0.25">
      <c r="X4293" s="256"/>
    </row>
    <row r="4294" spans="24:24" x14ac:dyDescent="0.25">
      <c r="X4294" s="256"/>
    </row>
    <row r="4295" spans="24:24" x14ac:dyDescent="0.25">
      <c r="X4295" s="256"/>
    </row>
    <row r="4296" spans="24:24" x14ac:dyDescent="0.25">
      <c r="X4296" s="256"/>
    </row>
    <row r="4297" spans="24:24" x14ac:dyDescent="0.25">
      <c r="X4297" s="256"/>
    </row>
    <row r="4298" spans="24:24" x14ac:dyDescent="0.25">
      <c r="X4298" s="256"/>
    </row>
    <row r="4299" spans="24:24" x14ac:dyDescent="0.25">
      <c r="X4299" s="256"/>
    </row>
    <row r="4300" spans="24:24" x14ac:dyDescent="0.25">
      <c r="X4300" s="256"/>
    </row>
    <row r="4301" spans="24:24" x14ac:dyDescent="0.25">
      <c r="X4301" s="256"/>
    </row>
    <row r="4302" spans="24:24" x14ac:dyDescent="0.25">
      <c r="X4302" s="256"/>
    </row>
    <row r="4303" spans="24:24" x14ac:dyDescent="0.25">
      <c r="X4303" s="256"/>
    </row>
    <row r="4304" spans="24:24" x14ac:dyDescent="0.25">
      <c r="X4304" s="256"/>
    </row>
    <row r="4305" spans="24:24" x14ac:dyDescent="0.25">
      <c r="X4305" s="256"/>
    </row>
    <row r="4306" spans="24:24" x14ac:dyDescent="0.25">
      <c r="X4306" s="256"/>
    </row>
    <row r="4307" spans="24:24" x14ac:dyDescent="0.25">
      <c r="X4307" s="256"/>
    </row>
    <row r="4308" spans="24:24" x14ac:dyDescent="0.25">
      <c r="X4308" s="256"/>
    </row>
    <row r="4309" spans="24:24" x14ac:dyDescent="0.25">
      <c r="X4309" s="256"/>
    </row>
    <row r="4310" spans="24:24" x14ac:dyDescent="0.25">
      <c r="X4310" s="256"/>
    </row>
    <row r="4311" spans="24:24" x14ac:dyDescent="0.25">
      <c r="X4311" s="256"/>
    </row>
    <row r="4312" spans="24:24" x14ac:dyDescent="0.25">
      <c r="X4312" s="256"/>
    </row>
    <row r="4313" spans="24:24" x14ac:dyDescent="0.25">
      <c r="X4313" s="256"/>
    </row>
    <row r="4314" spans="24:24" x14ac:dyDescent="0.25">
      <c r="X4314" s="256"/>
    </row>
    <row r="4315" spans="24:24" x14ac:dyDescent="0.25">
      <c r="X4315" s="256"/>
    </row>
    <row r="4316" spans="24:24" x14ac:dyDescent="0.25">
      <c r="X4316" s="256"/>
    </row>
    <row r="4317" spans="24:24" x14ac:dyDescent="0.25">
      <c r="X4317" s="256"/>
    </row>
    <row r="4318" spans="24:24" x14ac:dyDescent="0.25">
      <c r="X4318" s="256"/>
    </row>
    <row r="4319" spans="24:24" x14ac:dyDescent="0.25">
      <c r="X4319" s="256"/>
    </row>
    <row r="4320" spans="24:24" x14ac:dyDescent="0.25">
      <c r="X4320" s="256"/>
    </row>
    <row r="4321" spans="24:24" x14ac:dyDescent="0.25">
      <c r="X4321" s="256"/>
    </row>
    <row r="4322" spans="24:24" x14ac:dyDescent="0.25">
      <c r="X4322" s="256"/>
    </row>
    <row r="4323" spans="24:24" x14ac:dyDescent="0.25">
      <c r="X4323" s="256"/>
    </row>
    <row r="4324" spans="24:24" x14ac:dyDescent="0.25">
      <c r="X4324" s="256"/>
    </row>
    <row r="4325" spans="24:24" x14ac:dyDescent="0.25">
      <c r="X4325" s="256"/>
    </row>
    <row r="4326" spans="24:24" x14ac:dyDescent="0.25">
      <c r="X4326" s="256"/>
    </row>
    <row r="4327" spans="24:24" x14ac:dyDescent="0.25">
      <c r="X4327" s="256"/>
    </row>
    <row r="4328" spans="24:24" x14ac:dyDescent="0.25">
      <c r="X4328" s="256"/>
    </row>
    <row r="4329" spans="24:24" x14ac:dyDescent="0.25">
      <c r="X4329" s="256"/>
    </row>
    <row r="4330" spans="24:24" x14ac:dyDescent="0.25">
      <c r="X4330" s="256"/>
    </row>
    <row r="4331" spans="24:24" x14ac:dyDescent="0.25">
      <c r="X4331" s="256"/>
    </row>
    <row r="4332" spans="24:24" x14ac:dyDescent="0.25">
      <c r="X4332" s="256"/>
    </row>
    <row r="4333" spans="24:24" x14ac:dyDescent="0.25">
      <c r="X4333" s="256"/>
    </row>
    <row r="4334" spans="24:24" x14ac:dyDescent="0.25">
      <c r="X4334" s="256"/>
    </row>
    <row r="4335" spans="24:24" x14ac:dyDescent="0.25">
      <c r="X4335" s="256"/>
    </row>
    <row r="4336" spans="24:24" x14ac:dyDescent="0.25">
      <c r="X4336" s="256"/>
    </row>
    <row r="4337" spans="24:24" x14ac:dyDescent="0.25">
      <c r="X4337" s="256"/>
    </row>
    <row r="4338" spans="24:24" x14ac:dyDescent="0.25">
      <c r="X4338" s="256"/>
    </row>
    <row r="4339" spans="24:24" x14ac:dyDescent="0.25">
      <c r="X4339" s="256"/>
    </row>
    <row r="4340" spans="24:24" x14ac:dyDescent="0.25">
      <c r="X4340" s="256"/>
    </row>
    <row r="4341" spans="24:24" x14ac:dyDescent="0.25">
      <c r="X4341" s="256"/>
    </row>
    <row r="4342" spans="24:24" x14ac:dyDescent="0.25">
      <c r="X4342" s="256"/>
    </row>
    <row r="4343" spans="24:24" x14ac:dyDescent="0.25">
      <c r="X4343" s="256"/>
    </row>
    <row r="4344" spans="24:24" x14ac:dyDescent="0.25">
      <c r="X4344" s="256"/>
    </row>
    <row r="4345" spans="24:24" x14ac:dyDescent="0.25">
      <c r="X4345" s="256"/>
    </row>
    <row r="4346" spans="24:24" x14ac:dyDescent="0.25">
      <c r="X4346" s="256"/>
    </row>
    <row r="4347" spans="24:24" x14ac:dyDescent="0.25">
      <c r="X4347" s="256"/>
    </row>
    <row r="4348" spans="24:24" x14ac:dyDescent="0.25">
      <c r="X4348" s="256"/>
    </row>
    <row r="4349" spans="24:24" x14ac:dyDescent="0.25">
      <c r="X4349" s="256"/>
    </row>
    <row r="4350" spans="24:24" x14ac:dyDescent="0.25">
      <c r="X4350" s="256"/>
    </row>
    <row r="4351" spans="24:24" x14ac:dyDescent="0.25">
      <c r="X4351" s="256"/>
    </row>
    <row r="4352" spans="24:24" x14ac:dyDescent="0.25">
      <c r="X4352" s="256"/>
    </row>
    <row r="4353" spans="24:24" x14ac:dyDescent="0.25">
      <c r="X4353" s="256"/>
    </row>
    <row r="4354" spans="24:24" x14ac:dyDescent="0.25">
      <c r="X4354" s="256"/>
    </row>
    <row r="4355" spans="24:24" x14ac:dyDescent="0.25">
      <c r="X4355" s="256"/>
    </row>
    <row r="4356" spans="24:24" x14ac:dyDescent="0.25">
      <c r="X4356" s="256"/>
    </row>
    <row r="4357" spans="24:24" x14ac:dyDescent="0.25">
      <c r="X4357" s="256"/>
    </row>
    <row r="4358" spans="24:24" x14ac:dyDescent="0.25">
      <c r="X4358" s="256"/>
    </row>
    <row r="4359" spans="24:24" x14ac:dyDescent="0.25">
      <c r="X4359" s="256"/>
    </row>
    <row r="4360" spans="24:24" x14ac:dyDescent="0.25">
      <c r="X4360" s="256"/>
    </row>
    <row r="4361" spans="24:24" x14ac:dyDescent="0.25">
      <c r="X4361" s="256"/>
    </row>
    <row r="4362" spans="24:24" x14ac:dyDescent="0.25">
      <c r="X4362" s="256"/>
    </row>
    <row r="4363" spans="24:24" x14ac:dyDescent="0.25">
      <c r="X4363" s="256"/>
    </row>
    <row r="4364" spans="24:24" x14ac:dyDescent="0.25">
      <c r="X4364" s="256"/>
    </row>
    <row r="4365" spans="24:24" x14ac:dyDescent="0.25">
      <c r="X4365" s="256"/>
    </row>
    <row r="4366" spans="24:24" x14ac:dyDescent="0.25">
      <c r="X4366" s="256"/>
    </row>
    <row r="4367" spans="24:24" x14ac:dyDescent="0.25">
      <c r="X4367" s="256"/>
    </row>
    <row r="4368" spans="24:24" x14ac:dyDescent="0.25">
      <c r="X4368" s="256"/>
    </row>
    <row r="4369" spans="24:24" x14ac:dyDescent="0.25">
      <c r="X4369" s="256"/>
    </row>
    <row r="4370" spans="24:24" x14ac:dyDescent="0.25">
      <c r="X4370" s="256"/>
    </row>
    <row r="4371" spans="24:24" x14ac:dyDescent="0.25">
      <c r="X4371" s="256"/>
    </row>
    <row r="4372" spans="24:24" x14ac:dyDescent="0.25">
      <c r="X4372" s="256"/>
    </row>
    <row r="4373" spans="24:24" x14ac:dyDescent="0.25">
      <c r="X4373" s="256"/>
    </row>
    <row r="4374" spans="24:24" x14ac:dyDescent="0.25">
      <c r="X4374" s="256"/>
    </row>
    <row r="4375" spans="24:24" x14ac:dyDescent="0.25">
      <c r="X4375" s="256"/>
    </row>
    <row r="4376" spans="24:24" x14ac:dyDescent="0.25">
      <c r="X4376" s="256"/>
    </row>
    <row r="4377" spans="24:24" x14ac:dyDescent="0.25">
      <c r="X4377" s="256"/>
    </row>
    <row r="4378" spans="24:24" x14ac:dyDescent="0.25">
      <c r="X4378" s="256"/>
    </row>
    <row r="4379" spans="24:24" x14ac:dyDescent="0.25">
      <c r="X4379" s="256"/>
    </row>
    <row r="4380" spans="24:24" x14ac:dyDescent="0.25">
      <c r="X4380" s="256"/>
    </row>
    <row r="4381" spans="24:24" x14ac:dyDescent="0.25">
      <c r="X4381" s="256"/>
    </row>
    <row r="4382" spans="24:24" x14ac:dyDescent="0.25">
      <c r="X4382" s="256"/>
    </row>
    <row r="4383" spans="24:24" x14ac:dyDescent="0.25">
      <c r="X4383" s="256"/>
    </row>
    <row r="4384" spans="24:24" x14ac:dyDescent="0.25">
      <c r="X4384" s="256"/>
    </row>
    <row r="4385" spans="24:24" x14ac:dyDescent="0.25">
      <c r="X4385" s="256"/>
    </row>
    <row r="4386" spans="24:24" x14ac:dyDescent="0.25">
      <c r="X4386" s="256"/>
    </row>
    <row r="4387" spans="24:24" x14ac:dyDescent="0.25">
      <c r="X4387" s="256"/>
    </row>
    <row r="4388" spans="24:24" x14ac:dyDescent="0.25">
      <c r="X4388" s="256"/>
    </row>
    <row r="4389" spans="24:24" x14ac:dyDescent="0.25">
      <c r="X4389" s="256"/>
    </row>
    <row r="4390" spans="24:24" x14ac:dyDescent="0.25">
      <c r="X4390" s="256"/>
    </row>
    <row r="4391" spans="24:24" x14ac:dyDescent="0.25">
      <c r="X4391" s="256"/>
    </row>
    <row r="4392" spans="24:24" x14ac:dyDescent="0.25">
      <c r="X4392" s="256"/>
    </row>
    <row r="4393" spans="24:24" x14ac:dyDescent="0.25">
      <c r="X4393" s="256"/>
    </row>
    <row r="4394" spans="24:24" x14ac:dyDescent="0.25">
      <c r="X4394" s="256"/>
    </row>
    <row r="4395" spans="24:24" x14ac:dyDescent="0.25">
      <c r="X4395" s="256"/>
    </row>
    <row r="4396" spans="24:24" x14ac:dyDescent="0.25">
      <c r="X4396" s="256"/>
    </row>
    <row r="4397" spans="24:24" x14ac:dyDescent="0.25">
      <c r="X4397" s="256"/>
    </row>
    <row r="4398" spans="24:24" x14ac:dyDescent="0.25">
      <c r="X4398" s="256"/>
    </row>
    <row r="4399" spans="24:24" x14ac:dyDescent="0.25">
      <c r="X4399" s="256"/>
    </row>
    <row r="4400" spans="24:24" x14ac:dyDescent="0.25">
      <c r="X4400" s="256"/>
    </row>
    <row r="4401" spans="24:24" x14ac:dyDescent="0.25">
      <c r="X4401" s="256"/>
    </row>
    <row r="4402" spans="24:24" x14ac:dyDescent="0.25">
      <c r="X4402" s="256"/>
    </row>
    <row r="4403" spans="24:24" x14ac:dyDescent="0.25">
      <c r="X4403" s="256"/>
    </row>
    <row r="4404" spans="24:24" x14ac:dyDescent="0.25">
      <c r="X4404" s="256"/>
    </row>
    <row r="4405" spans="24:24" x14ac:dyDescent="0.25">
      <c r="X4405" s="256"/>
    </row>
    <row r="4406" spans="24:24" x14ac:dyDescent="0.25">
      <c r="X4406" s="256"/>
    </row>
    <row r="4407" spans="24:24" x14ac:dyDescent="0.25">
      <c r="X4407" s="256"/>
    </row>
    <row r="4408" spans="24:24" x14ac:dyDescent="0.25">
      <c r="X4408" s="256"/>
    </row>
    <row r="4409" spans="24:24" x14ac:dyDescent="0.25">
      <c r="X4409" s="256"/>
    </row>
    <row r="4410" spans="24:24" x14ac:dyDescent="0.25">
      <c r="X4410" s="256"/>
    </row>
    <row r="4411" spans="24:24" x14ac:dyDescent="0.25">
      <c r="X4411" s="256"/>
    </row>
    <row r="4412" spans="24:24" x14ac:dyDescent="0.25">
      <c r="X4412" s="256"/>
    </row>
    <row r="4413" spans="24:24" x14ac:dyDescent="0.25">
      <c r="X4413" s="256"/>
    </row>
    <row r="4414" spans="24:24" x14ac:dyDescent="0.25">
      <c r="X4414" s="256"/>
    </row>
    <row r="4415" spans="24:24" x14ac:dyDescent="0.25">
      <c r="X4415" s="256"/>
    </row>
    <row r="4416" spans="24:24" x14ac:dyDescent="0.25">
      <c r="X4416" s="256"/>
    </row>
    <row r="4417" spans="24:24" x14ac:dyDescent="0.25">
      <c r="X4417" s="256"/>
    </row>
    <row r="4418" spans="24:24" x14ac:dyDescent="0.25">
      <c r="X4418" s="256"/>
    </row>
    <row r="4419" spans="24:24" x14ac:dyDescent="0.25">
      <c r="X4419" s="256"/>
    </row>
    <row r="4420" spans="24:24" x14ac:dyDescent="0.25">
      <c r="X4420" s="256"/>
    </row>
    <row r="4421" spans="24:24" x14ac:dyDescent="0.25">
      <c r="X4421" s="256"/>
    </row>
    <row r="4422" spans="24:24" x14ac:dyDescent="0.25">
      <c r="X4422" s="256"/>
    </row>
    <row r="4423" spans="24:24" x14ac:dyDescent="0.25">
      <c r="X4423" s="256"/>
    </row>
    <row r="4424" spans="24:24" x14ac:dyDescent="0.25">
      <c r="X4424" s="256"/>
    </row>
    <row r="4425" spans="24:24" x14ac:dyDescent="0.25">
      <c r="X4425" s="256"/>
    </row>
    <row r="4426" spans="24:24" x14ac:dyDescent="0.25">
      <c r="X4426" s="256"/>
    </row>
    <row r="4427" spans="24:24" x14ac:dyDescent="0.25">
      <c r="X4427" s="256"/>
    </row>
    <row r="4428" spans="24:24" x14ac:dyDescent="0.25">
      <c r="X4428" s="256"/>
    </row>
    <row r="4429" spans="24:24" x14ac:dyDescent="0.25">
      <c r="X4429" s="256"/>
    </row>
    <row r="4430" spans="24:24" x14ac:dyDescent="0.25">
      <c r="X4430" s="256"/>
    </row>
    <row r="4431" spans="24:24" x14ac:dyDescent="0.25">
      <c r="X4431" s="256"/>
    </row>
    <row r="4432" spans="24:24" x14ac:dyDescent="0.25">
      <c r="X4432" s="256"/>
    </row>
    <row r="4433" spans="24:24" x14ac:dyDescent="0.25">
      <c r="X4433" s="256"/>
    </row>
    <row r="4434" spans="24:24" x14ac:dyDescent="0.25">
      <c r="X4434" s="256"/>
    </row>
    <row r="4435" spans="24:24" x14ac:dyDescent="0.25">
      <c r="X4435" s="256"/>
    </row>
    <row r="4436" spans="24:24" x14ac:dyDescent="0.25">
      <c r="X4436" s="256"/>
    </row>
    <row r="4437" spans="24:24" x14ac:dyDescent="0.25">
      <c r="X4437" s="256"/>
    </row>
    <row r="4438" spans="24:24" x14ac:dyDescent="0.25">
      <c r="X4438" s="256"/>
    </row>
    <row r="4439" spans="24:24" x14ac:dyDescent="0.25">
      <c r="X4439" s="256"/>
    </row>
    <row r="4440" spans="24:24" x14ac:dyDescent="0.25">
      <c r="X4440" s="256"/>
    </row>
    <row r="4441" spans="24:24" x14ac:dyDescent="0.25">
      <c r="X4441" s="256"/>
    </row>
    <row r="4442" spans="24:24" x14ac:dyDescent="0.25">
      <c r="X4442" s="256"/>
    </row>
    <row r="4443" spans="24:24" x14ac:dyDescent="0.25">
      <c r="X4443" s="256"/>
    </row>
    <row r="4444" spans="24:24" x14ac:dyDescent="0.25">
      <c r="X4444" s="256"/>
    </row>
    <row r="4445" spans="24:24" x14ac:dyDescent="0.25">
      <c r="X4445" s="256"/>
    </row>
    <row r="4446" spans="24:24" x14ac:dyDescent="0.25">
      <c r="X4446" s="256"/>
    </row>
    <row r="4447" spans="24:24" x14ac:dyDescent="0.25">
      <c r="X4447" s="256"/>
    </row>
    <row r="4448" spans="24:24" x14ac:dyDescent="0.25">
      <c r="X4448" s="256"/>
    </row>
    <row r="4449" spans="24:24" x14ac:dyDescent="0.25">
      <c r="X4449" s="256"/>
    </row>
    <row r="4450" spans="24:24" x14ac:dyDescent="0.25">
      <c r="X4450" s="256"/>
    </row>
    <row r="4451" spans="24:24" x14ac:dyDescent="0.25">
      <c r="X4451" s="256"/>
    </row>
    <row r="4452" spans="24:24" x14ac:dyDescent="0.25">
      <c r="X4452" s="256"/>
    </row>
    <row r="4453" spans="24:24" x14ac:dyDescent="0.25">
      <c r="X4453" s="256"/>
    </row>
    <row r="4454" spans="24:24" x14ac:dyDescent="0.25">
      <c r="X4454" s="256"/>
    </row>
    <row r="4455" spans="24:24" x14ac:dyDescent="0.25">
      <c r="X4455" s="256"/>
    </row>
    <row r="4456" spans="24:24" x14ac:dyDescent="0.25">
      <c r="X4456" s="256"/>
    </row>
    <row r="4457" spans="24:24" x14ac:dyDescent="0.25">
      <c r="X4457" s="256"/>
    </row>
    <row r="4458" spans="24:24" x14ac:dyDescent="0.25">
      <c r="X4458" s="256"/>
    </row>
    <row r="4459" spans="24:24" x14ac:dyDescent="0.25">
      <c r="X4459" s="256"/>
    </row>
    <row r="4460" spans="24:24" x14ac:dyDescent="0.25">
      <c r="X4460" s="256"/>
    </row>
    <row r="4461" spans="24:24" x14ac:dyDescent="0.25">
      <c r="X4461" s="256"/>
    </row>
    <row r="4462" spans="24:24" x14ac:dyDescent="0.25">
      <c r="X4462" s="256"/>
    </row>
    <row r="4463" spans="24:24" x14ac:dyDescent="0.25">
      <c r="X4463" s="256"/>
    </row>
    <row r="4464" spans="24:24" x14ac:dyDescent="0.25">
      <c r="X4464" s="256"/>
    </row>
    <row r="4465" spans="24:24" x14ac:dyDescent="0.25">
      <c r="X4465" s="256"/>
    </row>
    <row r="4466" spans="24:24" x14ac:dyDescent="0.25">
      <c r="X4466" s="256"/>
    </row>
    <row r="4467" spans="24:24" x14ac:dyDescent="0.25">
      <c r="X4467" s="256"/>
    </row>
    <row r="4468" spans="24:24" x14ac:dyDescent="0.25">
      <c r="X4468" s="256"/>
    </row>
    <row r="4469" spans="24:24" x14ac:dyDescent="0.25">
      <c r="X4469" s="256"/>
    </row>
    <row r="4470" spans="24:24" x14ac:dyDescent="0.25">
      <c r="X4470" s="256"/>
    </row>
    <row r="4471" spans="24:24" x14ac:dyDescent="0.25">
      <c r="X4471" s="256"/>
    </row>
    <row r="4472" spans="24:24" x14ac:dyDescent="0.25">
      <c r="X4472" s="256"/>
    </row>
    <row r="4473" spans="24:24" x14ac:dyDescent="0.25">
      <c r="X4473" s="256"/>
    </row>
    <row r="4474" spans="24:24" x14ac:dyDescent="0.25">
      <c r="X4474" s="256"/>
    </row>
    <row r="4475" spans="24:24" x14ac:dyDescent="0.25">
      <c r="X4475" s="256"/>
    </row>
    <row r="4476" spans="24:24" x14ac:dyDescent="0.25">
      <c r="X4476" s="256"/>
    </row>
    <row r="4477" spans="24:24" x14ac:dyDescent="0.25">
      <c r="X4477" s="256"/>
    </row>
    <row r="4478" spans="24:24" x14ac:dyDescent="0.25">
      <c r="X4478" s="256"/>
    </row>
    <row r="4479" spans="24:24" x14ac:dyDescent="0.25">
      <c r="X4479" s="256"/>
    </row>
    <row r="4480" spans="24:24" x14ac:dyDescent="0.25">
      <c r="X4480" s="256"/>
    </row>
    <row r="4481" spans="24:24" x14ac:dyDescent="0.25">
      <c r="X4481" s="256"/>
    </row>
    <row r="4482" spans="24:24" x14ac:dyDescent="0.25">
      <c r="X4482" s="256"/>
    </row>
    <row r="4483" spans="24:24" x14ac:dyDescent="0.25">
      <c r="X4483" s="256"/>
    </row>
    <row r="4484" spans="24:24" x14ac:dyDescent="0.25">
      <c r="X4484" s="256"/>
    </row>
    <row r="4485" spans="24:24" x14ac:dyDescent="0.25">
      <c r="X4485" s="256"/>
    </row>
    <row r="4486" spans="24:24" x14ac:dyDescent="0.25">
      <c r="X4486" s="256"/>
    </row>
    <row r="4487" spans="24:24" x14ac:dyDescent="0.25">
      <c r="X4487" s="256"/>
    </row>
    <row r="4488" spans="24:24" x14ac:dyDescent="0.25">
      <c r="X4488" s="256"/>
    </row>
    <row r="4489" spans="24:24" x14ac:dyDescent="0.25">
      <c r="X4489" s="256"/>
    </row>
    <row r="4490" spans="24:24" x14ac:dyDescent="0.25">
      <c r="X4490" s="256"/>
    </row>
    <row r="4491" spans="24:24" x14ac:dyDescent="0.25">
      <c r="X4491" s="256"/>
    </row>
    <row r="4492" spans="24:24" x14ac:dyDescent="0.25">
      <c r="X4492" s="256"/>
    </row>
    <row r="4493" spans="24:24" x14ac:dyDescent="0.25">
      <c r="X4493" s="256"/>
    </row>
    <row r="4494" spans="24:24" x14ac:dyDescent="0.25">
      <c r="X4494" s="256"/>
    </row>
    <row r="4495" spans="24:24" x14ac:dyDescent="0.25">
      <c r="X4495" s="256"/>
    </row>
    <row r="4496" spans="24:24" x14ac:dyDescent="0.25">
      <c r="X4496" s="256"/>
    </row>
    <row r="4497" spans="24:24" x14ac:dyDescent="0.25">
      <c r="X4497" s="256"/>
    </row>
    <row r="4498" spans="24:24" x14ac:dyDescent="0.25">
      <c r="X4498" s="256"/>
    </row>
    <row r="4499" spans="24:24" x14ac:dyDescent="0.25">
      <c r="X4499" s="256"/>
    </row>
    <row r="4500" spans="24:24" x14ac:dyDescent="0.25">
      <c r="X4500" s="256"/>
    </row>
    <row r="4501" spans="24:24" x14ac:dyDescent="0.25">
      <c r="X4501" s="256"/>
    </row>
    <row r="4502" spans="24:24" x14ac:dyDescent="0.25">
      <c r="X4502" s="256"/>
    </row>
    <row r="4503" spans="24:24" x14ac:dyDescent="0.25">
      <c r="X4503" s="256"/>
    </row>
    <row r="4504" spans="24:24" x14ac:dyDescent="0.25">
      <c r="X4504" s="256"/>
    </row>
    <row r="4505" spans="24:24" x14ac:dyDescent="0.25">
      <c r="X4505" s="256"/>
    </row>
    <row r="4506" spans="24:24" x14ac:dyDescent="0.25">
      <c r="X4506" s="256"/>
    </row>
    <row r="4507" spans="24:24" x14ac:dyDescent="0.25">
      <c r="X4507" s="256"/>
    </row>
    <row r="4508" spans="24:24" x14ac:dyDescent="0.25">
      <c r="X4508" s="256"/>
    </row>
    <row r="4509" spans="24:24" x14ac:dyDescent="0.25">
      <c r="X4509" s="256"/>
    </row>
    <row r="4510" spans="24:24" x14ac:dyDescent="0.25">
      <c r="X4510" s="256"/>
    </row>
    <row r="4511" spans="24:24" x14ac:dyDescent="0.25">
      <c r="X4511" s="256"/>
    </row>
    <row r="4512" spans="24:24" x14ac:dyDescent="0.25">
      <c r="X4512" s="256"/>
    </row>
    <row r="4513" spans="24:24" x14ac:dyDescent="0.25">
      <c r="X4513" s="256"/>
    </row>
    <row r="4514" spans="24:24" x14ac:dyDescent="0.25">
      <c r="X4514" s="256"/>
    </row>
    <row r="4515" spans="24:24" x14ac:dyDescent="0.25">
      <c r="X4515" s="256"/>
    </row>
    <row r="4516" spans="24:24" x14ac:dyDescent="0.25">
      <c r="X4516" s="256"/>
    </row>
    <row r="4517" spans="24:24" x14ac:dyDescent="0.25">
      <c r="X4517" s="256"/>
    </row>
    <row r="4518" spans="24:24" x14ac:dyDescent="0.25">
      <c r="X4518" s="256"/>
    </row>
    <row r="4519" spans="24:24" x14ac:dyDescent="0.25">
      <c r="X4519" s="256"/>
    </row>
    <row r="4520" spans="24:24" x14ac:dyDescent="0.25">
      <c r="X4520" s="256"/>
    </row>
    <row r="4521" spans="24:24" x14ac:dyDescent="0.25">
      <c r="X4521" s="256"/>
    </row>
    <row r="4522" spans="24:24" x14ac:dyDescent="0.25">
      <c r="X4522" s="256"/>
    </row>
    <row r="4523" spans="24:24" x14ac:dyDescent="0.25">
      <c r="X4523" s="256"/>
    </row>
    <row r="4524" spans="24:24" x14ac:dyDescent="0.25">
      <c r="X4524" s="256"/>
    </row>
    <row r="4525" spans="24:24" x14ac:dyDescent="0.25">
      <c r="X4525" s="256"/>
    </row>
    <row r="4526" spans="24:24" x14ac:dyDescent="0.25">
      <c r="X4526" s="256"/>
    </row>
    <row r="4527" spans="24:24" x14ac:dyDescent="0.25">
      <c r="X4527" s="256"/>
    </row>
    <row r="4528" spans="24:24" x14ac:dyDescent="0.25">
      <c r="X4528" s="256"/>
    </row>
    <row r="4529" spans="24:24" x14ac:dyDescent="0.25">
      <c r="X4529" s="256"/>
    </row>
    <row r="4530" spans="24:24" x14ac:dyDescent="0.25">
      <c r="X4530" s="256"/>
    </row>
    <row r="4531" spans="24:24" x14ac:dyDescent="0.25">
      <c r="X4531" s="256"/>
    </row>
    <row r="4532" spans="24:24" x14ac:dyDescent="0.25">
      <c r="X4532" s="256"/>
    </row>
    <row r="4533" spans="24:24" x14ac:dyDescent="0.25">
      <c r="X4533" s="256"/>
    </row>
    <row r="4534" spans="24:24" x14ac:dyDescent="0.25">
      <c r="X4534" s="256"/>
    </row>
    <row r="4535" spans="24:24" x14ac:dyDescent="0.25">
      <c r="X4535" s="256"/>
    </row>
    <row r="4536" spans="24:24" x14ac:dyDescent="0.25">
      <c r="X4536" s="256"/>
    </row>
    <row r="4537" spans="24:24" x14ac:dyDescent="0.25">
      <c r="X4537" s="256"/>
    </row>
    <row r="4538" spans="24:24" x14ac:dyDescent="0.25">
      <c r="X4538" s="256"/>
    </row>
    <row r="4539" spans="24:24" x14ac:dyDescent="0.25">
      <c r="X4539" s="256"/>
    </row>
    <row r="4540" spans="24:24" x14ac:dyDescent="0.25">
      <c r="X4540" s="256"/>
    </row>
    <row r="4541" spans="24:24" x14ac:dyDescent="0.25">
      <c r="X4541" s="256"/>
    </row>
    <row r="4542" spans="24:24" x14ac:dyDescent="0.25">
      <c r="X4542" s="256"/>
    </row>
    <row r="4543" spans="24:24" x14ac:dyDescent="0.25">
      <c r="X4543" s="256"/>
    </row>
    <row r="4544" spans="24:24" x14ac:dyDescent="0.25">
      <c r="X4544" s="256"/>
    </row>
    <row r="4545" spans="24:24" x14ac:dyDescent="0.25">
      <c r="X4545" s="256"/>
    </row>
    <row r="4546" spans="24:24" x14ac:dyDescent="0.25">
      <c r="X4546" s="256"/>
    </row>
    <row r="4547" spans="24:24" x14ac:dyDescent="0.25">
      <c r="X4547" s="256"/>
    </row>
    <row r="4548" spans="24:24" x14ac:dyDescent="0.25">
      <c r="X4548" s="256"/>
    </row>
    <row r="4549" spans="24:24" x14ac:dyDescent="0.25">
      <c r="X4549" s="256"/>
    </row>
    <row r="4550" spans="24:24" x14ac:dyDescent="0.25">
      <c r="X4550" s="256"/>
    </row>
    <row r="4551" spans="24:24" x14ac:dyDescent="0.25">
      <c r="X4551" s="256"/>
    </row>
    <row r="4552" spans="24:24" x14ac:dyDescent="0.25">
      <c r="X4552" s="256"/>
    </row>
    <row r="4553" spans="24:24" x14ac:dyDescent="0.25">
      <c r="X4553" s="256"/>
    </row>
    <row r="4554" spans="24:24" x14ac:dyDescent="0.25">
      <c r="X4554" s="256"/>
    </row>
    <row r="4555" spans="24:24" x14ac:dyDescent="0.25">
      <c r="X4555" s="256"/>
    </row>
    <row r="4556" spans="24:24" x14ac:dyDescent="0.25">
      <c r="X4556" s="256"/>
    </row>
    <row r="4557" spans="24:24" x14ac:dyDescent="0.25">
      <c r="X4557" s="256"/>
    </row>
    <row r="4558" spans="24:24" x14ac:dyDescent="0.25">
      <c r="X4558" s="256"/>
    </row>
    <row r="4559" spans="24:24" x14ac:dyDescent="0.25">
      <c r="X4559" s="256"/>
    </row>
    <row r="4560" spans="24:24" x14ac:dyDescent="0.25">
      <c r="X4560" s="256"/>
    </row>
    <row r="4561" spans="24:24" x14ac:dyDescent="0.25">
      <c r="X4561" s="256"/>
    </row>
    <row r="4562" spans="24:24" x14ac:dyDescent="0.25">
      <c r="X4562" s="256"/>
    </row>
    <row r="4563" spans="24:24" x14ac:dyDescent="0.25">
      <c r="X4563" s="256"/>
    </row>
    <row r="4564" spans="24:24" x14ac:dyDescent="0.25">
      <c r="X4564" s="256"/>
    </row>
    <row r="4565" spans="24:24" x14ac:dyDescent="0.25">
      <c r="X4565" s="256"/>
    </row>
    <row r="4566" spans="24:24" x14ac:dyDescent="0.25">
      <c r="X4566" s="256"/>
    </row>
    <row r="4567" spans="24:24" x14ac:dyDescent="0.25">
      <c r="X4567" s="256"/>
    </row>
    <row r="4568" spans="24:24" x14ac:dyDescent="0.25">
      <c r="X4568" s="256"/>
    </row>
    <row r="4569" spans="24:24" x14ac:dyDescent="0.25">
      <c r="X4569" s="256"/>
    </row>
    <row r="4570" spans="24:24" x14ac:dyDescent="0.25">
      <c r="X4570" s="256"/>
    </row>
    <row r="4571" spans="24:24" x14ac:dyDescent="0.25">
      <c r="X4571" s="256"/>
    </row>
    <row r="4572" spans="24:24" x14ac:dyDescent="0.25">
      <c r="X4572" s="256"/>
    </row>
    <row r="4573" spans="24:24" x14ac:dyDescent="0.25">
      <c r="X4573" s="256"/>
    </row>
    <row r="4574" spans="24:24" x14ac:dyDescent="0.25">
      <c r="X4574" s="256"/>
    </row>
    <row r="4575" spans="24:24" x14ac:dyDescent="0.25">
      <c r="X4575" s="256"/>
    </row>
    <row r="4576" spans="24:24" x14ac:dyDescent="0.25">
      <c r="X4576" s="256"/>
    </row>
    <row r="4577" spans="24:24" x14ac:dyDescent="0.25">
      <c r="X4577" s="256"/>
    </row>
    <row r="4578" spans="24:24" x14ac:dyDescent="0.25">
      <c r="X4578" s="256"/>
    </row>
    <row r="4579" spans="24:24" x14ac:dyDescent="0.25">
      <c r="X4579" s="256"/>
    </row>
    <row r="4580" spans="24:24" x14ac:dyDescent="0.25">
      <c r="X4580" s="256"/>
    </row>
    <row r="4581" spans="24:24" x14ac:dyDescent="0.25">
      <c r="X4581" s="256"/>
    </row>
    <row r="4582" spans="24:24" x14ac:dyDescent="0.25">
      <c r="X4582" s="256"/>
    </row>
    <row r="4583" spans="24:24" x14ac:dyDescent="0.25">
      <c r="X4583" s="256"/>
    </row>
    <row r="4584" spans="24:24" x14ac:dyDescent="0.25">
      <c r="X4584" s="256"/>
    </row>
    <row r="4585" spans="24:24" x14ac:dyDescent="0.25">
      <c r="X4585" s="256"/>
    </row>
    <row r="4586" spans="24:24" x14ac:dyDescent="0.25">
      <c r="X4586" s="256"/>
    </row>
    <row r="4587" spans="24:24" x14ac:dyDescent="0.25">
      <c r="X4587" s="256"/>
    </row>
    <row r="4588" spans="24:24" x14ac:dyDescent="0.25">
      <c r="X4588" s="256"/>
    </row>
    <row r="4589" spans="24:24" x14ac:dyDescent="0.25">
      <c r="X4589" s="256"/>
    </row>
    <row r="4590" spans="24:24" x14ac:dyDescent="0.25">
      <c r="X4590" s="256"/>
    </row>
    <row r="4591" spans="24:24" x14ac:dyDescent="0.25">
      <c r="X4591" s="256"/>
    </row>
    <row r="4592" spans="24:24" x14ac:dyDescent="0.25">
      <c r="X4592" s="256"/>
    </row>
    <row r="4593" spans="24:24" x14ac:dyDescent="0.25">
      <c r="X4593" s="256"/>
    </row>
    <row r="4594" spans="24:24" x14ac:dyDescent="0.25">
      <c r="X4594" s="256"/>
    </row>
    <row r="4595" spans="24:24" x14ac:dyDescent="0.25">
      <c r="X4595" s="256"/>
    </row>
    <row r="4596" spans="24:24" x14ac:dyDescent="0.25">
      <c r="X4596" s="256"/>
    </row>
    <row r="4597" spans="24:24" x14ac:dyDescent="0.25">
      <c r="X4597" s="256"/>
    </row>
    <row r="4598" spans="24:24" x14ac:dyDescent="0.25">
      <c r="X4598" s="256"/>
    </row>
    <row r="4599" spans="24:24" x14ac:dyDescent="0.25">
      <c r="X4599" s="256"/>
    </row>
    <row r="4600" spans="24:24" x14ac:dyDescent="0.25">
      <c r="X4600" s="256"/>
    </row>
    <row r="4601" spans="24:24" x14ac:dyDescent="0.25">
      <c r="X4601" s="256"/>
    </row>
    <row r="4602" spans="24:24" x14ac:dyDescent="0.25">
      <c r="X4602" s="256"/>
    </row>
    <row r="4603" spans="24:24" x14ac:dyDescent="0.25">
      <c r="X4603" s="256"/>
    </row>
    <row r="4604" spans="24:24" x14ac:dyDescent="0.25">
      <c r="X4604" s="256"/>
    </row>
    <row r="4605" spans="24:24" x14ac:dyDescent="0.25">
      <c r="X4605" s="256"/>
    </row>
    <row r="4606" spans="24:24" x14ac:dyDescent="0.25">
      <c r="X4606" s="256"/>
    </row>
    <row r="4607" spans="24:24" x14ac:dyDescent="0.25">
      <c r="X4607" s="256"/>
    </row>
    <row r="4608" spans="24:24" x14ac:dyDescent="0.25">
      <c r="X4608" s="256"/>
    </row>
    <row r="4609" spans="24:24" x14ac:dyDescent="0.25">
      <c r="X4609" s="256"/>
    </row>
    <row r="4610" spans="24:24" x14ac:dyDescent="0.25">
      <c r="X4610" s="256"/>
    </row>
    <row r="4611" spans="24:24" x14ac:dyDescent="0.25">
      <c r="X4611" s="256"/>
    </row>
    <row r="4612" spans="24:24" x14ac:dyDescent="0.25">
      <c r="X4612" s="256"/>
    </row>
    <row r="4613" spans="24:24" x14ac:dyDescent="0.25">
      <c r="X4613" s="256"/>
    </row>
    <row r="4614" spans="24:24" x14ac:dyDescent="0.25">
      <c r="X4614" s="256"/>
    </row>
    <row r="4615" spans="24:24" x14ac:dyDescent="0.25">
      <c r="X4615" s="256"/>
    </row>
    <row r="4616" spans="24:24" x14ac:dyDescent="0.25">
      <c r="X4616" s="256"/>
    </row>
    <row r="4617" spans="24:24" x14ac:dyDescent="0.25">
      <c r="X4617" s="256"/>
    </row>
    <row r="4618" spans="24:24" x14ac:dyDescent="0.25">
      <c r="X4618" s="256"/>
    </row>
    <row r="4619" spans="24:24" x14ac:dyDescent="0.25">
      <c r="X4619" s="256"/>
    </row>
    <row r="4620" spans="24:24" x14ac:dyDescent="0.25">
      <c r="X4620" s="256"/>
    </row>
    <row r="4621" spans="24:24" x14ac:dyDescent="0.25">
      <c r="X4621" s="256"/>
    </row>
    <row r="4622" spans="24:24" x14ac:dyDescent="0.25">
      <c r="X4622" s="256"/>
    </row>
    <row r="4623" spans="24:24" x14ac:dyDescent="0.25">
      <c r="X4623" s="256"/>
    </row>
    <row r="4624" spans="24:24" x14ac:dyDescent="0.25">
      <c r="X4624" s="256"/>
    </row>
    <row r="4625" spans="24:24" x14ac:dyDescent="0.25">
      <c r="X4625" s="256"/>
    </row>
    <row r="4626" spans="24:24" x14ac:dyDescent="0.25">
      <c r="X4626" s="256"/>
    </row>
    <row r="4627" spans="24:24" x14ac:dyDescent="0.25">
      <c r="X4627" s="256"/>
    </row>
    <row r="4628" spans="24:24" x14ac:dyDescent="0.25">
      <c r="X4628" s="256"/>
    </row>
    <row r="4629" spans="24:24" x14ac:dyDescent="0.25">
      <c r="X4629" s="256"/>
    </row>
    <row r="4630" spans="24:24" x14ac:dyDescent="0.25">
      <c r="X4630" s="256"/>
    </row>
    <row r="4631" spans="24:24" x14ac:dyDescent="0.25">
      <c r="X4631" s="256"/>
    </row>
    <row r="4632" spans="24:24" x14ac:dyDescent="0.25">
      <c r="X4632" s="256"/>
    </row>
    <row r="4633" spans="24:24" x14ac:dyDescent="0.25">
      <c r="X4633" s="256"/>
    </row>
    <row r="4634" spans="24:24" x14ac:dyDescent="0.25">
      <c r="X4634" s="256"/>
    </row>
    <row r="4635" spans="24:24" x14ac:dyDescent="0.25">
      <c r="X4635" s="256"/>
    </row>
    <row r="4636" spans="24:24" x14ac:dyDescent="0.25">
      <c r="X4636" s="256"/>
    </row>
    <row r="4637" spans="24:24" x14ac:dyDescent="0.25">
      <c r="X4637" s="256"/>
    </row>
    <row r="4638" spans="24:24" x14ac:dyDescent="0.25">
      <c r="X4638" s="256"/>
    </row>
    <row r="4639" spans="24:24" x14ac:dyDescent="0.25">
      <c r="X4639" s="256"/>
    </row>
    <row r="4640" spans="24:24" x14ac:dyDescent="0.25">
      <c r="X4640" s="256"/>
    </row>
    <row r="4641" spans="24:24" x14ac:dyDescent="0.25">
      <c r="X4641" s="256"/>
    </row>
    <row r="4642" spans="24:24" x14ac:dyDescent="0.25">
      <c r="X4642" s="256"/>
    </row>
    <row r="4643" spans="24:24" x14ac:dyDescent="0.25">
      <c r="X4643" s="256"/>
    </row>
    <row r="4644" spans="24:24" x14ac:dyDescent="0.25">
      <c r="X4644" s="256"/>
    </row>
    <row r="4645" spans="24:24" x14ac:dyDescent="0.25">
      <c r="X4645" s="256"/>
    </row>
    <row r="4646" spans="24:24" x14ac:dyDescent="0.25">
      <c r="X4646" s="256"/>
    </row>
    <row r="4647" spans="24:24" x14ac:dyDescent="0.25">
      <c r="X4647" s="256"/>
    </row>
    <row r="4648" spans="24:24" x14ac:dyDescent="0.25">
      <c r="X4648" s="256"/>
    </row>
    <row r="4649" spans="24:24" x14ac:dyDescent="0.25">
      <c r="X4649" s="256"/>
    </row>
    <row r="4650" spans="24:24" x14ac:dyDescent="0.25">
      <c r="X4650" s="256"/>
    </row>
    <row r="4651" spans="24:24" x14ac:dyDescent="0.25">
      <c r="X4651" s="256"/>
    </row>
    <row r="4652" spans="24:24" x14ac:dyDescent="0.25">
      <c r="X4652" s="256"/>
    </row>
    <row r="4653" spans="24:24" x14ac:dyDescent="0.25">
      <c r="X4653" s="256"/>
    </row>
    <row r="4654" spans="24:24" x14ac:dyDescent="0.25">
      <c r="X4654" s="256"/>
    </row>
    <row r="4655" spans="24:24" x14ac:dyDescent="0.25">
      <c r="X4655" s="256"/>
    </row>
    <row r="4656" spans="24:24" x14ac:dyDescent="0.25">
      <c r="X4656" s="256"/>
    </row>
    <row r="4657" spans="24:24" x14ac:dyDescent="0.25">
      <c r="X4657" s="256"/>
    </row>
    <row r="4658" spans="24:24" x14ac:dyDescent="0.25">
      <c r="X4658" s="256"/>
    </row>
    <row r="4659" spans="24:24" x14ac:dyDescent="0.25">
      <c r="X4659" s="256"/>
    </row>
    <row r="4660" spans="24:24" x14ac:dyDescent="0.25">
      <c r="X4660" s="256"/>
    </row>
    <row r="4661" spans="24:24" x14ac:dyDescent="0.25">
      <c r="X4661" s="256"/>
    </row>
    <row r="4662" spans="24:24" x14ac:dyDescent="0.25">
      <c r="X4662" s="256"/>
    </row>
    <row r="4663" spans="24:24" x14ac:dyDescent="0.25">
      <c r="X4663" s="256"/>
    </row>
    <row r="4664" spans="24:24" x14ac:dyDescent="0.25">
      <c r="X4664" s="256"/>
    </row>
    <row r="4665" spans="24:24" x14ac:dyDescent="0.25">
      <c r="X4665" s="256"/>
    </row>
    <row r="4666" spans="24:24" x14ac:dyDescent="0.25">
      <c r="X4666" s="256"/>
    </row>
    <row r="4667" spans="24:24" x14ac:dyDescent="0.25">
      <c r="X4667" s="256"/>
    </row>
    <row r="4668" spans="24:24" x14ac:dyDescent="0.25">
      <c r="X4668" s="256"/>
    </row>
    <row r="4669" spans="24:24" x14ac:dyDescent="0.25">
      <c r="X4669" s="256"/>
    </row>
    <row r="4670" spans="24:24" x14ac:dyDescent="0.25">
      <c r="X4670" s="256"/>
    </row>
    <row r="4671" spans="24:24" x14ac:dyDescent="0.25">
      <c r="X4671" s="256"/>
    </row>
    <row r="4672" spans="24:24" x14ac:dyDescent="0.25">
      <c r="X4672" s="256"/>
    </row>
    <row r="4673" spans="24:24" x14ac:dyDescent="0.25">
      <c r="X4673" s="256"/>
    </row>
    <row r="4674" spans="24:24" x14ac:dyDescent="0.25">
      <c r="X4674" s="256"/>
    </row>
    <row r="4675" spans="24:24" x14ac:dyDescent="0.25">
      <c r="X4675" s="256"/>
    </row>
    <row r="4676" spans="24:24" x14ac:dyDescent="0.25">
      <c r="X4676" s="256"/>
    </row>
    <row r="4677" spans="24:24" x14ac:dyDescent="0.25">
      <c r="X4677" s="256"/>
    </row>
    <row r="4678" spans="24:24" x14ac:dyDescent="0.25">
      <c r="X4678" s="256"/>
    </row>
    <row r="4679" spans="24:24" x14ac:dyDescent="0.25">
      <c r="X4679" s="256"/>
    </row>
    <row r="4680" spans="24:24" x14ac:dyDescent="0.25">
      <c r="X4680" s="256"/>
    </row>
    <row r="4681" spans="24:24" x14ac:dyDescent="0.25">
      <c r="X4681" s="256"/>
    </row>
    <row r="4682" spans="24:24" x14ac:dyDescent="0.25">
      <c r="X4682" s="256"/>
    </row>
    <row r="4683" spans="24:24" x14ac:dyDescent="0.25">
      <c r="X4683" s="256"/>
    </row>
    <row r="4684" spans="24:24" x14ac:dyDescent="0.25">
      <c r="X4684" s="256"/>
    </row>
    <row r="4685" spans="24:24" x14ac:dyDescent="0.25">
      <c r="X4685" s="256"/>
    </row>
    <row r="4686" spans="24:24" x14ac:dyDescent="0.25">
      <c r="X4686" s="256"/>
    </row>
    <row r="4687" spans="24:24" x14ac:dyDescent="0.25">
      <c r="X4687" s="256"/>
    </row>
    <row r="4688" spans="24:24" x14ac:dyDescent="0.25">
      <c r="X4688" s="256"/>
    </row>
    <row r="4689" spans="24:24" x14ac:dyDescent="0.25">
      <c r="X4689" s="256"/>
    </row>
    <row r="4690" spans="24:24" x14ac:dyDescent="0.25">
      <c r="X4690" s="256"/>
    </row>
    <row r="4691" spans="24:24" x14ac:dyDescent="0.25">
      <c r="X4691" s="256"/>
    </row>
    <row r="4692" spans="24:24" x14ac:dyDescent="0.25">
      <c r="X4692" s="256"/>
    </row>
    <row r="4693" spans="24:24" x14ac:dyDescent="0.25">
      <c r="X4693" s="256"/>
    </row>
    <row r="4694" spans="24:24" x14ac:dyDescent="0.25">
      <c r="X4694" s="256"/>
    </row>
    <row r="4695" spans="24:24" x14ac:dyDescent="0.25">
      <c r="X4695" s="256"/>
    </row>
    <row r="4696" spans="24:24" x14ac:dyDescent="0.25">
      <c r="X4696" s="256"/>
    </row>
    <row r="4697" spans="24:24" x14ac:dyDescent="0.25">
      <c r="X4697" s="256"/>
    </row>
    <row r="4698" spans="24:24" x14ac:dyDescent="0.25">
      <c r="X4698" s="256"/>
    </row>
    <row r="4699" spans="24:24" x14ac:dyDescent="0.25">
      <c r="X4699" s="256"/>
    </row>
    <row r="4700" spans="24:24" x14ac:dyDescent="0.25">
      <c r="X4700" s="256"/>
    </row>
    <row r="4701" spans="24:24" x14ac:dyDescent="0.25">
      <c r="X4701" s="256"/>
    </row>
    <row r="4702" spans="24:24" x14ac:dyDescent="0.25">
      <c r="X4702" s="256"/>
    </row>
    <row r="4703" spans="24:24" x14ac:dyDescent="0.25">
      <c r="X4703" s="256"/>
    </row>
    <row r="4704" spans="24:24" x14ac:dyDescent="0.25">
      <c r="X4704" s="256"/>
    </row>
    <row r="4705" spans="24:24" x14ac:dyDescent="0.25">
      <c r="X4705" s="256"/>
    </row>
    <row r="4706" spans="24:24" x14ac:dyDescent="0.25">
      <c r="X4706" s="256"/>
    </row>
    <row r="4707" spans="24:24" x14ac:dyDescent="0.25">
      <c r="X4707" s="256"/>
    </row>
    <row r="4708" spans="24:24" x14ac:dyDescent="0.25">
      <c r="X4708" s="256"/>
    </row>
    <row r="4709" spans="24:24" x14ac:dyDescent="0.25">
      <c r="X4709" s="256"/>
    </row>
    <row r="4710" spans="24:24" x14ac:dyDescent="0.25">
      <c r="X4710" s="256"/>
    </row>
    <row r="4711" spans="24:24" x14ac:dyDescent="0.25">
      <c r="X4711" s="256"/>
    </row>
    <row r="4712" spans="24:24" x14ac:dyDescent="0.25">
      <c r="X4712" s="256"/>
    </row>
    <row r="4713" spans="24:24" x14ac:dyDescent="0.25">
      <c r="X4713" s="256"/>
    </row>
    <row r="4714" spans="24:24" x14ac:dyDescent="0.25">
      <c r="X4714" s="256"/>
    </row>
    <row r="4715" spans="24:24" x14ac:dyDescent="0.25">
      <c r="X4715" s="256"/>
    </row>
    <row r="4716" spans="24:24" x14ac:dyDescent="0.25">
      <c r="X4716" s="256"/>
    </row>
    <row r="4717" spans="24:24" x14ac:dyDescent="0.25">
      <c r="X4717" s="256"/>
    </row>
    <row r="4718" spans="24:24" x14ac:dyDescent="0.25">
      <c r="X4718" s="256"/>
    </row>
    <row r="4719" spans="24:24" x14ac:dyDescent="0.25">
      <c r="X4719" s="256"/>
    </row>
    <row r="4720" spans="24:24" x14ac:dyDescent="0.25">
      <c r="X4720" s="256"/>
    </row>
    <row r="4721" spans="24:24" x14ac:dyDescent="0.25">
      <c r="X4721" s="256"/>
    </row>
    <row r="4722" spans="24:24" x14ac:dyDescent="0.25">
      <c r="X4722" s="256"/>
    </row>
    <row r="4723" spans="24:24" x14ac:dyDescent="0.25">
      <c r="X4723" s="256"/>
    </row>
    <row r="4724" spans="24:24" x14ac:dyDescent="0.25">
      <c r="X4724" s="256"/>
    </row>
    <row r="4725" spans="24:24" x14ac:dyDescent="0.25">
      <c r="X4725" s="256"/>
    </row>
    <row r="4726" spans="24:24" x14ac:dyDescent="0.25">
      <c r="X4726" s="256"/>
    </row>
    <row r="4727" spans="24:24" x14ac:dyDescent="0.25">
      <c r="X4727" s="256"/>
    </row>
    <row r="4728" spans="24:24" x14ac:dyDescent="0.25">
      <c r="X4728" s="256"/>
    </row>
    <row r="4729" spans="24:24" x14ac:dyDescent="0.25">
      <c r="X4729" s="256"/>
    </row>
    <row r="4730" spans="24:24" x14ac:dyDescent="0.25">
      <c r="X4730" s="256"/>
    </row>
    <row r="4731" spans="24:24" x14ac:dyDescent="0.25">
      <c r="X4731" s="256"/>
    </row>
    <row r="4732" spans="24:24" x14ac:dyDescent="0.25">
      <c r="X4732" s="256"/>
    </row>
    <row r="4733" spans="24:24" x14ac:dyDescent="0.25">
      <c r="X4733" s="256"/>
    </row>
    <row r="4734" spans="24:24" x14ac:dyDescent="0.25">
      <c r="X4734" s="256"/>
    </row>
    <row r="4735" spans="24:24" x14ac:dyDescent="0.25">
      <c r="X4735" s="256"/>
    </row>
    <row r="4736" spans="24:24" x14ac:dyDescent="0.25">
      <c r="X4736" s="256"/>
    </row>
    <row r="4737" spans="24:24" x14ac:dyDescent="0.25">
      <c r="X4737" s="256"/>
    </row>
    <row r="4738" spans="24:24" x14ac:dyDescent="0.25">
      <c r="X4738" s="256"/>
    </row>
    <row r="4739" spans="24:24" x14ac:dyDescent="0.25">
      <c r="X4739" s="256"/>
    </row>
    <row r="4740" spans="24:24" x14ac:dyDescent="0.25">
      <c r="X4740" s="256"/>
    </row>
    <row r="4741" spans="24:24" x14ac:dyDescent="0.25">
      <c r="X4741" s="256"/>
    </row>
    <row r="4742" spans="24:24" x14ac:dyDescent="0.25">
      <c r="X4742" s="256"/>
    </row>
    <row r="4743" spans="24:24" x14ac:dyDescent="0.25">
      <c r="X4743" s="256"/>
    </row>
    <row r="4744" spans="24:24" x14ac:dyDescent="0.25">
      <c r="X4744" s="256"/>
    </row>
    <row r="4745" spans="24:24" x14ac:dyDescent="0.25">
      <c r="X4745" s="256"/>
    </row>
    <row r="4746" spans="24:24" x14ac:dyDescent="0.25">
      <c r="X4746" s="256"/>
    </row>
    <row r="4747" spans="24:24" x14ac:dyDescent="0.25">
      <c r="X4747" s="256"/>
    </row>
    <row r="4748" spans="24:24" x14ac:dyDescent="0.25">
      <c r="X4748" s="256"/>
    </row>
    <row r="4749" spans="24:24" x14ac:dyDescent="0.25">
      <c r="X4749" s="256"/>
    </row>
    <row r="4750" spans="24:24" x14ac:dyDescent="0.25">
      <c r="X4750" s="256"/>
    </row>
    <row r="4751" spans="24:24" x14ac:dyDescent="0.25">
      <c r="X4751" s="256"/>
    </row>
    <row r="4752" spans="24:24" x14ac:dyDescent="0.25">
      <c r="X4752" s="256"/>
    </row>
    <row r="4753" spans="24:24" x14ac:dyDescent="0.25">
      <c r="X4753" s="256"/>
    </row>
    <row r="4754" spans="24:24" x14ac:dyDescent="0.25">
      <c r="X4754" s="256"/>
    </row>
    <row r="4755" spans="24:24" x14ac:dyDescent="0.25">
      <c r="X4755" s="256"/>
    </row>
    <row r="4756" spans="24:24" x14ac:dyDescent="0.25">
      <c r="X4756" s="256"/>
    </row>
    <row r="4757" spans="24:24" x14ac:dyDescent="0.25">
      <c r="X4757" s="256"/>
    </row>
    <row r="4758" spans="24:24" x14ac:dyDescent="0.25">
      <c r="X4758" s="256"/>
    </row>
    <row r="4759" spans="24:24" x14ac:dyDescent="0.25">
      <c r="X4759" s="256"/>
    </row>
    <row r="4760" spans="24:24" x14ac:dyDescent="0.25">
      <c r="X4760" s="256"/>
    </row>
    <row r="4761" spans="24:24" x14ac:dyDescent="0.25">
      <c r="X4761" s="256"/>
    </row>
    <row r="4762" spans="24:24" x14ac:dyDescent="0.25">
      <c r="X4762" s="256"/>
    </row>
    <row r="4763" spans="24:24" x14ac:dyDescent="0.25">
      <c r="X4763" s="256"/>
    </row>
    <row r="4764" spans="24:24" x14ac:dyDescent="0.25">
      <c r="X4764" s="256"/>
    </row>
    <row r="4765" spans="24:24" x14ac:dyDescent="0.25">
      <c r="X4765" s="256"/>
    </row>
    <row r="4766" spans="24:24" x14ac:dyDescent="0.25">
      <c r="X4766" s="256"/>
    </row>
    <row r="4767" spans="24:24" x14ac:dyDescent="0.25">
      <c r="X4767" s="256"/>
    </row>
    <row r="4768" spans="24:24" x14ac:dyDescent="0.25">
      <c r="X4768" s="256"/>
    </row>
    <row r="4769" spans="24:24" x14ac:dyDescent="0.25">
      <c r="X4769" s="256"/>
    </row>
    <row r="4770" spans="24:24" x14ac:dyDescent="0.25">
      <c r="X4770" s="256"/>
    </row>
    <row r="4771" spans="24:24" x14ac:dyDescent="0.25">
      <c r="X4771" s="256"/>
    </row>
    <row r="4772" spans="24:24" x14ac:dyDescent="0.25">
      <c r="X4772" s="256"/>
    </row>
    <row r="4773" spans="24:24" x14ac:dyDescent="0.25">
      <c r="X4773" s="256"/>
    </row>
    <row r="4774" spans="24:24" x14ac:dyDescent="0.25">
      <c r="X4774" s="256"/>
    </row>
    <row r="4775" spans="24:24" x14ac:dyDescent="0.25">
      <c r="X4775" s="256"/>
    </row>
    <row r="4776" spans="24:24" x14ac:dyDescent="0.25">
      <c r="X4776" s="256"/>
    </row>
    <row r="4777" spans="24:24" x14ac:dyDescent="0.25">
      <c r="X4777" s="256"/>
    </row>
    <row r="4778" spans="24:24" x14ac:dyDescent="0.25">
      <c r="X4778" s="256"/>
    </row>
    <row r="4779" spans="24:24" x14ac:dyDescent="0.25">
      <c r="X4779" s="256"/>
    </row>
    <row r="4780" spans="24:24" x14ac:dyDescent="0.25">
      <c r="X4780" s="256"/>
    </row>
    <row r="4781" spans="24:24" x14ac:dyDescent="0.25">
      <c r="X4781" s="256"/>
    </row>
    <row r="4782" spans="24:24" x14ac:dyDescent="0.25">
      <c r="X4782" s="256"/>
    </row>
    <row r="4783" spans="24:24" x14ac:dyDescent="0.25">
      <c r="X4783" s="256"/>
    </row>
    <row r="4784" spans="24:24" x14ac:dyDescent="0.25">
      <c r="X4784" s="256"/>
    </row>
    <row r="4785" spans="24:24" x14ac:dyDescent="0.25">
      <c r="X4785" s="256"/>
    </row>
    <row r="4786" spans="24:24" x14ac:dyDescent="0.25">
      <c r="X4786" s="256"/>
    </row>
    <row r="4787" spans="24:24" x14ac:dyDescent="0.25">
      <c r="X4787" s="256"/>
    </row>
    <row r="4788" spans="24:24" x14ac:dyDescent="0.25">
      <c r="X4788" s="256"/>
    </row>
    <row r="4789" spans="24:24" x14ac:dyDescent="0.25">
      <c r="X4789" s="256"/>
    </row>
    <row r="4790" spans="24:24" x14ac:dyDescent="0.25">
      <c r="X4790" s="256"/>
    </row>
    <row r="4791" spans="24:24" x14ac:dyDescent="0.25">
      <c r="X4791" s="256"/>
    </row>
    <row r="4792" spans="24:24" x14ac:dyDescent="0.25">
      <c r="X4792" s="256"/>
    </row>
    <row r="4793" spans="24:24" x14ac:dyDescent="0.25">
      <c r="X4793" s="256"/>
    </row>
    <row r="4794" spans="24:24" x14ac:dyDescent="0.25">
      <c r="X4794" s="256"/>
    </row>
    <row r="4795" spans="24:24" x14ac:dyDescent="0.25">
      <c r="X4795" s="256"/>
    </row>
    <row r="4796" spans="24:24" x14ac:dyDescent="0.25">
      <c r="X4796" s="256"/>
    </row>
    <row r="4797" spans="24:24" x14ac:dyDescent="0.25">
      <c r="X4797" s="256"/>
    </row>
    <row r="4798" spans="24:24" x14ac:dyDescent="0.25">
      <c r="X4798" s="256"/>
    </row>
    <row r="4799" spans="24:24" x14ac:dyDescent="0.25">
      <c r="X4799" s="256"/>
    </row>
    <row r="4800" spans="24:24" x14ac:dyDescent="0.25">
      <c r="X4800" s="256"/>
    </row>
    <row r="4801" spans="24:24" x14ac:dyDescent="0.25">
      <c r="X4801" s="256"/>
    </row>
    <row r="4802" spans="24:24" x14ac:dyDescent="0.25">
      <c r="X4802" s="256"/>
    </row>
    <row r="4803" spans="24:24" x14ac:dyDescent="0.25">
      <c r="X4803" s="256"/>
    </row>
    <row r="4804" spans="24:24" x14ac:dyDescent="0.25">
      <c r="X4804" s="256"/>
    </row>
    <row r="4805" spans="24:24" x14ac:dyDescent="0.25">
      <c r="X4805" s="256"/>
    </row>
    <row r="4806" spans="24:24" x14ac:dyDescent="0.25">
      <c r="X4806" s="256"/>
    </row>
    <row r="4807" spans="24:24" x14ac:dyDescent="0.25">
      <c r="X4807" s="256"/>
    </row>
    <row r="4808" spans="24:24" x14ac:dyDescent="0.25">
      <c r="X4808" s="256"/>
    </row>
    <row r="4809" spans="24:24" x14ac:dyDescent="0.25">
      <c r="X4809" s="256"/>
    </row>
    <row r="4810" spans="24:24" x14ac:dyDescent="0.25">
      <c r="X4810" s="256"/>
    </row>
    <row r="4811" spans="24:24" x14ac:dyDescent="0.25">
      <c r="X4811" s="256"/>
    </row>
    <row r="4812" spans="24:24" x14ac:dyDescent="0.25">
      <c r="X4812" s="256"/>
    </row>
    <row r="4813" spans="24:24" x14ac:dyDescent="0.25">
      <c r="X4813" s="256"/>
    </row>
    <row r="4814" spans="24:24" x14ac:dyDescent="0.25">
      <c r="X4814" s="256"/>
    </row>
    <row r="4815" spans="24:24" x14ac:dyDescent="0.25">
      <c r="X4815" s="256"/>
    </row>
    <row r="4816" spans="24:24" x14ac:dyDescent="0.25">
      <c r="X4816" s="256"/>
    </row>
    <row r="4817" spans="24:24" x14ac:dyDescent="0.25">
      <c r="X4817" s="256"/>
    </row>
    <row r="4818" spans="24:24" x14ac:dyDescent="0.25">
      <c r="X4818" s="256"/>
    </row>
    <row r="4819" spans="24:24" x14ac:dyDescent="0.25">
      <c r="X4819" s="256"/>
    </row>
    <row r="4820" spans="24:24" x14ac:dyDescent="0.25">
      <c r="X4820" s="256"/>
    </row>
    <row r="4821" spans="24:24" x14ac:dyDescent="0.25">
      <c r="X4821" s="256"/>
    </row>
    <row r="4822" spans="24:24" x14ac:dyDescent="0.25">
      <c r="X4822" s="256"/>
    </row>
    <row r="4823" spans="24:24" x14ac:dyDescent="0.25">
      <c r="X4823" s="256"/>
    </row>
    <row r="4824" spans="24:24" x14ac:dyDescent="0.25">
      <c r="X4824" s="256"/>
    </row>
    <row r="4825" spans="24:24" x14ac:dyDescent="0.25">
      <c r="X4825" s="256"/>
    </row>
    <row r="4826" spans="24:24" x14ac:dyDescent="0.25">
      <c r="X4826" s="256"/>
    </row>
    <row r="4827" spans="24:24" x14ac:dyDescent="0.25">
      <c r="X4827" s="256"/>
    </row>
    <row r="4828" spans="24:24" x14ac:dyDescent="0.25">
      <c r="X4828" s="256"/>
    </row>
    <row r="4829" spans="24:24" x14ac:dyDescent="0.25">
      <c r="X4829" s="256"/>
    </row>
    <row r="4830" spans="24:24" x14ac:dyDescent="0.25">
      <c r="X4830" s="256"/>
    </row>
    <row r="4831" spans="24:24" x14ac:dyDescent="0.25">
      <c r="X4831" s="256"/>
    </row>
    <row r="4832" spans="24:24" x14ac:dyDescent="0.25">
      <c r="X4832" s="256"/>
    </row>
    <row r="4833" spans="24:24" x14ac:dyDescent="0.25">
      <c r="X4833" s="256"/>
    </row>
    <row r="4834" spans="24:24" x14ac:dyDescent="0.25">
      <c r="X4834" s="256"/>
    </row>
    <row r="4835" spans="24:24" x14ac:dyDescent="0.25">
      <c r="X4835" s="256"/>
    </row>
    <row r="4836" spans="24:24" x14ac:dyDescent="0.25">
      <c r="X4836" s="256"/>
    </row>
    <row r="4837" spans="24:24" x14ac:dyDescent="0.25">
      <c r="X4837" s="256"/>
    </row>
    <row r="4838" spans="24:24" x14ac:dyDescent="0.25">
      <c r="X4838" s="256"/>
    </row>
    <row r="4839" spans="24:24" x14ac:dyDescent="0.25">
      <c r="X4839" s="256"/>
    </row>
    <row r="4840" spans="24:24" x14ac:dyDescent="0.25">
      <c r="X4840" s="256"/>
    </row>
    <row r="4841" spans="24:24" x14ac:dyDescent="0.25">
      <c r="X4841" s="256"/>
    </row>
    <row r="4842" spans="24:24" x14ac:dyDescent="0.25">
      <c r="X4842" s="256"/>
    </row>
    <row r="4843" spans="24:24" x14ac:dyDescent="0.25">
      <c r="X4843" s="256"/>
    </row>
    <row r="4844" spans="24:24" x14ac:dyDescent="0.25">
      <c r="X4844" s="256"/>
    </row>
    <row r="4845" spans="24:24" x14ac:dyDescent="0.25">
      <c r="X4845" s="256"/>
    </row>
    <row r="4846" spans="24:24" x14ac:dyDescent="0.25">
      <c r="X4846" s="256"/>
    </row>
    <row r="4847" spans="24:24" x14ac:dyDescent="0.25">
      <c r="X4847" s="256"/>
    </row>
    <row r="4848" spans="24:24" x14ac:dyDescent="0.25">
      <c r="X4848" s="256"/>
    </row>
    <row r="4849" spans="24:24" x14ac:dyDescent="0.25">
      <c r="X4849" s="256"/>
    </row>
    <row r="4850" spans="24:24" x14ac:dyDescent="0.25">
      <c r="X4850" s="256"/>
    </row>
    <row r="4851" spans="24:24" x14ac:dyDescent="0.25">
      <c r="X4851" s="256"/>
    </row>
    <row r="4852" spans="24:24" x14ac:dyDescent="0.25">
      <c r="X4852" s="256"/>
    </row>
    <row r="4853" spans="24:24" x14ac:dyDescent="0.25">
      <c r="X4853" s="256"/>
    </row>
    <row r="4854" spans="24:24" x14ac:dyDescent="0.25">
      <c r="X4854" s="256"/>
    </row>
    <row r="4855" spans="24:24" x14ac:dyDescent="0.25">
      <c r="X4855" s="256"/>
    </row>
    <row r="4856" spans="24:24" x14ac:dyDescent="0.25">
      <c r="X4856" s="256"/>
    </row>
    <row r="4857" spans="24:24" x14ac:dyDescent="0.25">
      <c r="X4857" s="256"/>
    </row>
    <row r="4858" spans="24:24" x14ac:dyDescent="0.25">
      <c r="X4858" s="256"/>
    </row>
    <row r="4859" spans="24:24" x14ac:dyDescent="0.25">
      <c r="X4859" s="256"/>
    </row>
    <row r="4860" spans="24:24" x14ac:dyDescent="0.25">
      <c r="X4860" s="256"/>
    </row>
    <row r="4861" spans="24:24" x14ac:dyDescent="0.25">
      <c r="X4861" s="256"/>
    </row>
    <row r="4862" spans="24:24" x14ac:dyDescent="0.25">
      <c r="X4862" s="256"/>
    </row>
    <row r="4863" spans="24:24" x14ac:dyDescent="0.25">
      <c r="X4863" s="256"/>
    </row>
    <row r="4864" spans="24:24" x14ac:dyDescent="0.25">
      <c r="X4864" s="256"/>
    </row>
    <row r="4865" spans="24:24" x14ac:dyDescent="0.25">
      <c r="X4865" s="256"/>
    </row>
    <row r="4866" spans="24:24" x14ac:dyDescent="0.25">
      <c r="X4866" s="256"/>
    </row>
    <row r="4867" spans="24:24" x14ac:dyDescent="0.25">
      <c r="X4867" s="256"/>
    </row>
    <row r="4868" spans="24:24" x14ac:dyDescent="0.25">
      <c r="X4868" s="256"/>
    </row>
    <row r="4869" spans="24:24" x14ac:dyDescent="0.25">
      <c r="X4869" s="256"/>
    </row>
    <row r="4870" spans="24:24" x14ac:dyDescent="0.25">
      <c r="X4870" s="256"/>
    </row>
    <row r="4871" spans="24:24" x14ac:dyDescent="0.25">
      <c r="X4871" s="256"/>
    </row>
    <row r="4872" spans="24:24" x14ac:dyDescent="0.25">
      <c r="X4872" s="256"/>
    </row>
    <row r="4873" spans="24:24" x14ac:dyDescent="0.25">
      <c r="X4873" s="256"/>
    </row>
    <row r="4874" spans="24:24" x14ac:dyDescent="0.25">
      <c r="X4874" s="256"/>
    </row>
    <row r="4875" spans="24:24" x14ac:dyDescent="0.25">
      <c r="X4875" s="256"/>
    </row>
    <row r="4876" spans="24:24" x14ac:dyDescent="0.25">
      <c r="X4876" s="256"/>
    </row>
    <row r="4877" spans="24:24" x14ac:dyDescent="0.25">
      <c r="X4877" s="256"/>
    </row>
    <row r="4878" spans="24:24" x14ac:dyDescent="0.25">
      <c r="X4878" s="256"/>
    </row>
    <row r="4879" spans="24:24" x14ac:dyDescent="0.25">
      <c r="X4879" s="256"/>
    </row>
    <row r="4880" spans="24:24" x14ac:dyDescent="0.25">
      <c r="X4880" s="256"/>
    </row>
    <row r="4881" spans="24:24" x14ac:dyDescent="0.25">
      <c r="X4881" s="256"/>
    </row>
    <row r="4882" spans="24:24" x14ac:dyDescent="0.25">
      <c r="X4882" s="256"/>
    </row>
    <row r="4883" spans="24:24" x14ac:dyDescent="0.25">
      <c r="X4883" s="256"/>
    </row>
    <row r="4884" spans="24:24" x14ac:dyDescent="0.25">
      <c r="X4884" s="256"/>
    </row>
    <row r="4885" spans="24:24" x14ac:dyDescent="0.25">
      <c r="X4885" s="256"/>
    </row>
    <row r="4886" spans="24:24" x14ac:dyDescent="0.25">
      <c r="X4886" s="256"/>
    </row>
    <row r="4887" spans="24:24" x14ac:dyDescent="0.25">
      <c r="X4887" s="256"/>
    </row>
    <row r="4888" spans="24:24" x14ac:dyDescent="0.25">
      <c r="X4888" s="256"/>
    </row>
    <row r="4889" spans="24:24" x14ac:dyDescent="0.25">
      <c r="X4889" s="256"/>
    </row>
    <row r="4890" spans="24:24" x14ac:dyDescent="0.25">
      <c r="X4890" s="256"/>
    </row>
    <row r="4891" spans="24:24" x14ac:dyDescent="0.25">
      <c r="X4891" s="256"/>
    </row>
    <row r="4892" spans="24:24" x14ac:dyDescent="0.25">
      <c r="X4892" s="256"/>
    </row>
    <row r="4893" spans="24:24" x14ac:dyDescent="0.25">
      <c r="X4893" s="256"/>
    </row>
    <row r="4894" spans="24:24" x14ac:dyDescent="0.25">
      <c r="X4894" s="256"/>
    </row>
    <row r="4895" spans="24:24" x14ac:dyDescent="0.25">
      <c r="X4895" s="256"/>
    </row>
    <row r="4896" spans="24:24" x14ac:dyDescent="0.25">
      <c r="X4896" s="256"/>
    </row>
    <row r="4897" spans="24:24" x14ac:dyDescent="0.25">
      <c r="X4897" s="256"/>
    </row>
    <row r="4898" spans="24:24" x14ac:dyDescent="0.25">
      <c r="X4898" s="256"/>
    </row>
    <row r="4899" spans="24:24" x14ac:dyDescent="0.25">
      <c r="X4899" s="256"/>
    </row>
    <row r="4900" spans="24:24" x14ac:dyDescent="0.25">
      <c r="X4900" s="256"/>
    </row>
    <row r="4901" spans="24:24" x14ac:dyDescent="0.25">
      <c r="X4901" s="256"/>
    </row>
    <row r="4902" spans="24:24" x14ac:dyDescent="0.25">
      <c r="X4902" s="256"/>
    </row>
    <row r="4903" spans="24:24" x14ac:dyDescent="0.25">
      <c r="X4903" s="256"/>
    </row>
    <row r="4904" spans="24:24" x14ac:dyDescent="0.25">
      <c r="X4904" s="256"/>
    </row>
    <row r="4905" spans="24:24" x14ac:dyDescent="0.25">
      <c r="X4905" s="256"/>
    </row>
    <row r="4906" spans="24:24" x14ac:dyDescent="0.25">
      <c r="X4906" s="256"/>
    </row>
    <row r="4907" spans="24:24" x14ac:dyDescent="0.25">
      <c r="X4907" s="256"/>
    </row>
    <row r="4908" spans="24:24" x14ac:dyDescent="0.25">
      <c r="X4908" s="256"/>
    </row>
    <row r="4909" spans="24:24" x14ac:dyDescent="0.25">
      <c r="X4909" s="256"/>
    </row>
    <row r="4910" spans="24:24" x14ac:dyDescent="0.25">
      <c r="X4910" s="256"/>
    </row>
    <row r="4911" spans="24:24" x14ac:dyDescent="0.25">
      <c r="X4911" s="256"/>
    </row>
    <row r="4912" spans="24:24" x14ac:dyDescent="0.25">
      <c r="X4912" s="256"/>
    </row>
    <row r="4913" spans="24:24" x14ac:dyDescent="0.25">
      <c r="X4913" s="256"/>
    </row>
    <row r="4914" spans="24:24" x14ac:dyDescent="0.25">
      <c r="X4914" s="256"/>
    </row>
    <row r="4915" spans="24:24" x14ac:dyDescent="0.25">
      <c r="X4915" s="256"/>
    </row>
    <row r="4916" spans="24:24" x14ac:dyDescent="0.25">
      <c r="X4916" s="256"/>
    </row>
    <row r="4917" spans="24:24" x14ac:dyDescent="0.25">
      <c r="X4917" s="256"/>
    </row>
    <row r="4918" spans="24:24" x14ac:dyDescent="0.25">
      <c r="X4918" s="256"/>
    </row>
    <row r="4919" spans="24:24" x14ac:dyDescent="0.25">
      <c r="X4919" s="256"/>
    </row>
    <row r="4920" spans="24:24" x14ac:dyDescent="0.25">
      <c r="X4920" s="256"/>
    </row>
    <row r="4921" spans="24:24" x14ac:dyDescent="0.25">
      <c r="X4921" s="256"/>
    </row>
    <row r="4922" spans="24:24" x14ac:dyDescent="0.25">
      <c r="X4922" s="256"/>
    </row>
    <row r="4923" spans="24:24" x14ac:dyDescent="0.25">
      <c r="X4923" s="256"/>
    </row>
    <row r="4924" spans="24:24" x14ac:dyDescent="0.25">
      <c r="X4924" s="256"/>
    </row>
    <row r="4925" spans="24:24" x14ac:dyDescent="0.25">
      <c r="X4925" s="256"/>
    </row>
    <row r="4926" spans="24:24" x14ac:dyDescent="0.25">
      <c r="X4926" s="256"/>
    </row>
    <row r="4927" spans="24:24" x14ac:dyDescent="0.25">
      <c r="X4927" s="256"/>
    </row>
    <row r="4928" spans="24:24" x14ac:dyDescent="0.25">
      <c r="X4928" s="256"/>
    </row>
    <row r="4929" spans="24:24" x14ac:dyDescent="0.25">
      <c r="X4929" s="256"/>
    </row>
    <row r="4930" spans="24:24" x14ac:dyDescent="0.25">
      <c r="X4930" s="256"/>
    </row>
    <row r="4931" spans="24:24" x14ac:dyDescent="0.25">
      <c r="X4931" s="256"/>
    </row>
    <row r="4932" spans="24:24" x14ac:dyDescent="0.25">
      <c r="X4932" s="256"/>
    </row>
    <row r="4933" spans="24:24" x14ac:dyDescent="0.25">
      <c r="X4933" s="256"/>
    </row>
    <row r="4934" spans="24:24" x14ac:dyDescent="0.25">
      <c r="X4934" s="256"/>
    </row>
    <row r="4935" spans="24:24" x14ac:dyDescent="0.25">
      <c r="X4935" s="256"/>
    </row>
    <row r="4936" spans="24:24" x14ac:dyDescent="0.25">
      <c r="X4936" s="256"/>
    </row>
    <row r="4937" spans="24:24" x14ac:dyDescent="0.25">
      <c r="X4937" s="256"/>
    </row>
    <row r="4938" spans="24:24" x14ac:dyDescent="0.25">
      <c r="X4938" s="256"/>
    </row>
    <row r="4939" spans="24:24" x14ac:dyDescent="0.25">
      <c r="X4939" s="256"/>
    </row>
    <row r="4940" spans="24:24" x14ac:dyDescent="0.25">
      <c r="X4940" s="256"/>
    </row>
    <row r="4941" spans="24:24" x14ac:dyDescent="0.25">
      <c r="X4941" s="256"/>
    </row>
    <row r="4942" spans="24:24" x14ac:dyDescent="0.25">
      <c r="X4942" s="256"/>
    </row>
    <row r="4943" spans="24:24" x14ac:dyDescent="0.25">
      <c r="X4943" s="256"/>
    </row>
    <row r="4944" spans="24:24" x14ac:dyDescent="0.25">
      <c r="X4944" s="256"/>
    </row>
    <row r="4945" spans="24:24" x14ac:dyDescent="0.25">
      <c r="X4945" s="256"/>
    </row>
    <row r="4946" spans="24:24" x14ac:dyDescent="0.25">
      <c r="X4946" s="256"/>
    </row>
    <row r="4947" spans="24:24" x14ac:dyDescent="0.25">
      <c r="X4947" s="256"/>
    </row>
    <row r="4948" spans="24:24" x14ac:dyDescent="0.25">
      <c r="X4948" s="256"/>
    </row>
    <row r="4949" spans="24:24" x14ac:dyDescent="0.25">
      <c r="X4949" s="256"/>
    </row>
    <row r="4950" spans="24:24" x14ac:dyDescent="0.25">
      <c r="X4950" s="256"/>
    </row>
    <row r="4951" spans="24:24" x14ac:dyDescent="0.25">
      <c r="X4951" s="256"/>
    </row>
    <row r="4952" spans="24:24" x14ac:dyDescent="0.25">
      <c r="X4952" s="256"/>
    </row>
    <row r="4953" spans="24:24" x14ac:dyDescent="0.25">
      <c r="X4953" s="256"/>
    </row>
    <row r="4954" spans="24:24" x14ac:dyDescent="0.25">
      <c r="X4954" s="256"/>
    </row>
    <row r="4955" spans="24:24" x14ac:dyDescent="0.25">
      <c r="X4955" s="256"/>
    </row>
    <row r="4956" spans="24:24" x14ac:dyDescent="0.25">
      <c r="X4956" s="256"/>
    </row>
    <row r="4957" spans="24:24" x14ac:dyDescent="0.25">
      <c r="X4957" s="256"/>
    </row>
    <row r="4958" spans="24:24" x14ac:dyDescent="0.25">
      <c r="X4958" s="256"/>
    </row>
    <row r="4959" spans="24:24" x14ac:dyDescent="0.25">
      <c r="X4959" s="256"/>
    </row>
    <row r="4960" spans="24:24" x14ac:dyDescent="0.25">
      <c r="X4960" s="256"/>
    </row>
    <row r="4961" spans="24:24" x14ac:dyDescent="0.25">
      <c r="X4961" s="256"/>
    </row>
    <row r="4962" spans="24:24" x14ac:dyDescent="0.25">
      <c r="X4962" s="256"/>
    </row>
    <row r="4963" spans="24:24" x14ac:dyDescent="0.25">
      <c r="X4963" s="256"/>
    </row>
    <row r="4964" spans="24:24" x14ac:dyDescent="0.25">
      <c r="X4964" s="256"/>
    </row>
    <row r="4965" spans="24:24" x14ac:dyDescent="0.25">
      <c r="X4965" s="256"/>
    </row>
    <row r="4966" spans="24:24" x14ac:dyDescent="0.25">
      <c r="X4966" s="256"/>
    </row>
    <row r="4967" spans="24:24" x14ac:dyDescent="0.25">
      <c r="X4967" s="256"/>
    </row>
    <row r="4968" spans="24:24" x14ac:dyDescent="0.25">
      <c r="X4968" s="256"/>
    </row>
    <row r="4969" spans="24:24" x14ac:dyDescent="0.25">
      <c r="X4969" s="256"/>
    </row>
    <row r="4970" spans="24:24" x14ac:dyDescent="0.25">
      <c r="X4970" s="256"/>
    </row>
    <row r="4971" spans="24:24" x14ac:dyDescent="0.25">
      <c r="X4971" s="256"/>
    </row>
    <row r="4972" spans="24:24" x14ac:dyDescent="0.25">
      <c r="X4972" s="256"/>
    </row>
    <row r="4973" spans="24:24" x14ac:dyDescent="0.25">
      <c r="X4973" s="256"/>
    </row>
    <row r="4974" spans="24:24" x14ac:dyDescent="0.25">
      <c r="X4974" s="256"/>
    </row>
    <row r="4975" spans="24:24" x14ac:dyDescent="0.25">
      <c r="X4975" s="256"/>
    </row>
    <row r="4976" spans="24:24" x14ac:dyDescent="0.25">
      <c r="X4976" s="256"/>
    </row>
    <row r="4977" spans="24:24" x14ac:dyDescent="0.25">
      <c r="X4977" s="256"/>
    </row>
    <row r="4978" spans="24:24" x14ac:dyDescent="0.25">
      <c r="X4978" s="256"/>
    </row>
    <row r="4979" spans="24:24" x14ac:dyDescent="0.25">
      <c r="X4979" s="256"/>
    </row>
    <row r="4980" spans="24:24" x14ac:dyDescent="0.25">
      <c r="X4980" s="256"/>
    </row>
    <row r="4981" spans="24:24" x14ac:dyDescent="0.25">
      <c r="X4981" s="256"/>
    </row>
    <row r="4982" spans="24:24" x14ac:dyDescent="0.25">
      <c r="X4982" s="256"/>
    </row>
    <row r="4983" spans="24:24" x14ac:dyDescent="0.25">
      <c r="X4983" s="256"/>
    </row>
    <row r="4984" spans="24:24" x14ac:dyDescent="0.25">
      <c r="X4984" s="256"/>
    </row>
    <row r="4985" spans="24:24" x14ac:dyDescent="0.25">
      <c r="X4985" s="256"/>
    </row>
    <row r="4986" spans="24:24" x14ac:dyDescent="0.25">
      <c r="X4986" s="256"/>
    </row>
    <row r="4987" spans="24:24" x14ac:dyDescent="0.25">
      <c r="X4987" s="256"/>
    </row>
    <row r="4988" spans="24:24" x14ac:dyDescent="0.25">
      <c r="X4988" s="256"/>
    </row>
    <row r="4989" spans="24:24" x14ac:dyDescent="0.25">
      <c r="X4989" s="256"/>
    </row>
    <row r="4990" spans="24:24" x14ac:dyDescent="0.25">
      <c r="X4990" s="256"/>
    </row>
    <row r="4991" spans="24:24" x14ac:dyDescent="0.25">
      <c r="X4991" s="256"/>
    </row>
    <row r="4992" spans="24:24" x14ac:dyDescent="0.25">
      <c r="X4992" s="256"/>
    </row>
    <row r="4993" spans="24:24" x14ac:dyDescent="0.25">
      <c r="X4993" s="256"/>
    </row>
    <row r="4994" spans="24:24" x14ac:dyDescent="0.25">
      <c r="X4994" s="256"/>
    </row>
    <row r="4995" spans="24:24" x14ac:dyDescent="0.25">
      <c r="X4995" s="256"/>
    </row>
    <row r="4996" spans="24:24" x14ac:dyDescent="0.25">
      <c r="X4996" s="256"/>
    </row>
    <row r="4997" spans="24:24" x14ac:dyDescent="0.25">
      <c r="X4997" s="256"/>
    </row>
    <row r="4998" spans="24:24" x14ac:dyDescent="0.25">
      <c r="X4998" s="256"/>
    </row>
    <row r="4999" spans="24:24" x14ac:dyDescent="0.25">
      <c r="X4999" s="256"/>
    </row>
    <row r="5000" spans="24:24" x14ac:dyDescent="0.25">
      <c r="X5000" s="256"/>
    </row>
    <row r="5001" spans="24:24" x14ac:dyDescent="0.25">
      <c r="X5001" s="256"/>
    </row>
    <row r="5002" spans="24:24" x14ac:dyDescent="0.25">
      <c r="X5002" s="256"/>
    </row>
    <row r="5003" spans="24:24" x14ac:dyDescent="0.25">
      <c r="X5003" s="256"/>
    </row>
    <row r="5004" spans="24:24" x14ac:dyDescent="0.25">
      <c r="X5004" s="256"/>
    </row>
    <row r="5005" spans="24:24" x14ac:dyDescent="0.25">
      <c r="X5005" s="256"/>
    </row>
    <row r="5006" spans="24:24" x14ac:dyDescent="0.25">
      <c r="X5006" s="256"/>
    </row>
    <row r="5007" spans="24:24" x14ac:dyDescent="0.25">
      <c r="X5007" s="256"/>
    </row>
    <row r="5008" spans="24:24" x14ac:dyDescent="0.25">
      <c r="X5008" s="256"/>
    </row>
    <row r="5009" spans="24:24" x14ac:dyDescent="0.25">
      <c r="X5009" s="256"/>
    </row>
    <row r="5010" spans="24:24" x14ac:dyDescent="0.25">
      <c r="X5010" s="256"/>
    </row>
    <row r="5011" spans="24:24" x14ac:dyDescent="0.25">
      <c r="X5011" s="256"/>
    </row>
    <row r="5012" spans="24:24" x14ac:dyDescent="0.25">
      <c r="X5012" s="256"/>
    </row>
    <row r="5013" spans="24:24" x14ac:dyDescent="0.25">
      <c r="X5013" s="256"/>
    </row>
    <row r="5014" spans="24:24" x14ac:dyDescent="0.25">
      <c r="X5014" s="256"/>
    </row>
    <row r="5015" spans="24:24" x14ac:dyDescent="0.25">
      <c r="X5015" s="256"/>
    </row>
    <row r="5016" spans="24:24" x14ac:dyDescent="0.25">
      <c r="X5016" s="256"/>
    </row>
    <row r="5017" spans="24:24" x14ac:dyDescent="0.25">
      <c r="X5017" s="256"/>
    </row>
    <row r="5018" spans="24:24" x14ac:dyDescent="0.25">
      <c r="X5018" s="256"/>
    </row>
    <row r="5019" spans="24:24" x14ac:dyDescent="0.25">
      <c r="X5019" s="256"/>
    </row>
    <row r="5020" spans="24:24" x14ac:dyDescent="0.25">
      <c r="X5020" s="256"/>
    </row>
    <row r="5021" spans="24:24" x14ac:dyDescent="0.25">
      <c r="X5021" s="256"/>
    </row>
    <row r="5022" spans="24:24" x14ac:dyDescent="0.25">
      <c r="X5022" s="256"/>
    </row>
    <row r="5023" spans="24:24" x14ac:dyDescent="0.25">
      <c r="X5023" s="256"/>
    </row>
    <row r="5024" spans="24:24" x14ac:dyDescent="0.25">
      <c r="X5024" s="256"/>
    </row>
    <row r="5025" spans="24:24" x14ac:dyDescent="0.25">
      <c r="X5025" s="256"/>
    </row>
    <row r="5026" spans="24:24" x14ac:dyDescent="0.25">
      <c r="X5026" s="256"/>
    </row>
    <row r="5027" spans="24:24" x14ac:dyDescent="0.25">
      <c r="X5027" s="256"/>
    </row>
    <row r="5028" spans="24:24" x14ac:dyDescent="0.25">
      <c r="X5028" s="256"/>
    </row>
    <row r="5029" spans="24:24" x14ac:dyDescent="0.25">
      <c r="X5029" s="256"/>
    </row>
    <row r="5030" spans="24:24" x14ac:dyDescent="0.25">
      <c r="X5030" s="256"/>
    </row>
    <row r="5031" spans="24:24" x14ac:dyDescent="0.25">
      <c r="X5031" s="256"/>
    </row>
    <row r="5032" spans="24:24" x14ac:dyDescent="0.25">
      <c r="X5032" s="256"/>
    </row>
    <row r="5033" spans="24:24" x14ac:dyDescent="0.25">
      <c r="X5033" s="256"/>
    </row>
    <row r="5034" spans="24:24" x14ac:dyDescent="0.25">
      <c r="X5034" s="256"/>
    </row>
    <row r="5035" spans="24:24" x14ac:dyDescent="0.25">
      <c r="X5035" s="256"/>
    </row>
    <row r="5036" spans="24:24" x14ac:dyDescent="0.25">
      <c r="X5036" s="256"/>
    </row>
    <row r="5037" spans="24:24" x14ac:dyDescent="0.25">
      <c r="X5037" s="256"/>
    </row>
    <row r="5038" spans="24:24" x14ac:dyDescent="0.25">
      <c r="X5038" s="256"/>
    </row>
    <row r="5039" spans="24:24" x14ac:dyDescent="0.25">
      <c r="X5039" s="256"/>
    </row>
    <row r="5040" spans="24:24" x14ac:dyDescent="0.25">
      <c r="X5040" s="256"/>
    </row>
    <row r="5041" spans="24:24" x14ac:dyDescent="0.25">
      <c r="X5041" s="256"/>
    </row>
    <row r="5042" spans="24:24" x14ac:dyDescent="0.25">
      <c r="X5042" s="256"/>
    </row>
    <row r="5043" spans="24:24" x14ac:dyDescent="0.25">
      <c r="X5043" s="256"/>
    </row>
    <row r="5044" spans="24:24" x14ac:dyDescent="0.25">
      <c r="X5044" s="256"/>
    </row>
    <row r="5045" spans="24:24" x14ac:dyDescent="0.25">
      <c r="X5045" s="256"/>
    </row>
    <row r="5046" spans="24:24" x14ac:dyDescent="0.25">
      <c r="X5046" s="256"/>
    </row>
    <row r="5047" spans="24:24" x14ac:dyDescent="0.25">
      <c r="X5047" s="256"/>
    </row>
    <row r="5048" spans="24:24" x14ac:dyDescent="0.25">
      <c r="X5048" s="256"/>
    </row>
    <row r="5049" spans="24:24" x14ac:dyDescent="0.25">
      <c r="X5049" s="256"/>
    </row>
    <row r="5050" spans="24:24" x14ac:dyDescent="0.25">
      <c r="X5050" s="256"/>
    </row>
    <row r="5051" spans="24:24" x14ac:dyDescent="0.25">
      <c r="X5051" s="256"/>
    </row>
    <row r="5052" spans="24:24" x14ac:dyDescent="0.25">
      <c r="X5052" s="256"/>
    </row>
    <row r="5053" spans="24:24" x14ac:dyDescent="0.25">
      <c r="X5053" s="256"/>
    </row>
    <row r="5054" spans="24:24" x14ac:dyDescent="0.25">
      <c r="X5054" s="256"/>
    </row>
    <row r="5055" spans="24:24" x14ac:dyDescent="0.25">
      <c r="X5055" s="256"/>
    </row>
    <row r="5056" spans="24:24" x14ac:dyDescent="0.25">
      <c r="X5056" s="256"/>
    </row>
    <row r="5057" spans="24:24" x14ac:dyDescent="0.25">
      <c r="X5057" s="256"/>
    </row>
    <row r="5058" spans="24:24" x14ac:dyDescent="0.25">
      <c r="X5058" s="256"/>
    </row>
    <row r="5059" spans="24:24" x14ac:dyDescent="0.25">
      <c r="X5059" s="256"/>
    </row>
    <row r="5060" spans="24:24" x14ac:dyDescent="0.25">
      <c r="X5060" s="256"/>
    </row>
    <row r="5061" spans="24:24" x14ac:dyDescent="0.25">
      <c r="X5061" s="256"/>
    </row>
    <row r="5062" spans="24:24" x14ac:dyDescent="0.25">
      <c r="X5062" s="256"/>
    </row>
    <row r="5063" spans="24:24" x14ac:dyDescent="0.25">
      <c r="X5063" s="256"/>
    </row>
    <row r="5064" spans="24:24" x14ac:dyDescent="0.25">
      <c r="X5064" s="256"/>
    </row>
    <row r="5065" spans="24:24" x14ac:dyDescent="0.25">
      <c r="X5065" s="256"/>
    </row>
    <row r="5066" spans="24:24" x14ac:dyDescent="0.25">
      <c r="X5066" s="256"/>
    </row>
    <row r="5067" spans="24:24" x14ac:dyDescent="0.25">
      <c r="X5067" s="256"/>
    </row>
    <row r="5068" spans="24:24" x14ac:dyDescent="0.25">
      <c r="X5068" s="256"/>
    </row>
    <row r="5069" spans="24:24" x14ac:dyDescent="0.25">
      <c r="X5069" s="256"/>
    </row>
    <row r="5070" spans="24:24" x14ac:dyDescent="0.25">
      <c r="X5070" s="256"/>
    </row>
    <row r="5071" spans="24:24" x14ac:dyDescent="0.25">
      <c r="X5071" s="256"/>
    </row>
    <row r="5072" spans="24:24" x14ac:dyDescent="0.25">
      <c r="X5072" s="256"/>
    </row>
    <row r="5073" spans="24:24" x14ac:dyDescent="0.25">
      <c r="X5073" s="256"/>
    </row>
    <row r="5074" spans="24:24" x14ac:dyDescent="0.25">
      <c r="X5074" s="256"/>
    </row>
    <row r="5075" spans="24:24" x14ac:dyDescent="0.25">
      <c r="X5075" s="256"/>
    </row>
    <row r="5076" spans="24:24" x14ac:dyDescent="0.25">
      <c r="X5076" s="256"/>
    </row>
    <row r="5077" spans="24:24" x14ac:dyDescent="0.25">
      <c r="X5077" s="256"/>
    </row>
    <row r="5078" spans="24:24" x14ac:dyDescent="0.25">
      <c r="X5078" s="256"/>
    </row>
    <row r="5079" spans="24:24" x14ac:dyDescent="0.25">
      <c r="X5079" s="256"/>
    </row>
    <row r="5080" spans="24:24" x14ac:dyDescent="0.25">
      <c r="X5080" s="256"/>
    </row>
    <row r="5081" spans="24:24" x14ac:dyDescent="0.25">
      <c r="X5081" s="256"/>
    </row>
    <row r="5082" spans="24:24" x14ac:dyDescent="0.25">
      <c r="X5082" s="256"/>
    </row>
    <row r="5083" spans="24:24" x14ac:dyDescent="0.25">
      <c r="X5083" s="256"/>
    </row>
    <row r="5084" spans="24:24" x14ac:dyDescent="0.25">
      <c r="X5084" s="256"/>
    </row>
    <row r="5085" spans="24:24" x14ac:dyDescent="0.25">
      <c r="X5085" s="256"/>
    </row>
    <row r="5086" spans="24:24" x14ac:dyDescent="0.25">
      <c r="X5086" s="256"/>
    </row>
    <row r="5087" spans="24:24" x14ac:dyDescent="0.25">
      <c r="X5087" s="256"/>
    </row>
    <row r="5088" spans="24:24" x14ac:dyDescent="0.25">
      <c r="X5088" s="256"/>
    </row>
    <row r="5089" spans="24:24" x14ac:dyDescent="0.25">
      <c r="X5089" s="256"/>
    </row>
    <row r="5090" spans="24:24" x14ac:dyDescent="0.25">
      <c r="X5090" s="256"/>
    </row>
    <row r="5091" spans="24:24" x14ac:dyDescent="0.25">
      <c r="X5091" s="256"/>
    </row>
    <row r="5092" spans="24:24" x14ac:dyDescent="0.25">
      <c r="X5092" s="256"/>
    </row>
    <row r="5093" spans="24:24" x14ac:dyDescent="0.25">
      <c r="X5093" s="256"/>
    </row>
    <row r="5094" spans="24:24" x14ac:dyDescent="0.25">
      <c r="X5094" s="256"/>
    </row>
    <row r="5095" spans="24:24" x14ac:dyDescent="0.25">
      <c r="X5095" s="256"/>
    </row>
    <row r="5096" spans="24:24" x14ac:dyDescent="0.25">
      <c r="X5096" s="256"/>
    </row>
    <row r="5097" spans="24:24" x14ac:dyDescent="0.25">
      <c r="X5097" s="256"/>
    </row>
    <row r="5098" spans="24:24" x14ac:dyDescent="0.25">
      <c r="X5098" s="256"/>
    </row>
    <row r="5099" spans="24:24" x14ac:dyDescent="0.25">
      <c r="X5099" s="256"/>
    </row>
    <row r="5100" spans="24:24" x14ac:dyDescent="0.25">
      <c r="X5100" s="256"/>
    </row>
    <row r="5101" spans="24:24" x14ac:dyDescent="0.25">
      <c r="X5101" s="256"/>
    </row>
    <row r="5102" spans="24:24" x14ac:dyDescent="0.25">
      <c r="X5102" s="256"/>
    </row>
    <row r="5103" spans="24:24" x14ac:dyDescent="0.25">
      <c r="X5103" s="256"/>
    </row>
    <row r="5104" spans="24:24" x14ac:dyDescent="0.25">
      <c r="X5104" s="256"/>
    </row>
    <row r="5105" spans="24:24" x14ac:dyDescent="0.25">
      <c r="X5105" s="256"/>
    </row>
    <row r="5106" spans="24:24" x14ac:dyDescent="0.25">
      <c r="X5106" s="256"/>
    </row>
    <row r="5107" spans="24:24" x14ac:dyDescent="0.25">
      <c r="X5107" s="256"/>
    </row>
    <row r="5108" spans="24:24" x14ac:dyDescent="0.25">
      <c r="X5108" s="256"/>
    </row>
    <row r="5109" spans="24:24" x14ac:dyDescent="0.25">
      <c r="X5109" s="256"/>
    </row>
    <row r="5110" spans="24:24" x14ac:dyDescent="0.25">
      <c r="X5110" s="256"/>
    </row>
    <row r="5111" spans="24:24" x14ac:dyDescent="0.25">
      <c r="X5111" s="256"/>
    </row>
    <row r="5112" spans="24:24" x14ac:dyDescent="0.25">
      <c r="X5112" s="256"/>
    </row>
    <row r="5113" spans="24:24" x14ac:dyDescent="0.25">
      <c r="X5113" s="256"/>
    </row>
    <row r="5114" spans="24:24" x14ac:dyDescent="0.25">
      <c r="X5114" s="256"/>
    </row>
    <row r="5115" spans="24:24" x14ac:dyDescent="0.25">
      <c r="X5115" s="256"/>
    </row>
    <row r="5116" spans="24:24" x14ac:dyDescent="0.25">
      <c r="X5116" s="256"/>
    </row>
    <row r="5117" spans="24:24" x14ac:dyDescent="0.25">
      <c r="X5117" s="256"/>
    </row>
    <row r="5118" spans="24:24" x14ac:dyDescent="0.25">
      <c r="X5118" s="256"/>
    </row>
    <row r="5119" spans="24:24" x14ac:dyDescent="0.25">
      <c r="X5119" s="256"/>
    </row>
    <row r="5120" spans="24:24" x14ac:dyDescent="0.25">
      <c r="X5120" s="256"/>
    </row>
    <row r="5121" spans="24:24" x14ac:dyDescent="0.25">
      <c r="X5121" s="256"/>
    </row>
    <row r="5122" spans="24:24" x14ac:dyDescent="0.25">
      <c r="X5122" s="256"/>
    </row>
    <row r="5123" spans="24:24" x14ac:dyDescent="0.25">
      <c r="X5123" s="256"/>
    </row>
    <row r="5124" spans="24:24" x14ac:dyDescent="0.25">
      <c r="X5124" s="256"/>
    </row>
    <row r="5125" spans="24:24" x14ac:dyDescent="0.25">
      <c r="X5125" s="256"/>
    </row>
    <row r="5126" spans="24:24" x14ac:dyDescent="0.25">
      <c r="X5126" s="256"/>
    </row>
    <row r="5127" spans="24:24" x14ac:dyDescent="0.25">
      <c r="X5127" s="256"/>
    </row>
    <row r="5128" spans="24:24" x14ac:dyDescent="0.25">
      <c r="X5128" s="256"/>
    </row>
    <row r="5129" spans="24:24" x14ac:dyDescent="0.25">
      <c r="X5129" s="256"/>
    </row>
    <row r="5130" spans="24:24" x14ac:dyDescent="0.25">
      <c r="X5130" s="256"/>
    </row>
    <row r="5131" spans="24:24" x14ac:dyDescent="0.25">
      <c r="X5131" s="256"/>
    </row>
    <row r="5132" spans="24:24" x14ac:dyDescent="0.25">
      <c r="X5132" s="256"/>
    </row>
    <row r="5133" spans="24:24" x14ac:dyDescent="0.25">
      <c r="X5133" s="256"/>
    </row>
    <row r="5134" spans="24:24" x14ac:dyDescent="0.25">
      <c r="X5134" s="256"/>
    </row>
    <row r="5135" spans="24:24" x14ac:dyDescent="0.25">
      <c r="X5135" s="256"/>
    </row>
    <row r="5136" spans="24:24" x14ac:dyDescent="0.25">
      <c r="X5136" s="256"/>
    </row>
    <row r="5137" spans="24:24" x14ac:dyDescent="0.25">
      <c r="X5137" s="256"/>
    </row>
    <row r="5138" spans="24:24" x14ac:dyDescent="0.25">
      <c r="X5138" s="256"/>
    </row>
    <row r="5139" spans="24:24" x14ac:dyDescent="0.25">
      <c r="X5139" s="256"/>
    </row>
    <row r="5140" spans="24:24" x14ac:dyDescent="0.25">
      <c r="X5140" s="256"/>
    </row>
    <row r="5141" spans="24:24" x14ac:dyDescent="0.25">
      <c r="X5141" s="256"/>
    </row>
    <row r="5142" spans="24:24" x14ac:dyDescent="0.25">
      <c r="X5142" s="256"/>
    </row>
    <row r="5143" spans="24:24" x14ac:dyDescent="0.25">
      <c r="X5143" s="256"/>
    </row>
    <row r="5144" spans="24:24" x14ac:dyDescent="0.25">
      <c r="X5144" s="256"/>
    </row>
    <row r="5145" spans="24:24" x14ac:dyDescent="0.25">
      <c r="X5145" s="256"/>
    </row>
    <row r="5146" spans="24:24" x14ac:dyDescent="0.25">
      <c r="X5146" s="256"/>
    </row>
    <row r="5147" spans="24:24" x14ac:dyDescent="0.25">
      <c r="X5147" s="256"/>
    </row>
    <row r="5148" spans="24:24" x14ac:dyDescent="0.25">
      <c r="X5148" s="256"/>
    </row>
    <row r="5149" spans="24:24" x14ac:dyDescent="0.25">
      <c r="X5149" s="256"/>
    </row>
    <row r="5150" spans="24:24" x14ac:dyDescent="0.25">
      <c r="X5150" s="256"/>
    </row>
    <row r="5151" spans="24:24" x14ac:dyDescent="0.25">
      <c r="X5151" s="256"/>
    </row>
    <row r="5152" spans="24:24" x14ac:dyDescent="0.25">
      <c r="X5152" s="256"/>
    </row>
    <row r="5153" spans="24:24" x14ac:dyDescent="0.25">
      <c r="X5153" s="256"/>
    </row>
    <row r="5154" spans="24:24" x14ac:dyDescent="0.25">
      <c r="X5154" s="256"/>
    </row>
    <row r="5155" spans="24:24" x14ac:dyDescent="0.25">
      <c r="X5155" s="256"/>
    </row>
    <row r="5156" spans="24:24" x14ac:dyDescent="0.25">
      <c r="X5156" s="256"/>
    </row>
    <row r="5157" spans="24:24" x14ac:dyDescent="0.25">
      <c r="X5157" s="256"/>
    </row>
    <row r="5158" spans="24:24" x14ac:dyDescent="0.25">
      <c r="X5158" s="256"/>
    </row>
    <row r="5159" spans="24:24" x14ac:dyDescent="0.25">
      <c r="X5159" s="256"/>
    </row>
    <row r="5160" spans="24:24" x14ac:dyDescent="0.25">
      <c r="X5160" s="256"/>
    </row>
    <row r="5161" spans="24:24" x14ac:dyDescent="0.25">
      <c r="X5161" s="256"/>
    </row>
    <row r="5162" spans="24:24" x14ac:dyDescent="0.25">
      <c r="X5162" s="256"/>
    </row>
    <row r="5163" spans="24:24" x14ac:dyDescent="0.25">
      <c r="X5163" s="256"/>
    </row>
    <row r="5164" spans="24:24" x14ac:dyDescent="0.25">
      <c r="X5164" s="256"/>
    </row>
    <row r="5165" spans="24:24" x14ac:dyDescent="0.25">
      <c r="X5165" s="256"/>
    </row>
    <row r="5166" spans="24:24" x14ac:dyDescent="0.25">
      <c r="X5166" s="256"/>
    </row>
    <row r="5167" spans="24:24" x14ac:dyDescent="0.25">
      <c r="X5167" s="256"/>
    </row>
    <row r="5168" spans="24:24" x14ac:dyDescent="0.25">
      <c r="X5168" s="256"/>
    </row>
    <row r="5169" spans="24:24" x14ac:dyDescent="0.25">
      <c r="X5169" s="256"/>
    </row>
    <row r="5170" spans="24:24" x14ac:dyDescent="0.25">
      <c r="X5170" s="256"/>
    </row>
    <row r="5171" spans="24:24" x14ac:dyDescent="0.25">
      <c r="X5171" s="256"/>
    </row>
    <row r="5172" spans="24:24" x14ac:dyDescent="0.25">
      <c r="X5172" s="256"/>
    </row>
    <row r="5173" spans="24:24" x14ac:dyDescent="0.25">
      <c r="X5173" s="256"/>
    </row>
    <row r="5174" spans="24:24" x14ac:dyDescent="0.25">
      <c r="X5174" s="256"/>
    </row>
    <row r="5175" spans="24:24" x14ac:dyDescent="0.25">
      <c r="X5175" s="256"/>
    </row>
    <row r="5176" spans="24:24" x14ac:dyDescent="0.25">
      <c r="X5176" s="256"/>
    </row>
    <row r="5177" spans="24:24" x14ac:dyDescent="0.25">
      <c r="X5177" s="256"/>
    </row>
    <row r="5178" spans="24:24" x14ac:dyDescent="0.25">
      <c r="X5178" s="256"/>
    </row>
    <row r="5179" spans="24:24" x14ac:dyDescent="0.25">
      <c r="X5179" s="256"/>
    </row>
    <row r="5180" spans="24:24" x14ac:dyDescent="0.25">
      <c r="X5180" s="256"/>
    </row>
    <row r="5181" spans="24:24" x14ac:dyDescent="0.25">
      <c r="X5181" s="256"/>
    </row>
    <row r="5182" spans="24:24" x14ac:dyDescent="0.25">
      <c r="X5182" s="256"/>
    </row>
    <row r="5183" spans="24:24" x14ac:dyDescent="0.25">
      <c r="X5183" s="256"/>
    </row>
    <row r="5184" spans="24:24" x14ac:dyDescent="0.25">
      <c r="X5184" s="256"/>
    </row>
    <row r="5185" spans="24:24" x14ac:dyDescent="0.25">
      <c r="X5185" s="256"/>
    </row>
    <row r="5186" spans="24:24" x14ac:dyDescent="0.25">
      <c r="X5186" s="256"/>
    </row>
    <row r="5187" spans="24:24" x14ac:dyDescent="0.25">
      <c r="X5187" s="256"/>
    </row>
    <row r="5188" spans="24:24" x14ac:dyDescent="0.25">
      <c r="X5188" s="256"/>
    </row>
    <row r="5189" spans="24:24" x14ac:dyDescent="0.25">
      <c r="X5189" s="256"/>
    </row>
    <row r="5190" spans="24:24" x14ac:dyDescent="0.25">
      <c r="X5190" s="256"/>
    </row>
    <row r="5191" spans="24:24" x14ac:dyDescent="0.25">
      <c r="X5191" s="256"/>
    </row>
    <row r="5192" spans="24:24" x14ac:dyDescent="0.25">
      <c r="X5192" s="256"/>
    </row>
    <row r="5193" spans="24:24" x14ac:dyDescent="0.25">
      <c r="X5193" s="256"/>
    </row>
    <row r="5194" spans="24:24" x14ac:dyDescent="0.25">
      <c r="X5194" s="256"/>
    </row>
    <row r="5195" spans="24:24" x14ac:dyDescent="0.25">
      <c r="X5195" s="256"/>
    </row>
    <row r="5196" spans="24:24" x14ac:dyDescent="0.25">
      <c r="X5196" s="256"/>
    </row>
    <row r="5197" spans="24:24" x14ac:dyDescent="0.25">
      <c r="X5197" s="256"/>
    </row>
    <row r="5198" spans="24:24" x14ac:dyDescent="0.25">
      <c r="X5198" s="256"/>
    </row>
    <row r="5199" spans="24:24" x14ac:dyDescent="0.25">
      <c r="X5199" s="256"/>
    </row>
    <row r="5200" spans="24:24" x14ac:dyDescent="0.25">
      <c r="X5200" s="256"/>
    </row>
    <row r="5201" spans="24:24" x14ac:dyDescent="0.25">
      <c r="X5201" s="256"/>
    </row>
    <row r="5202" spans="24:24" x14ac:dyDescent="0.25">
      <c r="X5202" s="256"/>
    </row>
    <row r="5203" spans="24:24" x14ac:dyDescent="0.25">
      <c r="X5203" s="256"/>
    </row>
    <row r="5204" spans="24:24" x14ac:dyDescent="0.25">
      <c r="X5204" s="256"/>
    </row>
    <row r="5205" spans="24:24" x14ac:dyDescent="0.25">
      <c r="X5205" s="256"/>
    </row>
    <row r="5206" spans="24:24" x14ac:dyDescent="0.25">
      <c r="X5206" s="256"/>
    </row>
    <row r="5207" spans="24:24" x14ac:dyDescent="0.25">
      <c r="X5207" s="256"/>
    </row>
    <row r="5208" spans="24:24" x14ac:dyDescent="0.25">
      <c r="X5208" s="256"/>
    </row>
    <row r="5209" spans="24:24" x14ac:dyDescent="0.25">
      <c r="X5209" s="256"/>
    </row>
    <row r="5210" spans="24:24" x14ac:dyDescent="0.25">
      <c r="X5210" s="256"/>
    </row>
    <row r="5211" spans="24:24" x14ac:dyDescent="0.25">
      <c r="X5211" s="256"/>
    </row>
    <row r="5212" spans="24:24" x14ac:dyDescent="0.25">
      <c r="X5212" s="256"/>
    </row>
    <row r="5213" spans="24:24" x14ac:dyDescent="0.25">
      <c r="X5213" s="256"/>
    </row>
    <row r="5214" spans="24:24" x14ac:dyDescent="0.25">
      <c r="X5214" s="256"/>
    </row>
    <row r="5215" spans="24:24" x14ac:dyDescent="0.25">
      <c r="X5215" s="256"/>
    </row>
    <row r="5216" spans="24:24" x14ac:dyDescent="0.25">
      <c r="X5216" s="256"/>
    </row>
    <row r="5217" spans="24:24" x14ac:dyDescent="0.25">
      <c r="X5217" s="256"/>
    </row>
    <row r="5218" spans="24:24" x14ac:dyDescent="0.25">
      <c r="X5218" s="256"/>
    </row>
    <row r="5219" spans="24:24" x14ac:dyDescent="0.25">
      <c r="X5219" s="256"/>
    </row>
    <row r="5220" spans="24:24" x14ac:dyDescent="0.25">
      <c r="X5220" s="256"/>
    </row>
    <row r="5221" spans="24:24" x14ac:dyDescent="0.25">
      <c r="X5221" s="256"/>
    </row>
    <row r="5222" spans="24:24" x14ac:dyDescent="0.25">
      <c r="X5222" s="256"/>
    </row>
    <row r="5223" spans="24:24" x14ac:dyDescent="0.25">
      <c r="X5223" s="256"/>
    </row>
    <row r="5224" spans="24:24" x14ac:dyDescent="0.25">
      <c r="X5224" s="256"/>
    </row>
    <row r="5225" spans="24:24" x14ac:dyDescent="0.25">
      <c r="X5225" s="256"/>
    </row>
    <row r="5226" spans="24:24" x14ac:dyDescent="0.25">
      <c r="X5226" s="256"/>
    </row>
    <row r="5227" spans="24:24" x14ac:dyDescent="0.25">
      <c r="X5227" s="256"/>
    </row>
    <row r="5228" spans="24:24" x14ac:dyDescent="0.25">
      <c r="X5228" s="256"/>
    </row>
    <row r="5229" spans="24:24" x14ac:dyDescent="0.25">
      <c r="X5229" s="256"/>
    </row>
    <row r="5230" spans="24:24" x14ac:dyDescent="0.25">
      <c r="X5230" s="256"/>
    </row>
    <row r="5231" spans="24:24" x14ac:dyDescent="0.25">
      <c r="X5231" s="256"/>
    </row>
    <row r="5232" spans="24:24" x14ac:dyDescent="0.25">
      <c r="X5232" s="256"/>
    </row>
    <row r="5233" spans="24:24" x14ac:dyDescent="0.25">
      <c r="X5233" s="256"/>
    </row>
    <row r="5234" spans="24:24" x14ac:dyDescent="0.25">
      <c r="X5234" s="256"/>
    </row>
    <row r="5235" spans="24:24" x14ac:dyDescent="0.25">
      <c r="X5235" s="256"/>
    </row>
    <row r="5236" spans="24:24" x14ac:dyDescent="0.25">
      <c r="X5236" s="256"/>
    </row>
    <row r="5237" spans="24:24" x14ac:dyDescent="0.25">
      <c r="X5237" s="256"/>
    </row>
    <row r="5238" spans="24:24" x14ac:dyDescent="0.25">
      <c r="X5238" s="256"/>
    </row>
    <row r="5239" spans="24:24" x14ac:dyDescent="0.25">
      <c r="X5239" s="256"/>
    </row>
    <row r="5240" spans="24:24" x14ac:dyDescent="0.25">
      <c r="X5240" s="256"/>
    </row>
    <row r="5241" spans="24:24" x14ac:dyDescent="0.25">
      <c r="X5241" s="256"/>
    </row>
    <row r="5242" spans="24:24" x14ac:dyDescent="0.25">
      <c r="X5242" s="256"/>
    </row>
    <row r="5243" spans="24:24" x14ac:dyDescent="0.25">
      <c r="X5243" s="256"/>
    </row>
    <row r="5244" spans="24:24" x14ac:dyDescent="0.25">
      <c r="X5244" s="256"/>
    </row>
    <row r="5245" spans="24:24" x14ac:dyDescent="0.25">
      <c r="X5245" s="256"/>
    </row>
    <row r="5246" spans="24:24" x14ac:dyDescent="0.25">
      <c r="X5246" s="256"/>
    </row>
    <row r="5247" spans="24:24" x14ac:dyDescent="0.25">
      <c r="X5247" s="256"/>
    </row>
    <row r="5248" spans="24:24" x14ac:dyDescent="0.25">
      <c r="X5248" s="256"/>
    </row>
    <row r="5249" spans="24:24" x14ac:dyDescent="0.25">
      <c r="X5249" s="256"/>
    </row>
    <row r="5250" spans="24:24" x14ac:dyDescent="0.25">
      <c r="X5250" s="256"/>
    </row>
    <row r="5251" spans="24:24" x14ac:dyDescent="0.25">
      <c r="X5251" s="256"/>
    </row>
    <row r="5252" spans="24:24" x14ac:dyDescent="0.25">
      <c r="X5252" s="256"/>
    </row>
    <row r="5253" spans="24:24" x14ac:dyDescent="0.25">
      <c r="X5253" s="256"/>
    </row>
    <row r="5254" spans="24:24" x14ac:dyDescent="0.25">
      <c r="X5254" s="256"/>
    </row>
    <row r="5255" spans="24:24" x14ac:dyDescent="0.25">
      <c r="X5255" s="256"/>
    </row>
    <row r="5256" spans="24:24" x14ac:dyDescent="0.25">
      <c r="X5256" s="256"/>
    </row>
    <row r="5257" spans="24:24" x14ac:dyDescent="0.25">
      <c r="X5257" s="256"/>
    </row>
    <row r="5258" spans="24:24" x14ac:dyDescent="0.25">
      <c r="X5258" s="256"/>
    </row>
    <row r="5259" spans="24:24" x14ac:dyDescent="0.25">
      <c r="X5259" s="256"/>
    </row>
    <row r="5260" spans="24:24" x14ac:dyDescent="0.25">
      <c r="X5260" s="256"/>
    </row>
    <row r="5261" spans="24:24" x14ac:dyDescent="0.25">
      <c r="X5261" s="256"/>
    </row>
    <row r="5262" spans="24:24" x14ac:dyDescent="0.25">
      <c r="X5262" s="256"/>
    </row>
    <row r="5263" spans="24:24" x14ac:dyDescent="0.25">
      <c r="X5263" s="256"/>
    </row>
    <row r="5264" spans="24:24" x14ac:dyDescent="0.25">
      <c r="X5264" s="256"/>
    </row>
    <row r="5265" spans="24:24" x14ac:dyDescent="0.25">
      <c r="X5265" s="256"/>
    </row>
    <row r="5266" spans="24:24" x14ac:dyDescent="0.25">
      <c r="X5266" s="256"/>
    </row>
    <row r="5267" spans="24:24" x14ac:dyDescent="0.25">
      <c r="X5267" s="256"/>
    </row>
    <row r="5268" spans="24:24" x14ac:dyDescent="0.25">
      <c r="X5268" s="256"/>
    </row>
    <row r="5269" spans="24:24" x14ac:dyDescent="0.25">
      <c r="X5269" s="256"/>
    </row>
    <row r="5270" spans="24:24" x14ac:dyDescent="0.25">
      <c r="X5270" s="256"/>
    </row>
    <row r="5271" spans="24:24" x14ac:dyDescent="0.25">
      <c r="X5271" s="256"/>
    </row>
    <row r="5272" spans="24:24" x14ac:dyDescent="0.25">
      <c r="X5272" s="256"/>
    </row>
    <row r="5273" spans="24:24" x14ac:dyDescent="0.25">
      <c r="X5273" s="256"/>
    </row>
    <row r="5274" spans="24:24" x14ac:dyDescent="0.25">
      <c r="X5274" s="256"/>
    </row>
    <row r="5275" spans="24:24" x14ac:dyDescent="0.25">
      <c r="X5275" s="256"/>
    </row>
    <row r="5276" spans="24:24" x14ac:dyDescent="0.25">
      <c r="X5276" s="256"/>
    </row>
    <row r="5277" spans="24:24" x14ac:dyDescent="0.25">
      <c r="X5277" s="256"/>
    </row>
    <row r="5278" spans="24:24" x14ac:dyDescent="0.25">
      <c r="X5278" s="256"/>
    </row>
    <row r="5279" spans="24:24" x14ac:dyDescent="0.25">
      <c r="X5279" s="256"/>
    </row>
    <row r="5280" spans="24:24" x14ac:dyDescent="0.25">
      <c r="X5280" s="256"/>
    </row>
    <row r="5281" spans="24:24" x14ac:dyDescent="0.25">
      <c r="X5281" s="256"/>
    </row>
    <row r="5282" spans="24:24" x14ac:dyDescent="0.25">
      <c r="X5282" s="256"/>
    </row>
    <row r="5283" spans="24:24" x14ac:dyDescent="0.25">
      <c r="X5283" s="256"/>
    </row>
    <row r="5284" spans="24:24" x14ac:dyDescent="0.25">
      <c r="X5284" s="256"/>
    </row>
    <row r="5285" spans="24:24" x14ac:dyDescent="0.25">
      <c r="X5285" s="256"/>
    </row>
    <row r="5286" spans="24:24" x14ac:dyDescent="0.25">
      <c r="X5286" s="256"/>
    </row>
    <row r="5287" spans="24:24" x14ac:dyDescent="0.25">
      <c r="X5287" s="256"/>
    </row>
    <row r="5288" spans="24:24" x14ac:dyDescent="0.25">
      <c r="X5288" s="256"/>
    </row>
    <row r="5289" spans="24:24" x14ac:dyDescent="0.25">
      <c r="X5289" s="256"/>
    </row>
    <row r="5290" spans="24:24" x14ac:dyDescent="0.25">
      <c r="X5290" s="256"/>
    </row>
    <row r="5291" spans="24:24" x14ac:dyDescent="0.25">
      <c r="X5291" s="256"/>
    </row>
    <row r="5292" spans="24:24" x14ac:dyDescent="0.25">
      <c r="X5292" s="256"/>
    </row>
    <row r="5293" spans="24:24" x14ac:dyDescent="0.25">
      <c r="X5293" s="256"/>
    </row>
    <row r="5294" spans="24:24" x14ac:dyDescent="0.25">
      <c r="X5294" s="256"/>
    </row>
    <row r="5295" spans="24:24" x14ac:dyDescent="0.25">
      <c r="X5295" s="256"/>
    </row>
    <row r="5296" spans="24:24" x14ac:dyDescent="0.25">
      <c r="X5296" s="256"/>
    </row>
    <row r="5297" spans="24:24" x14ac:dyDescent="0.25">
      <c r="X5297" s="256"/>
    </row>
    <row r="5298" spans="24:24" x14ac:dyDescent="0.25">
      <c r="X5298" s="256"/>
    </row>
    <row r="5299" spans="24:24" x14ac:dyDescent="0.25">
      <c r="X5299" s="256"/>
    </row>
    <row r="5300" spans="24:24" x14ac:dyDescent="0.25">
      <c r="X5300" s="256"/>
    </row>
    <row r="5301" spans="24:24" x14ac:dyDescent="0.25">
      <c r="X5301" s="256"/>
    </row>
    <row r="5302" spans="24:24" x14ac:dyDescent="0.25">
      <c r="X5302" s="256"/>
    </row>
    <row r="5303" spans="24:24" x14ac:dyDescent="0.25">
      <c r="X5303" s="256"/>
    </row>
    <row r="5304" spans="24:24" x14ac:dyDescent="0.25">
      <c r="X5304" s="256"/>
    </row>
    <row r="5305" spans="24:24" x14ac:dyDescent="0.25">
      <c r="X5305" s="256"/>
    </row>
    <row r="5306" spans="24:24" x14ac:dyDescent="0.25">
      <c r="X5306" s="256"/>
    </row>
    <row r="5307" spans="24:24" x14ac:dyDescent="0.25">
      <c r="X5307" s="256"/>
    </row>
    <row r="5308" spans="24:24" x14ac:dyDescent="0.25">
      <c r="X5308" s="256"/>
    </row>
    <row r="5309" spans="24:24" x14ac:dyDescent="0.25">
      <c r="X5309" s="256"/>
    </row>
    <row r="5310" spans="24:24" x14ac:dyDescent="0.25">
      <c r="X5310" s="256"/>
    </row>
    <row r="5311" spans="24:24" x14ac:dyDescent="0.25">
      <c r="X5311" s="256"/>
    </row>
    <row r="5312" spans="24:24" x14ac:dyDescent="0.25">
      <c r="X5312" s="256"/>
    </row>
    <row r="5313" spans="24:24" x14ac:dyDescent="0.25">
      <c r="X5313" s="256"/>
    </row>
    <row r="5314" spans="24:24" x14ac:dyDescent="0.25">
      <c r="X5314" s="256"/>
    </row>
    <row r="5315" spans="24:24" x14ac:dyDescent="0.25">
      <c r="X5315" s="256"/>
    </row>
    <row r="5316" spans="24:24" x14ac:dyDescent="0.25">
      <c r="X5316" s="256"/>
    </row>
    <row r="5317" spans="24:24" x14ac:dyDescent="0.25">
      <c r="X5317" s="256"/>
    </row>
    <row r="5318" spans="24:24" x14ac:dyDescent="0.25">
      <c r="X5318" s="256"/>
    </row>
    <row r="5319" spans="24:24" x14ac:dyDescent="0.25">
      <c r="X5319" s="256"/>
    </row>
    <row r="5320" spans="24:24" x14ac:dyDescent="0.25">
      <c r="X5320" s="256"/>
    </row>
    <row r="5321" spans="24:24" x14ac:dyDescent="0.25">
      <c r="X5321" s="256"/>
    </row>
    <row r="5322" spans="24:24" x14ac:dyDescent="0.25">
      <c r="X5322" s="256"/>
    </row>
    <row r="5323" spans="24:24" x14ac:dyDescent="0.25">
      <c r="X5323" s="256"/>
    </row>
    <row r="5324" spans="24:24" x14ac:dyDescent="0.25">
      <c r="X5324" s="256"/>
    </row>
    <row r="5325" spans="24:24" x14ac:dyDescent="0.25">
      <c r="X5325" s="256"/>
    </row>
    <row r="5326" spans="24:24" x14ac:dyDescent="0.25">
      <c r="X5326" s="256"/>
    </row>
    <row r="5327" spans="24:24" x14ac:dyDescent="0.25">
      <c r="X5327" s="256"/>
    </row>
    <row r="5328" spans="24:24" x14ac:dyDescent="0.25">
      <c r="X5328" s="256"/>
    </row>
    <row r="5329" spans="24:24" x14ac:dyDescent="0.25">
      <c r="X5329" s="256"/>
    </row>
    <row r="5330" spans="24:24" x14ac:dyDescent="0.25">
      <c r="X5330" s="256"/>
    </row>
    <row r="5331" spans="24:24" x14ac:dyDescent="0.25">
      <c r="X5331" s="256"/>
    </row>
    <row r="5332" spans="24:24" x14ac:dyDescent="0.25">
      <c r="X5332" s="256"/>
    </row>
    <row r="5333" spans="24:24" x14ac:dyDescent="0.25">
      <c r="X5333" s="256"/>
    </row>
    <row r="5334" spans="24:24" x14ac:dyDescent="0.25">
      <c r="X5334" s="256"/>
    </row>
    <row r="5335" spans="24:24" x14ac:dyDescent="0.25">
      <c r="X5335" s="256"/>
    </row>
    <row r="5336" spans="24:24" x14ac:dyDescent="0.25">
      <c r="X5336" s="256"/>
    </row>
    <row r="5337" spans="24:24" x14ac:dyDescent="0.25">
      <c r="X5337" s="256"/>
    </row>
    <row r="5338" spans="24:24" x14ac:dyDescent="0.25">
      <c r="X5338" s="256"/>
    </row>
    <row r="5339" spans="24:24" x14ac:dyDescent="0.25">
      <c r="X5339" s="256"/>
    </row>
    <row r="5340" spans="24:24" x14ac:dyDescent="0.25">
      <c r="X5340" s="256"/>
    </row>
    <row r="5341" spans="24:24" x14ac:dyDescent="0.25">
      <c r="X5341" s="256"/>
    </row>
    <row r="5342" spans="24:24" x14ac:dyDescent="0.25">
      <c r="X5342" s="256"/>
    </row>
    <row r="5343" spans="24:24" x14ac:dyDescent="0.25">
      <c r="X5343" s="256"/>
    </row>
    <row r="5344" spans="24:24" x14ac:dyDescent="0.25">
      <c r="X5344" s="256"/>
    </row>
    <row r="5345" spans="24:24" x14ac:dyDescent="0.25">
      <c r="X5345" s="256"/>
    </row>
    <row r="5346" spans="24:24" x14ac:dyDescent="0.25">
      <c r="X5346" s="256"/>
    </row>
    <row r="5347" spans="24:24" x14ac:dyDescent="0.25">
      <c r="X5347" s="256"/>
    </row>
    <row r="5348" spans="24:24" x14ac:dyDescent="0.25">
      <c r="X5348" s="256"/>
    </row>
    <row r="5349" spans="24:24" x14ac:dyDescent="0.25">
      <c r="X5349" s="256"/>
    </row>
    <row r="5350" spans="24:24" x14ac:dyDescent="0.25">
      <c r="X5350" s="256"/>
    </row>
    <row r="5351" spans="24:24" x14ac:dyDescent="0.25">
      <c r="X5351" s="256"/>
    </row>
    <row r="5352" spans="24:24" x14ac:dyDescent="0.25">
      <c r="X5352" s="256"/>
    </row>
    <row r="5353" spans="24:24" x14ac:dyDescent="0.25">
      <c r="X5353" s="256"/>
    </row>
    <row r="5354" spans="24:24" x14ac:dyDescent="0.25">
      <c r="X5354" s="256"/>
    </row>
    <row r="5355" spans="24:24" x14ac:dyDescent="0.25">
      <c r="X5355" s="256"/>
    </row>
    <row r="5356" spans="24:24" x14ac:dyDescent="0.25">
      <c r="X5356" s="256"/>
    </row>
    <row r="5357" spans="24:24" x14ac:dyDescent="0.25">
      <c r="X5357" s="256"/>
    </row>
    <row r="5358" spans="24:24" x14ac:dyDescent="0.25">
      <c r="X5358" s="256"/>
    </row>
    <row r="5359" spans="24:24" x14ac:dyDescent="0.25">
      <c r="X5359" s="256"/>
    </row>
    <row r="5360" spans="24:24" x14ac:dyDescent="0.25">
      <c r="X5360" s="256"/>
    </row>
    <row r="5361" spans="24:24" x14ac:dyDescent="0.25">
      <c r="X5361" s="256"/>
    </row>
    <row r="5362" spans="24:24" x14ac:dyDescent="0.25">
      <c r="X5362" s="256"/>
    </row>
    <row r="5363" spans="24:24" x14ac:dyDescent="0.25">
      <c r="X5363" s="256"/>
    </row>
    <row r="5364" spans="24:24" x14ac:dyDescent="0.25">
      <c r="X5364" s="256"/>
    </row>
    <row r="5365" spans="24:24" x14ac:dyDescent="0.25">
      <c r="X5365" s="256"/>
    </row>
    <row r="5366" spans="24:24" x14ac:dyDescent="0.25">
      <c r="X5366" s="256"/>
    </row>
    <row r="5367" spans="24:24" x14ac:dyDescent="0.25">
      <c r="X5367" s="256"/>
    </row>
    <row r="5368" spans="24:24" x14ac:dyDescent="0.25">
      <c r="X5368" s="256"/>
    </row>
    <row r="5369" spans="24:24" x14ac:dyDescent="0.25">
      <c r="X5369" s="256"/>
    </row>
    <row r="5370" spans="24:24" x14ac:dyDescent="0.25">
      <c r="X5370" s="256"/>
    </row>
    <row r="5371" spans="24:24" x14ac:dyDescent="0.25">
      <c r="X5371" s="256"/>
    </row>
    <row r="5372" spans="24:24" x14ac:dyDescent="0.25">
      <c r="X5372" s="256"/>
    </row>
    <row r="5373" spans="24:24" x14ac:dyDescent="0.25">
      <c r="X5373" s="256"/>
    </row>
    <row r="5374" spans="24:24" x14ac:dyDescent="0.25">
      <c r="X5374" s="256"/>
    </row>
    <row r="5375" spans="24:24" x14ac:dyDescent="0.25">
      <c r="X5375" s="256"/>
    </row>
    <row r="5376" spans="24:24" x14ac:dyDescent="0.25">
      <c r="X5376" s="256"/>
    </row>
    <row r="5377" spans="24:24" x14ac:dyDescent="0.25">
      <c r="X5377" s="256"/>
    </row>
    <row r="5378" spans="24:24" x14ac:dyDescent="0.25">
      <c r="X5378" s="256"/>
    </row>
    <row r="5379" spans="24:24" x14ac:dyDescent="0.25">
      <c r="X5379" s="256"/>
    </row>
    <row r="5380" spans="24:24" x14ac:dyDescent="0.25">
      <c r="X5380" s="256"/>
    </row>
    <row r="5381" spans="24:24" x14ac:dyDescent="0.25">
      <c r="X5381" s="256"/>
    </row>
    <row r="5382" spans="24:24" x14ac:dyDescent="0.25">
      <c r="X5382" s="256"/>
    </row>
    <row r="5383" spans="24:24" x14ac:dyDescent="0.25">
      <c r="X5383" s="256"/>
    </row>
    <row r="5384" spans="24:24" x14ac:dyDescent="0.25">
      <c r="X5384" s="256"/>
    </row>
    <row r="5385" spans="24:24" x14ac:dyDescent="0.25">
      <c r="X5385" s="256"/>
    </row>
    <row r="5386" spans="24:24" x14ac:dyDescent="0.25">
      <c r="X5386" s="256"/>
    </row>
    <row r="5387" spans="24:24" x14ac:dyDescent="0.25">
      <c r="X5387" s="256"/>
    </row>
    <row r="5388" spans="24:24" x14ac:dyDescent="0.25">
      <c r="X5388" s="256"/>
    </row>
    <row r="5389" spans="24:24" x14ac:dyDescent="0.25">
      <c r="X5389" s="256"/>
    </row>
    <row r="5390" spans="24:24" x14ac:dyDescent="0.25">
      <c r="X5390" s="256"/>
    </row>
    <row r="5391" spans="24:24" x14ac:dyDescent="0.25">
      <c r="X5391" s="256"/>
    </row>
    <row r="5392" spans="24:24" x14ac:dyDescent="0.25">
      <c r="X5392" s="256"/>
    </row>
    <row r="5393" spans="24:24" x14ac:dyDescent="0.25">
      <c r="X5393" s="256"/>
    </row>
    <row r="5394" spans="24:24" x14ac:dyDescent="0.25">
      <c r="X5394" s="256"/>
    </row>
    <row r="5395" spans="24:24" x14ac:dyDescent="0.25">
      <c r="X5395" s="256"/>
    </row>
    <row r="5396" spans="24:24" x14ac:dyDescent="0.25">
      <c r="X5396" s="256"/>
    </row>
    <row r="5397" spans="24:24" x14ac:dyDescent="0.25">
      <c r="X5397" s="256"/>
    </row>
    <row r="5398" spans="24:24" x14ac:dyDescent="0.25">
      <c r="X5398" s="256"/>
    </row>
    <row r="5399" spans="24:24" x14ac:dyDescent="0.25">
      <c r="X5399" s="256"/>
    </row>
    <row r="5400" spans="24:24" x14ac:dyDescent="0.25">
      <c r="X5400" s="256"/>
    </row>
    <row r="5401" spans="24:24" x14ac:dyDescent="0.25">
      <c r="X5401" s="256"/>
    </row>
    <row r="5402" spans="24:24" x14ac:dyDescent="0.25">
      <c r="X5402" s="256"/>
    </row>
    <row r="5403" spans="24:24" x14ac:dyDescent="0.25">
      <c r="X5403" s="256"/>
    </row>
    <row r="5404" spans="24:24" x14ac:dyDescent="0.25">
      <c r="X5404" s="256"/>
    </row>
    <row r="5405" spans="24:24" x14ac:dyDescent="0.25">
      <c r="X5405" s="256"/>
    </row>
    <row r="5406" spans="24:24" x14ac:dyDescent="0.25">
      <c r="X5406" s="256"/>
    </row>
    <row r="5407" spans="24:24" x14ac:dyDescent="0.25">
      <c r="X5407" s="256"/>
    </row>
    <row r="5408" spans="24:24" x14ac:dyDescent="0.25">
      <c r="X5408" s="256"/>
    </row>
    <row r="5409" spans="24:24" x14ac:dyDescent="0.25">
      <c r="X5409" s="256"/>
    </row>
    <row r="5410" spans="24:24" x14ac:dyDescent="0.25">
      <c r="X5410" s="256"/>
    </row>
    <row r="5411" spans="24:24" x14ac:dyDescent="0.25">
      <c r="X5411" s="256"/>
    </row>
    <row r="5412" spans="24:24" x14ac:dyDescent="0.25">
      <c r="X5412" s="256"/>
    </row>
    <row r="5413" spans="24:24" x14ac:dyDescent="0.25">
      <c r="X5413" s="256"/>
    </row>
    <row r="5414" spans="24:24" x14ac:dyDescent="0.25">
      <c r="X5414" s="256"/>
    </row>
    <row r="5415" spans="24:24" x14ac:dyDescent="0.25">
      <c r="X5415" s="256"/>
    </row>
    <row r="5416" spans="24:24" x14ac:dyDescent="0.25">
      <c r="X5416" s="256"/>
    </row>
    <row r="5417" spans="24:24" x14ac:dyDescent="0.25">
      <c r="X5417" s="256"/>
    </row>
    <row r="5418" spans="24:24" x14ac:dyDescent="0.25">
      <c r="X5418" s="256"/>
    </row>
    <row r="5419" spans="24:24" x14ac:dyDescent="0.25">
      <c r="X5419" s="256"/>
    </row>
    <row r="5420" spans="24:24" x14ac:dyDescent="0.25">
      <c r="X5420" s="256"/>
    </row>
    <row r="5421" spans="24:24" x14ac:dyDescent="0.25">
      <c r="X5421" s="256"/>
    </row>
    <row r="5422" spans="24:24" x14ac:dyDescent="0.25">
      <c r="X5422" s="256"/>
    </row>
    <row r="5423" spans="24:24" x14ac:dyDescent="0.25">
      <c r="X5423" s="256"/>
    </row>
    <row r="5424" spans="24:24" x14ac:dyDescent="0.25">
      <c r="X5424" s="256"/>
    </row>
    <row r="5425" spans="24:24" x14ac:dyDescent="0.25">
      <c r="X5425" s="256"/>
    </row>
    <row r="5426" spans="24:24" x14ac:dyDescent="0.25">
      <c r="X5426" s="256"/>
    </row>
    <row r="5427" spans="24:24" x14ac:dyDescent="0.25">
      <c r="X5427" s="256"/>
    </row>
    <row r="5428" spans="24:24" x14ac:dyDescent="0.25">
      <c r="X5428" s="256"/>
    </row>
    <row r="5429" spans="24:24" x14ac:dyDescent="0.25">
      <c r="X5429" s="256"/>
    </row>
    <row r="5430" spans="24:24" x14ac:dyDescent="0.25">
      <c r="X5430" s="256"/>
    </row>
    <row r="5431" spans="24:24" x14ac:dyDescent="0.25">
      <c r="X5431" s="256"/>
    </row>
    <row r="5432" spans="24:24" x14ac:dyDescent="0.25">
      <c r="X5432" s="256"/>
    </row>
    <row r="5433" spans="24:24" x14ac:dyDescent="0.25">
      <c r="X5433" s="256"/>
    </row>
    <row r="5434" spans="24:24" x14ac:dyDescent="0.25">
      <c r="X5434" s="256"/>
    </row>
    <row r="5435" spans="24:24" x14ac:dyDescent="0.25">
      <c r="X5435" s="256"/>
    </row>
    <row r="5436" spans="24:24" x14ac:dyDescent="0.25">
      <c r="X5436" s="256"/>
    </row>
    <row r="5437" spans="24:24" x14ac:dyDescent="0.25">
      <c r="X5437" s="256"/>
    </row>
    <row r="5438" spans="24:24" x14ac:dyDescent="0.25">
      <c r="X5438" s="256"/>
    </row>
    <row r="5439" spans="24:24" x14ac:dyDescent="0.25">
      <c r="X5439" s="256"/>
    </row>
    <row r="5440" spans="24:24" x14ac:dyDescent="0.25">
      <c r="X5440" s="256"/>
    </row>
    <row r="5441" spans="24:24" x14ac:dyDescent="0.25">
      <c r="X5441" s="256"/>
    </row>
    <row r="5442" spans="24:24" x14ac:dyDescent="0.25">
      <c r="X5442" s="256"/>
    </row>
    <row r="5443" spans="24:24" x14ac:dyDescent="0.25">
      <c r="X5443" s="256"/>
    </row>
    <row r="5444" spans="24:24" x14ac:dyDescent="0.25">
      <c r="X5444" s="256"/>
    </row>
    <row r="5445" spans="24:24" x14ac:dyDescent="0.25">
      <c r="X5445" s="256"/>
    </row>
    <row r="5446" spans="24:24" x14ac:dyDescent="0.25">
      <c r="X5446" s="256"/>
    </row>
    <row r="5447" spans="24:24" x14ac:dyDescent="0.25">
      <c r="X5447" s="256"/>
    </row>
    <row r="5448" spans="24:24" x14ac:dyDescent="0.25">
      <c r="X5448" s="256"/>
    </row>
    <row r="5449" spans="24:24" x14ac:dyDescent="0.25">
      <c r="X5449" s="256"/>
    </row>
    <row r="5450" spans="24:24" x14ac:dyDescent="0.25">
      <c r="X5450" s="256"/>
    </row>
    <row r="5451" spans="24:24" x14ac:dyDescent="0.25">
      <c r="X5451" s="256"/>
    </row>
    <row r="5452" spans="24:24" x14ac:dyDescent="0.25">
      <c r="X5452" s="256"/>
    </row>
    <row r="5453" spans="24:24" x14ac:dyDescent="0.25">
      <c r="X5453" s="256"/>
    </row>
    <row r="5454" spans="24:24" x14ac:dyDescent="0.25">
      <c r="X5454" s="256"/>
    </row>
    <row r="5455" spans="24:24" x14ac:dyDescent="0.25">
      <c r="X5455" s="256"/>
    </row>
    <row r="5456" spans="24:24" x14ac:dyDescent="0.25">
      <c r="X5456" s="256"/>
    </row>
    <row r="5457" spans="24:24" x14ac:dyDescent="0.25">
      <c r="X5457" s="256"/>
    </row>
    <row r="5458" spans="24:24" x14ac:dyDescent="0.25">
      <c r="X5458" s="256"/>
    </row>
    <row r="5459" spans="24:24" x14ac:dyDescent="0.25">
      <c r="X5459" s="256"/>
    </row>
    <row r="5460" spans="24:24" x14ac:dyDescent="0.25">
      <c r="X5460" s="256"/>
    </row>
    <row r="5461" spans="24:24" x14ac:dyDescent="0.25">
      <c r="X5461" s="256"/>
    </row>
    <row r="5462" spans="24:24" x14ac:dyDescent="0.25">
      <c r="X5462" s="256"/>
    </row>
    <row r="5463" spans="24:24" x14ac:dyDescent="0.25">
      <c r="X5463" s="256"/>
    </row>
    <row r="5464" spans="24:24" x14ac:dyDescent="0.25">
      <c r="X5464" s="256"/>
    </row>
    <row r="5465" spans="24:24" x14ac:dyDescent="0.25">
      <c r="X5465" s="256"/>
    </row>
    <row r="5466" spans="24:24" x14ac:dyDescent="0.25">
      <c r="X5466" s="256"/>
    </row>
    <row r="5467" spans="24:24" x14ac:dyDescent="0.25">
      <c r="X5467" s="256"/>
    </row>
    <row r="5468" spans="24:24" x14ac:dyDescent="0.25">
      <c r="X5468" s="256"/>
    </row>
    <row r="5469" spans="24:24" x14ac:dyDescent="0.25">
      <c r="X5469" s="256"/>
    </row>
    <row r="5470" spans="24:24" x14ac:dyDescent="0.25">
      <c r="X5470" s="256"/>
    </row>
    <row r="5471" spans="24:24" x14ac:dyDescent="0.25">
      <c r="X5471" s="256"/>
    </row>
    <row r="5472" spans="24:24" x14ac:dyDescent="0.25">
      <c r="X5472" s="256"/>
    </row>
    <row r="5473" spans="24:24" x14ac:dyDescent="0.25">
      <c r="X5473" s="256"/>
    </row>
    <row r="5474" spans="24:24" x14ac:dyDescent="0.25">
      <c r="X5474" s="256"/>
    </row>
    <row r="5475" spans="24:24" x14ac:dyDescent="0.25">
      <c r="X5475" s="256"/>
    </row>
    <row r="5476" spans="24:24" x14ac:dyDescent="0.25">
      <c r="X5476" s="256"/>
    </row>
    <row r="5477" spans="24:24" x14ac:dyDescent="0.25">
      <c r="X5477" s="256"/>
    </row>
    <row r="5478" spans="24:24" x14ac:dyDescent="0.25">
      <c r="X5478" s="256"/>
    </row>
    <row r="5479" spans="24:24" x14ac:dyDescent="0.25">
      <c r="X5479" s="256"/>
    </row>
    <row r="5480" spans="24:24" x14ac:dyDescent="0.25">
      <c r="X5480" s="256"/>
    </row>
    <row r="5481" spans="24:24" x14ac:dyDescent="0.25">
      <c r="X5481" s="256"/>
    </row>
    <row r="5482" spans="24:24" x14ac:dyDescent="0.25">
      <c r="X5482" s="256"/>
    </row>
    <row r="5483" spans="24:24" x14ac:dyDescent="0.25">
      <c r="X5483" s="256"/>
    </row>
    <row r="5484" spans="24:24" x14ac:dyDescent="0.25">
      <c r="X5484" s="256"/>
    </row>
    <row r="5485" spans="24:24" x14ac:dyDescent="0.25">
      <c r="X5485" s="256"/>
    </row>
    <row r="5486" spans="24:24" x14ac:dyDescent="0.25">
      <c r="X5486" s="256"/>
    </row>
    <row r="5487" spans="24:24" x14ac:dyDescent="0.25">
      <c r="X5487" s="256"/>
    </row>
    <row r="5488" spans="24:24" x14ac:dyDescent="0.25">
      <c r="X5488" s="256"/>
    </row>
    <row r="5489" spans="24:24" x14ac:dyDescent="0.25">
      <c r="X5489" s="256"/>
    </row>
    <row r="5490" spans="24:24" x14ac:dyDescent="0.25">
      <c r="X5490" s="256"/>
    </row>
    <row r="5491" spans="24:24" x14ac:dyDescent="0.25">
      <c r="X5491" s="256"/>
    </row>
    <row r="5492" spans="24:24" x14ac:dyDescent="0.25">
      <c r="X5492" s="256"/>
    </row>
    <row r="5493" spans="24:24" x14ac:dyDescent="0.25">
      <c r="X5493" s="256"/>
    </row>
    <row r="5494" spans="24:24" x14ac:dyDescent="0.25">
      <c r="X5494" s="256"/>
    </row>
    <row r="5495" spans="24:24" x14ac:dyDescent="0.25">
      <c r="X5495" s="256"/>
    </row>
    <row r="5496" spans="24:24" x14ac:dyDescent="0.25">
      <c r="X5496" s="256"/>
    </row>
    <row r="5497" spans="24:24" x14ac:dyDescent="0.25">
      <c r="X5497" s="256"/>
    </row>
    <row r="5498" spans="24:24" x14ac:dyDescent="0.25">
      <c r="X5498" s="256"/>
    </row>
    <row r="5499" spans="24:24" x14ac:dyDescent="0.25">
      <c r="X5499" s="256"/>
    </row>
    <row r="5500" spans="24:24" x14ac:dyDescent="0.25">
      <c r="X5500" s="256"/>
    </row>
    <row r="5501" spans="24:24" x14ac:dyDescent="0.25">
      <c r="X5501" s="256"/>
    </row>
    <row r="5502" spans="24:24" x14ac:dyDescent="0.25">
      <c r="X5502" s="256"/>
    </row>
    <row r="5503" spans="24:24" x14ac:dyDescent="0.25">
      <c r="X5503" s="256"/>
    </row>
    <row r="5504" spans="24:24" x14ac:dyDescent="0.25">
      <c r="X5504" s="256"/>
    </row>
    <row r="5505" spans="24:24" x14ac:dyDescent="0.25">
      <c r="X5505" s="256"/>
    </row>
    <row r="5506" spans="24:24" x14ac:dyDescent="0.25">
      <c r="X5506" s="256"/>
    </row>
    <row r="5507" spans="24:24" x14ac:dyDescent="0.25">
      <c r="X5507" s="256"/>
    </row>
    <row r="5508" spans="24:24" x14ac:dyDescent="0.25">
      <c r="X5508" s="256"/>
    </row>
    <row r="5509" spans="24:24" x14ac:dyDescent="0.25">
      <c r="X5509" s="256"/>
    </row>
    <row r="5510" spans="24:24" x14ac:dyDescent="0.25">
      <c r="X5510" s="256"/>
    </row>
    <row r="5511" spans="24:24" x14ac:dyDescent="0.25">
      <c r="X5511" s="256"/>
    </row>
    <row r="5512" spans="24:24" x14ac:dyDescent="0.25">
      <c r="X5512" s="256"/>
    </row>
    <row r="5513" spans="24:24" x14ac:dyDescent="0.25">
      <c r="X5513" s="256"/>
    </row>
    <row r="5514" spans="24:24" x14ac:dyDescent="0.25">
      <c r="X5514" s="256"/>
    </row>
    <row r="5515" spans="24:24" x14ac:dyDescent="0.25">
      <c r="X5515" s="256"/>
    </row>
    <row r="5516" spans="24:24" x14ac:dyDescent="0.25">
      <c r="X5516" s="256"/>
    </row>
    <row r="5517" spans="24:24" x14ac:dyDescent="0.25">
      <c r="X5517" s="256"/>
    </row>
    <row r="5518" spans="24:24" x14ac:dyDescent="0.25">
      <c r="X5518" s="256"/>
    </row>
    <row r="5519" spans="24:24" x14ac:dyDescent="0.25">
      <c r="X5519" s="256"/>
    </row>
    <row r="5520" spans="24:24" x14ac:dyDescent="0.25">
      <c r="X5520" s="256"/>
    </row>
    <row r="5521" spans="24:24" x14ac:dyDescent="0.25">
      <c r="X5521" s="256"/>
    </row>
    <row r="5522" spans="24:24" x14ac:dyDescent="0.25">
      <c r="X5522" s="256"/>
    </row>
    <row r="5523" spans="24:24" x14ac:dyDescent="0.25">
      <c r="X5523" s="256"/>
    </row>
    <row r="5524" spans="24:24" x14ac:dyDescent="0.25">
      <c r="X5524" s="256"/>
    </row>
    <row r="5525" spans="24:24" x14ac:dyDescent="0.25">
      <c r="X5525" s="256"/>
    </row>
    <row r="5526" spans="24:24" x14ac:dyDescent="0.25">
      <c r="X5526" s="256"/>
    </row>
    <row r="5527" spans="24:24" x14ac:dyDescent="0.25">
      <c r="X5527" s="256"/>
    </row>
    <row r="5528" spans="24:24" x14ac:dyDescent="0.25">
      <c r="X5528" s="256"/>
    </row>
    <row r="5529" spans="24:24" x14ac:dyDescent="0.25">
      <c r="X5529" s="256"/>
    </row>
    <row r="5530" spans="24:24" x14ac:dyDescent="0.25">
      <c r="X5530" s="256"/>
    </row>
    <row r="5531" spans="24:24" x14ac:dyDescent="0.25">
      <c r="X5531" s="256"/>
    </row>
    <row r="5532" spans="24:24" x14ac:dyDescent="0.25">
      <c r="X5532" s="256"/>
    </row>
    <row r="5533" spans="24:24" x14ac:dyDescent="0.25">
      <c r="X5533" s="256"/>
    </row>
    <row r="5534" spans="24:24" x14ac:dyDescent="0.25">
      <c r="X5534" s="256"/>
    </row>
    <row r="5535" spans="24:24" x14ac:dyDescent="0.25">
      <c r="X5535" s="256"/>
    </row>
    <row r="5536" spans="24:24" x14ac:dyDescent="0.25">
      <c r="X5536" s="256"/>
    </row>
    <row r="5537" spans="24:24" x14ac:dyDescent="0.25">
      <c r="X5537" s="256"/>
    </row>
    <row r="5538" spans="24:24" x14ac:dyDescent="0.25">
      <c r="X5538" s="256"/>
    </row>
    <row r="5539" spans="24:24" x14ac:dyDescent="0.25">
      <c r="X5539" s="256"/>
    </row>
    <row r="5540" spans="24:24" x14ac:dyDescent="0.25">
      <c r="X5540" s="256"/>
    </row>
    <row r="5541" spans="24:24" x14ac:dyDescent="0.25">
      <c r="X5541" s="256"/>
    </row>
    <row r="5542" spans="24:24" x14ac:dyDescent="0.25">
      <c r="X5542" s="256"/>
    </row>
    <row r="5543" spans="24:24" x14ac:dyDescent="0.25">
      <c r="X5543" s="256"/>
    </row>
    <row r="5544" spans="24:24" x14ac:dyDescent="0.25">
      <c r="X5544" s="256"/>
    </row>
    <row r="5545" spans="24:24" x14ac:dyDescent="0.25">
      <c r="X5545" s="256"/>
    </row>
    <row r="5546" spans="24:24" x14ac:dyDescent="0.25">
      <c r="X5546" s="256"/>
    </row>
    <row r="5547" spans="24:24" x14ac:dyDescent="0.25">
      <c r="X5547" s="256"/>
    </row>
    <row r="5548" spans="24:24" x14ac:dyDescent="0.25">
      <c r="X5548" s="256"/>
    </row>
    <row r="5549" spans="24:24" x14ac:dyDescent="0.25">
      <c r="X5549" s="256"/>
    </row>
    <row r="5550" spans="24:24" x14ac:dyDescent="0.25">
      <c r="X5550" s="256"/>
    </row>
    <row r="5551" spans="24:24" x14ac:dyDescent="0.25">
      <c r="X5551" s="256"/>
    </row>
    <row r="5552" spans="24:24" x14ac:dyDescent="0.25">
      <c r="X5552" s="256"/>
    </row>
    <row r="5553" spans="24:24" x14ac:dyDescent="0.25">
      <c r="X5553" s="256"/>
    </row>
    <row r="5554" spans="24:24" x14ac:dyDescent="0.25">
      <c r="X5554" s="256"/>
    </row>
    <row r="5555" spans="24:24" x14ac:dyDescent="0.25">
      <c r="X5555" s="256"/>
    </row>
    <row r="5556" spans="24:24" x14ac:dyDescent="0.25">
      <c r="X5556" s="256"/>
    </row>
    <row r="5557" spans="24:24" x14ac:dyDescent="0.25">
      <c r="X5557" s="256"/>
    </row>
    <row r="5558" spans="24:24" x14ac:dyDescent="0.25">
      <c r="X5558" s="256"/>
    </row>
    <row r="5559" spans="24:24" x14ac:dyDescent="0.25">
      <c r="X5559" s="256"/>
    </row>
    <row r="5560" spans="24:24" x14ac:dyDescent="0.25">
      <c r="X5560" s="256"/>
    </row>
    <row r="5561" spans="24:24" x14ac:dyDescent="0.25">
      <c r="X5561" s="256"/>
    </row>
    <row r="5562" spans="24:24" x14ac:dyDescent="0.25">
      <c r="X5562" s="256"/>
    </row>
    <row r="5563" spans="24:24" x14ac:dyDescent="0.25">
      <c r="X5563" s="256"/>
    </row>
    <row r="5564" spans="24:24" x14ac:dyDescent="0.25">
      <c r="X5564" s="256"/>
    </row>
    <row r="5565" spans="24:24" x14ac:dyDescent="0.25">
      <c r="X5565" s="256"/>
    </row>
    <row r="5566" spans="24:24" x14ac:dyDescent="0.25">
      <c r="X5566" s="256"/>
    </row>
    <row r="5567" spans="24:24" x14ac:dyDescent="0.25">
      <c r="X5567" s="256"/>
    </row>
    <row r="5568" spans="24:24" x14ac:dyDescent="0.25">
      <c r="X5568" s="256"/>
    </row>
    <row r="5569" spans="24:24" x14ac:dyDescent="0.25">
      <c r="X5569" s="256"/>
    </row>
    <row r="5570" spans="24:24" x14ac:dyDescent="0.25">
      <c r="X5570" s="256"/>
    </row>
    <row r="5571" spans="24:24" x14ac:dyDescent="0.25">
      <c r="X5571" s="256"/>
    </row>
    <row r="5572" spans="24:24" x14ac:dyDescent="0.25">
      <c r="X5572" s="256"/>
    </row>
    <row r="5573" spans="24:24" x14ac:dyDescent="0.25">
      <c r="X5573" s="256"/>
    </row>
    <row r="5574" spans="24:24" x14ac:dyDescent="0.25">
      <c r="X5574" s="256"/>
    </row>
    <row r="5575" spans="24:24" x14ac:dyDescent="0.25">
      <c r="X5575" s="256"/>
    </row>
    <row r="5576" spans="24:24" x14ac:dyDescent="0.25">
      <c r="X5576" s="256"/>
    </row>
    <row r="5577" spans="24:24" x14ac:dyDescent="0.25">
      <c r="X5577" s="256"/>
    </row>
    <row r="5578" spans="24:24" x14ac:dyDescent="0.25">
      <c r="X5578" s="256"/>
    </row>
    <row r="5579" spans="24:24" x14ac:dyDescent="0.25">
      <c r="X5579" s="256"/>
    </row>
    <row r="5580" spans="24:24" x14ac:dyDescent="0.25">
      <c r="X5580" s="256"/>
    </row>
    <row r="5581" spans="24:24" x14ac:dyDescent="0.25">
      <c r="X5581" s="256"/>
    </row>
    <row r="5582" spans="24:24" x14ac:dyDescent="0.25">
      <c r="X5582" s="256"/>
    </row>
    <row r="5583" spans="24:24" x14ac:dyDescent="0.25">
      <c r="X5583" s="256"/>
    </row>
    <row r="5584" spans="24:24" x14ac:dyDescent="0.25">
      <c r="X5584" s="256"/>
    </row>
    <row r="5585" spans="24:24" x14ac:dyDescent="0.25">
      <c r="X5585" s="256"/>
    </row>
    <row r="5586" spans="24:24" x14ac:dyDescent="0.25">
      <c r="X5586" s="256"/>
    </row>
    <row r="5587" spans="24:24" x14ac:dyDescent="0.25">
      <c r="X5587" s="256"/>
    </row>
    <row r="5588" spans="24:24" x14ac:dyDescent="0.25">
      <c r="X5588" s="256"/>
    </row>
    <row r="5589" spans="24:24" x14ac:dyDescent="0.25">
      <c r="X5589" s="256"/>
    </row>
    <row r="5590" spans="24:24" x14ac:dyDescent="0.25">
      <c r="X5590" s="256"/>
    </row>
    <row r="5591" spans="24:24" x14ac:dyDescent="0.25">
      <c r="X5591" s="256"/>
    </row>
    <row r="5592" spans="24:24" x14ac:dyDescent="0.25">
      <c r="X5592" s="256"/>
    </row>
    <row r="5593" spans="24:24" x14ac:dyDescent="0.25">
      <c r="X5593" s="256"/>
    </row>
    <row r="5594" spans="24:24" x14ac:dyDescent="0.25">
      <c r="X5594" s="256"/>
    </row>
    <row r="5595" spans="24:24" x14ac:dyDescent="0.25">
      <c r="X5595" s="256"/>
    </row>
    <row r="5596" spans="24:24" x14ac:dyDescent="0.25">
      <c r="X5596" s="256"/>
    </row>
    <row r="5597" spans="24:24" x14ac:dyDescent="0.25">
      <c r="X5597" s="256"/>
    </row>
    <row r="5598" spans="24:24" x14ac:dyDescent="0.25">
      <c r="X5598" s="256"/>
    </row>
    <row r="5599" spans="24:24" x14ac:dyDescent="0.25">
      <c r="X5599" s="256"/>
    </row>
    <row r="5600" spans="24:24" x14ac:dyDescent="0.25">
      <c r="X5600" s="256"/>
    </row>
    <row r="5601" spans="24:24" x14ac:dyDescent="0.25">
      <c r="X5601" s="256"/>
    </row>
    <row r="5602" spans="24:24" x14ac:dyDescent="0.25">
      <c r="X5602" s="256"/>
    </row>
    <row r="5603" spans="24:24" x14ac:dyDescent="0.25">
      <c r="X5603" s="256"/>
    </row>
    <row r="5604" spans="24:24" x14ac:dyDescent="0.25">
      <c r="X5604" s="256"/>
    </row>
    <row r="5605" spans="24:24" x14ac:dyDescent="0.25">
      <c r="X5605" s="256"/>
    </row>
    <row r="5606" spans="24:24" x14ac:dyDescent="0.25">
      <c r="X5606" s="256"/>
    </row>
    <row r="5607" spans="24:24" x14ac:dyDescent="0.25">
      <c r="X5607" s="256"/>
    </row>
    <row r="5608" spans="24:24" x14ac:dyDescent="0.25">
      <c r="X5608" s="256"/>
    </row>
    <row r="5609" spans="24:24" x14ac:dyDescent="0.25">
      <c r="X5609" s="256"/>
    </row>
    <row r="5610" spans="24:24" x14ac:dyDescent="0.25">
      <c r="X5610" s="256"/>
    </row>
    <row r="5611" spans="24:24" x14ac:dyDescent="0.25">
      <c r="X5611" s="256"/>
    </row>
    <row r="5612" spans="24:24" x14ac:dyDescent="0.25">
      <c r="X5612" s="256"/>
    </row>
    <row r="5613" spans="24:24" x14ac:dyDescent="0.25">
      <c r="X5613" s="256"/>
    </row>
    <row r="5614" spans="24:24" x14ac:dyDescent="0.25">
      <c r="X5614" s="256"/>
    </row>
    <row r="5615" spans="24:24" x14ac:dyDescent="0.25">
      <c r="X5615" s="256"/>
    </row>
    <row r="5616" spans="24:24" x14ac:dyDescent="0.25">
      <c r="X5616" s="256"/>
    </row>
    <row r="5617" spans="24:24" x14ac:dyDescent="0.25">
      <c r="X5617" s="256"/>
    </row>
    <row r="5618" spans="24:24" x14ac:dyDescent="0.25">
      <c r="X5618" s="256"/>
    </row>
    <row r="5619" spans="24:24" x14ac:dyDescent="0.25">
      <c r="X5619" s="256"/>
    </row>
    <row r="5620" spans="24:24" x14ac:dyDescent="0.25">
      <c r="X5620" s="256"/>
    </row>
    <row r="5621" spans="24:24" x14ac:dyDescent="0.25">
      <c r="X5621" s="256"/>
    </row>
    <row r="5622" spans="24:24" x14ac:dyDescent="0.25">
      <c r="X5622" s="256"/>
    </row>
    <row r="5623" spans="24:24" x14ac:dyDescent="0.25">
      <c r="X5623" s="256"/>
    </row>
    <row r="5624" spans="24:24" x14ac:dyDescent="0.25">
      <c r="X5624" s="256"/>
    </row>
    <row r="5625" spans="24:24" x14ac:dyDescent="0.25">
      <c r="X5625" s="256"/>
    </row>
    <row r="5626" spans="24:24" x14ac:dyDescent="0.25">
      <c r="X5626" s="256"/>
    </row>
    <row r="5627" spans="24:24" x14ac:dyDescent="0.25">
      <c r="X5627" s="256"/>
    </row>
    <row r="5628" spans="24:24" x14ac:dyDescent="0.25">
      <c r="X5628" s="256"/>
    </row>
    <row r="5629" spans="24:24" x14ac:dyDescent="0.25">
      <c r="X5629" s="256"/>
    </row>
    <row r="5630" spans="24:24" x14ac:dyDescent="0.25">
      <c r="X5630" s="256"/>
    </row>
    <row r="5631" spans="24:24" x14ac:dyDescent="0.25">
      <c r="X5631" s="256"/>
    </row>
    <row r="5632" spans="24:24" x14ac:dyDescent="0.25">
      <c r="X5632" s="256"/>
    </row>
    <row r="5633" spans="24:24" x14ac:dyDescent="0.25">
      <c r="X5633" s="256"/>
    </row>
    <row r="5634" spans="24:24" x14ac:dyDescent="0.25">
      <c r="X5634" s="256"/>
    </row>
    <row r="5635" spans="24:24" x14ac:dyDescent="0.25">
      <c r="X5635" s="256"/>
    </row>
    <row r="5636" spans="24:24" x14ac:dyDescent="0.25">
      <c r="X5636" s="256"/>
    </row>
    <row r="5637" spans="24:24" x14ac:dyDescent="0.25">
      <c r="X5637" s="256"/>
    </row>
    <row r="5638" spans="24:24" x14ac:dyDescent="0.25">
      <c r="X5638" s="256"/>
    </row>
    <row r="5639" spans="24:24" x14ac:dyDescent="0.25">
      <c r="X5639" s="256"/>
    </row>
    <row r="5640" spans="24:24" x14ac:dyDescent="0.25">
      <c r="X5640" s="256"/>
    </row>
    <row r="5641" spans="24:24" x14ac:dyDescent="0.25">
      <c r="X5641" s="256"/>
    </row>
    <row r="5642" spans="24:24" x14ac:dyDescent="0.25">
      <c r="X5642" s="256"/>
    </row>
    <row r="5643" spans="24:24" x14ac:dyDescent="0.25">
      <c r="X5643" s="256"/>
    </row>
    <row r="5644" spans="24:24" x14ac:dyDescent="0.25">
      <c r="X5644" s="256"/>
    </row>
    <row r="5645" spans="24:24" x14ac:dyDescent="0.25">
      <c r="X5645" s="256"/>
    </row>
    <row r="5646" spans="24:24" x14ac:dyDescent="0.25">
      <c r="X5646" s="256"/>
    </row>
    <row r="5647" spans="24:24" x14ac:dyDescent="0.25">
      <c r="X5647" s="256"/>
    </row>
    <row r="5648" spans="24:24" x14ac:dyDescent="0.25">
      <c r="X5648" s="256"/>
    </row>
    <row r="5649" spans="24:24" x14ac:dyDescent="0.25">
      <c r="X5649" s="256"/>
    </row>
    <row r="5650" spans="24:24" x14ac:dyDescent="0.25">
      <c r="X5650" s="256"/>
    </row>
    <row r="5651" spans="24:24" x14ac:dyDescent="0.25">
      <c r="X5651" s="256"/>
    </row>
    <row r="5652" spans="24:24" x14ac:dyDescent="0.25">
      <c r="X5652" s="256"/>
    </row>
    <row r="5653" spans="24:24" x14ac:dyDescent="0.25">
      <c r="X5653" s="256"/>
    </row>
    <row r="5654" spans="24:24" x14ac:dyDescent="0.25">
      <c r="X5654" s="256"/>
    </row>
    <row r="5655" spans="24:24" x14ac:dyDescent="0.25">
      <c r="X5655" s="256"/>
    </row>
    <row r="5656" spans="24:24" x14ac:dyDescent="0.25">
      <c r="X5656" s="256"/>
    </row>
    <row r="5657" spans="24:24" x14ac:dyDescent="0.25">
      <c r="X5657" s="256"/>
    </row>
    <row r="5658" spans="24:24" x14ac:dyDescent="0.25">
      <c r="X5658" s="256"/>
    </row>
    <row r="5659" spans="24:24" x14ac:dyDescent="0.25">
      <c r="X5659" s="256"/>
    </row>
    <row r="5660" spans="24:24" x14ac:dyDescent="0.25">
      <c r="X5660" s="256"/>
    </row>
    <row r="5661" spans="24:24" x14ac:dyDescent="0.25">
      <c r="X5661" s="256"/>
    </row>
    <row r="5662" spans="24:24" x14ac:dyDescent="0.25">
      <c r="X5662" s="256"/>
    </row>
    <row r="5663" spans="24:24" x14ac:dyDescent="0.25">
      <c r="X5663" s="256"/>
    </row>
    <row r="5664" spans="24:24" x14ac:dyDescent="0.25">
      <c r="X5664" s="256"/>
    </row>
    <row r="5665" spans="24:24" x14ac:dyDescent="0.25">
      <c r="X5665" s="256"/>
    </row>
    <row r="5666" spans="24:24" x14ac:dyDescent="0.25">
      <c r="X5666" s="256"/>
    </row>
    <row r="5667" spans="24:24" x14ac:dyDescent="0.25">
      <c r="X5667" s="256"/>
    </row>
    <row r="5668" spans="24:24" x14ac:dyDescent="0.25">
      <c r="X5668" s="256"/>
    </row>
    <row r="5669" spans="24:24" x14ac:dyDescent="0.25">
      <c r="X5669" s="256"/>
    </row>
    <row r="5670" spans="24:24" x14ac:dyDescent="0.25">
      <c r="X5670" s="256"/>
    </row>
    <row r="5671" spans="24:24" x14ac:dyDescent="0.25">
      <c r="X5671" s="256"/>
    </row>
    <row r="5672" spans="24:24" x14ac:dyDescent="0.25">
      <c r="X5672" s="256"/>
    </row>
    <row r="5673" spans="24:24" x14ac:dyDescent="0.25">
      <c r="X5673" s="256"/>
    </row>
    <row r="5674" spans="24:24" x14ac:dyDescent="0.25">
      <c r="X5674" s="256"/>
    </row>
    <row r="5675" spans="24:24" x14ac:dyDescent="0.25">
      <c r="X5675" s="256"/>
    </row>
    <row r="5676" spans="24:24" x14ac:dyDescent="0.25">
      <c r="X5676" s="256"/>
    </row>
    <row r="5677" spans="24:24" x14ac:dyDescent="0.25">
      <c r="X5677" s="256"/>
    </row>
    <row r="5678" spans="24:24" x14ac:dyDescent="0.25">
      <c r="X5678" s="256"/>
    </row>
    <row r="5679" spans="24:24" x14ac:dyDescent="0.25">
      <c r="X5679" s="256"/>
    </row>
    <row r="5680" spans="24:24" x14ac:dyDescent="0.25">
      <c r="X5680" s="256"/>
    </row>
    <row r="5681" spans="24:24" x14ac:dyDescent="0.25">
      <c r="X5681" s="256"/>
    </row>
    <row r="5682" spans="24:24" x14ac:dyDescent="0.25">
      <c r="X5682" s="256"/>
    </row>
    <row r="5683" spans="24:24" x14ac:dyDescent="0.25">
      <c r="X5683" s="256"/>
    </row>
    <row r="5684" spans="24:24" x14ac:dyDescent="0.25">
      <c r="X5684" s="256"/>
    </row>
    <row r="5685" spans="24:24" x14ac:dyDescent="0.25">
      <c r="X5685" s="256"/>
    </row>
    <row r="5686" spans="24:24" x14ac:dyDescent="0.25">
      <c r="X5686" s="256"/>
    </row>
    <row r="5687" spans="24:24" x14ac:dyDescent="0.25">
      <c r="X5687" s="256"/>
    </row>
    <row r="5688" spans="24:24" x14ac:dyDescent="0.25">
      <c r="X5688" s="256"/>
    </row>
    <row r="5689" spans="24:24" x14ac:dyDescent="0.25">
      <c r="X5689" s="256"/>
    </row>
    <row r="5690" spans="24:24" x14ac:dyDescent="0.25">
      <c r="X5690" s="256"/>
    </row>
    <row r="5691" spans="24:24" x14ac:dyDescent="0.25">
      <c r="X5691" s="256"/>
    </row>
    <row r="5692" spans="24:24" x14ac:dyDescent="0.25">
      <c r="X5692" s="256"/>
    </row>
    <row r="5693" spans="24:24" x14ac:dyDescent="0.25">
      <c r="X5693" s="256"/>
    </row>
    <row r="5694" spans="24:24" x14ac:dyDescent="0.25">
      <c r="X5694" s="256"/>
    </row>
    <row r="5695" spans="24:24" x14ac:dyDescent="0.25">
      <c r="X5695" s="256"/>
    </row>
    <row r="5696" spans="24:24" x14ac:dyDescent="0.25">
      <c r="X5696" s="256"/>
    </row>
    <row r="5697" spans="24:24" x14ac:dyDescent="0.25">
      <c r="X5697" s="256"/>
    </row>
    <row r="5698" spans="24:24" x14ac:dyDescent="0.25">
      <c r="X5698" s="256"/>
    </row>
    <row r="5699" spans="24:24" x14ac:dyDescent="0.25">
      <c r="X5699" s="256"/>
    </row>
    <row r="5700" spans="24:24" x14ac:dyDescent="0.25">
      <c r="X5700" s="256"/>
    </row>
    <row r="5701" spans="24:24" x14ac:dyDescent="0.25">
      <c r="X5701" s="256"/>
    </row>
    <row r="5702" spans="24:24" x14ac:dyDescent="0.25">
      <c r="X5702" s="256"/>
    </row>
    <row r="5703" spans="24:24" x14ac:dyDescent="0.25">
      <c r="X5703" s="256"/>
    </row>
    <row r="5704" spans="24:24" x14ac:dyDescent="0.25">
      <c r="X5704" s="256"/>
    </row>
    <row r="5705" spans="24:24" x14ac:dyDescent="0.25">
      <c r="X5705" s="256"/>
    </row>
    <row r="5706" spans="24:24" x14ac:dyDescent="0.25">
      <c r="X5706" s="256"/>
    </row>
    <row r="5707" spans="24:24" x14ac:dyDescent="0.25">
      <c r="X5707" s="256"/>
    </row>
    <row r="5708" spans="24:24" x14ac:dyDescent="0.25">
      <c r="X5708" s="256"/>
    </row>
    <row r="5709" spans="24:24" x14ac:dyDescent="0.25">
      <c r="X5709" s="256"/>
    </row>
    <row r="5710" spans="24:24" x14ac:dyDescent="0.25">
      <c r="X5710" s="256"/>
    </row>
    <row r="5711" spans="24:24" x14ac:dyDescent="0.25">
      <c r="X5711" s="256"/>
    </row>
    <row r="5712" spans="24:24" x14ac:dyDescent="0.25">
      <c r="X5712" s="256"/>
    </row>
    <row r="5713" spans="24:24" x14ac:dyDescent="0.25">
      <c r="X5713" s="256"/>
    </row>
    <row r="5714" spans="24:24" x14ac:dyDescent="0.25">
      <c r="X5714" s="256"/>
    </row>
    <row r="5715" spans="24:24" x14ac:dyDescent="0.25">
      <c r="X5715" s="256"/>
    </row>
    <row r="5716" spans="24:24" x14ac:dyDescent="0.25">
      <c r="X5716" s="256"/>
    </row>
    <row r="5717" spans="24:24" x14ac:dyDescent="0.25">
      <c r="X5717" s="256"/>
    </row>
    <row r="5718" spans="24:24" x14ac:dyDescent="0.25">
      <c r="X5718" s="256"/>
    </row>
    <row r="5719" spans="24:24" x14ac:dyDescent="0.25">
      <c r="X5719" s="256"/>
    </row>
    <row r="5720" spans="24:24" x14ac:dyDescent="0.25">
      <c r="X5720" s="256"/>
    </row>
    <row r="5721" spans="24:24" x14ac:dyDescent="0.25">
      <c r="X5721" s="256"/>
    </row>
    <row r="5722" spans="24:24" x14ac:dyDescent="0.25">
      <c r="X5722" s="256"/>
    </row>
    <row r="5723" spans="24:24" x14ac:dyDescent="0.25">
      <c r="X5723" s="256"/>
    </row>
    <row r="5724" spans="24:24" x14ac:dyDescent="0.25">
      <c r="X5724" s="256"/>
    </row>
    <row r="5725" spans="24:24" x14ac:dyDescent="0.25">
      <c r="X5725" s="256"/>
    </row>
    <row r="5726" spans="24:24" x14ac:dyDescent="0.25">
      <c r="X5726" s="256"/>
    </row>
    <row r="5727" spans="24:24" x14ac:dyDescent="0.25">
      <c r="X5727" s="256"/>
    </row>
    <row r="5728" spans="24:24" x14ac:dyDescent="0.25">
      <c r="X5728" s="256"/>
    </row>
    <row r="5729" spans="24:24" x14ac:dyDescent="0.25">
      <c r="X5729" s="256"/>
    </row>
    <row r="5730" spans="24:24" x14ac:dyDescent="0.25">
      <c r="X5730" s="256"/>
    </row>
    <row r="5731" spans="24:24" x14ac:dyDescent="0.25">
      <c r="X5731" s="256"/>
    </row>
    <row r="5732" spans="24:24" x14ac:dyDescent="0.25">
      <c r="X5732" s="256"/>
    </row>
    <row r="5733" spans="24:24" x14ac:dyDescent="0.25">
      <c r="X5733" s="256"/>
    </row>
    <row r="5734" spans="24:24" x14ac:dyDescent="0.25">
      <c r="X5734" s="256"/>
    </row>
    <row r="5735" spans="24:24" x14ac:dyDescent="0.25">
      <c r="X5735" s="256"/>
    </row>
    <row r="5736" spans="24:24" x14ac:dyDescent="0.25">
      <c r="X5736" s="256"/>
    </row>
    <row r="5737" spans="24:24" x14ac:dyDescent="0.25">
      <c r="X5737" s="256"/>
    </row>
    <row r="5738" spans="24:24" x14ac:dyDescent="0.25">
      <c r="X5738" s="256"/>
    </row>
    <row r="5739" spans="24:24" x14ac:dyDescent="0.25">
      <c r="X5739" s="256"/>
    </row>
    <row r="5740" spans="24:24" x14ac:dyDescent="0.25">
      <c r="X5740" s="256"/>
    </row>
    <row r="5741" spans="24:24" x14ac:dyDescent="0.25">
      <c r="X5741" s="256"/>
    </row>
    <row r="5742" spans="24:24" x14ac:dyDescent="0.25">
      <c r="X5742" s="256"/>
    </row>
    <row r="5743" spans="24:24" x14ac:dyDescent="0.25">
      <c r="X5743" s="256"/>
    </row>
    <row r="5744" spans="24:24" x14ac:dyDescent="0.25">
      <c r="X5744" s="256"/>
    </row>
    <row r="5745" spans="24:24" x14ac:dyDescent="0.25">
      <c r="X5745" s="256"/>
    </row>
    <row r="5746" spans="24:24" x14ac:dyDescent="0.25">
      <c r="X5746" s="256"/>
    </row>
    <row r="5747" spans="24:24" x14ac:dyDescent="0.25">
      <c r="X5747" s="256"/>
    </row>
    <row r="5748" spans="24:24" x14ac:dyDescent="0.25">
      <c r="X5748" s="256"/>
    </row>
    <row r="5749" spans="24:24" x14ac:dyDescent="0.25">
      <c r="X5749" s="256"/>
    </row>
    <row r="5750" spans="24:24" x14ac:dyDescent="0.25">
      <c r="X5750" s="256"/>
    </row>
    <row r="5751" spans="24:24" x14ac:dyDescent="0.25">
      <c r="X5751" s="256"/>
    </row>
    <row r="5752" spans="24:24" x14ac:dyDescent="0.25">
      <c r="X5752" s="256"/>
    </row>
    <row r="5753" spans="24:24" x14ac:dyDescent="0.25">
      <c r="X5753" s="256"/>
    </row>
    <row r="5754" spans="24:24" x14ac:dyDescent="0.25">
      <c r="X5754" s="256"/>
    </row>
    <row r="5755" spans="24:24" x14ac:dyDescent="0.25">
      <c r="X5755" s="256"/>
    </row>
    <row r="5756" spans="24:24" x14ac:dyDescent="0.25">
      <c r="X5756" s="256"/>
    </row>
    <row r="5757" spans="24:24" x14ac:dyDescent="0.25">
      <c r="X5757" s="256"/>
    </row>
    <row r="5758" spans="24:24" x14ac:dyDescent="0.25">
      <c r="X5758" s="256"/>
    </row>
    <row r="5759" spans="24:24" x14ac:dyDescent="0.25">
      <c r="X5759" s="256"/>
    </row>
    <row r="5760" spans="24:24" x14ac:dyDescent="0.25">
      <c r="X5760" s="256"/>
    </row>
    <row r="5761" spans="24:24" x14ac:dyDescent="0.25">
      <c r="X5761" s="256"/>
    </row>
    <row r="5762" spans="24:24" x14ac:dyDescent="0.25">
      <c r="X5762" s="256"/>
    </row>
    <row r="5763" spans="24:24" x14ac:dyDescent="0.25">
      <c r="X5763" s="256"/>
    </row>
    <row r="5764" spans="24:24" x14ac:dyDescent="0.25">
      <c r="X5764" s="256"/>
    </row>
    <row r="5765" spans="24:24" x14ac:dyDescent="0.25">
      <c r="X5765" s="256"/>
    </row>
    <row r="5766" spans="24:24" x14ac:dyDescent="0.25">
      <c r="X5766" s="256"/>
    </row>
    <row r="5767" spans="24:24" x14ac:dyDescent="0.25">
      <c r="X5767" s="256"/>
    </row>
    <row r="5768" spans="24:24" x14ac:dyDescent="0.25">
      <c r="X5768" s="256"/>
    </row>
    <row r="5769" spans="24:24" x14ac:dyDescent="0.25">
      <c r="X5769" s="256"/>
    </row>
    <row r="5770" spans="24:24" x14ac:dyDescent="0.25">
      <c r="X5770" s="256"/>
    </row>
    <row r="5771" spans="24:24" x14ac:dyDescent="0.25">
      <c r="X5771" s="256"/>
    </row>
    <row r="5772" spans="24:24" x14ac:dyDescent="0.25">
      <c r="X5772" s="256"/>
    </row>
    <row r="5773" spans="24:24" x14ac:dyDescent="0.25">
      <c r="X5773" s="256"/>
    </row>
    <row r="5774" spans="24:24" x14ac:dyDescent="0.25">
      <c r="X5774" s="256"/>
    </row>
    <row r="5775" spans="24:24" x14ac:dyDescent="0.25">
      <c r="X5775" s="256"/>
    </row>
    <row r="5776" spans="24:24" x14ac:dyDescent="0.25">
      <c r="X5776" s="256"/>
    </row>
    <row r="5777" spans="24:24" x14ac:dyDescent="0.25">
      <c r="X5777" s="256"/>
    </row>
    <row r="5778" spans="24:24" x14ac:dyDescent="0.25">
      <c r="X5778" s="256"/>
    </row>
    <row r="5779" spans="24:24" x14ac:dyDescent="0.25">
      <c r="X5779" s="256"/>
    </row>
    <row r="5780" spans="24:24" x14ac:dyDescent="0.25">
      <c r="X5780" s="256"/>
    </row>
    <row r="5781" spans="24:24" x14ac:dyDescent="0.25">
      <c r="X5781" s="256"/>
    </row>
    <row r="5782" spans="24:24" x14ac:dyDescent="0.25">
      <c r="X5782" s="256"/>
    </row>
    <row r="5783" spans="24:24" x14ac:dyDescent="0.25">
      <c r="X5783" s="256"/>
    </row>
    <row r="5784" spans="24:24" x14ac:dyDescent="0.25">
      <c r="X5784" s="256"/>
    </row>
    <row r="5785" spans="24:24" x14ac:dyDescent="0.25">
      <c r="X5785" s="256"/>
    </row>
    <row r="5786" spans="24:24" x14ac:dyDescent="0.25">
      <c r="X5786" s="256"/>
    </row>
    <row r="5787" spans="24:24" x14ac:dyDescent="0.25">
      <c r="X5787" s="256"/>
    </row>
    <row r="5788" spans="24:24" x14ac:dyDescent="0.25">
      <c r="X5788" s="256"/>
    </row>
    <row r="5789" spans="24:24" x14ac:dyDescent="0.25">
      <c r="X5789" s="256"/>
    </row>
    <row r="5790" spans="24:24" x14ac:dyDescent="0.25">
      <c r="X5790" s="256"/>
    </row>
    <row r="5791" spans="24:24" x14ac:dyDescent="0.25">
      <c r="X5791" s="256"/>
    </row>
    <row r="5792" spans="24:24" x14ac:dyDescent="0.25">
      <c r="X5792" s="256"/>
    </row>
    <row r="5793" spans="24:24" x14ac:dyDescent="0.25">
      <c r="X5793" s="256"/>
    </row>
    <row r="5794" spans="24:24" x14ac:dyDescent="0.25">
      <c r="X5794" s="256"/>
    </row>
    <row r="5795" spans="24:24" x14ac:dyDescent="0.25">
      <c r="X5795" s="256"/>
    </row>
    <row r="5796" spans="24:24" x14ac:dyDescent="0.25">
      <c r="X5796" s="256"/>
    </row>
    <row r="5797" spans="24:24" x14ac:dyDescent="0.25">
      <c r="X5797" s="256"/>
    </row>
    <row r="5798" spans="24:24" x14ac:dyDescent="0.25">
      <c r="X5798" s="256"/>
    </row>
    <row r="5799" spans="24:24" x14ac:dyDescent="0.25">
      <c r="X5799" s="256"/>
    </row>
    <row r="5800" spans="24:24" x14ac:dyDescent="0.25">
      <c r="X5800" s="256"/>
    </row>
    <row r="5801" spans="24:24" x14ac:dyDescent="0.25">
      <c r="X5801" s="256"/>
    </row>
    <row r="5802" spans="24:24" x14ac:dyDescent="0.25">
      <c r="X5802" s="256"/>
    </row>
    <row r="5803" spans="24:24" x14ac:dyDescent="0.25">
      <c r="X5803" s="256"/>
    </row>
    <row r="5804" spans="24:24" x14ac:dyDescent="0.25">
      <c r="X5804" s="256"/>
    </row>
    <row r="5805" spans="24:24" x14ac:dyDescent="0.25">
      <c r="X5805" s="256"/>
    </row>
    <row r="5806" spans="24:24" x14ac:dyDescent="0.25">
      <c r="X5806" s="256"/>
    </row>
    <row r="5807" spans="24:24" x14ac:dyDescent="0.25">
      <c r="X5807" s="256"/>
    </row>
    <row r="5808" spans="24:24" x14ac:dyDescent="0.25">
      <c r="X5808" s="256"/>
    </row>
    <row r="5809" spans="24:24" x14ac:dyDescent="0.25">
      <c r="X5809" s="256"/>
    </row>
    <row r="5810" spans="24:24" x14ac:dyDescent="0.25">
      <c r="X5810" s="256"/>
    </row>
    <row r="5811" spans="24:24" x14ac:dyDescent="0.25">
      <c r="X5811" s="256"/>
    </row>
    <row r="5812" spans="24:24" x14ac:dyDescent="0.25">
      <c r="X5812" s="256"/>
    </row>
    <row r="5813" spans="24:24" x14ac:dyDescent="0.25">
      <c r="X5813" s="256"/>
    </row>
    <row r="5814" spans="24:24" x14ac:dyDescent="0.25">
      <c r="X5814" s="256"/>
    </row>
    <row r="5815" spans="24:24" x14ac:dyDescent="0.25">
      <c r="X5815" s="256"/>
    </row>
    <row r="5816" spans="24:24" x14ac:dyDescent="0.25">
      <c r="X5816" s="256"/>
    </row>
    <row r="5817" spans="24:24" x14ac:dyDescent="0.25">
      <c r="X5817" s="256"/>
    </row>
    <row r="5818" spans="24:24" x14ac:dyDescent="0.25">
      <c r="X5818" s="256"/>
    </row>
    <row r="5819" spans="24:24" x14ac:dyDescent="0.25">
      <c r="X5819" s="256"/>
    </row>
    <row r="5820" spans="24:24" x14ac:dyDescent="0.25">
      <c r="X5820" s="256"/>
    </row>
    <row r="5821" spans="24:24" x14ac:dyDescent="0.25">
      <c r="X5821" s="256"/>
    </row>
    <row r="5822" spans="24:24" x14ac:dyDescent="0.25">
      <c r="X5822" s="256"/>
    </row>
    <row r="5823" spans="24:24" x14ac:dyDescent="0.25">
      <c r="X5823" s="256"/>
    </row>
    <row r="5824" spans="24:24" x14ac:dyDescent="0.25">
      <c r="X5824" s="256"/>
    </row>
    <row r="5825" spans="24:24" x14ac:dyDescent="0.25">
      <c r="X5825" s="256"/>
    </row>
    <row r="5826" spans="24:24" x14ac:dyDescent="0.25">
      <c r="X5826" s="256"/>
    </row>
    <row r="5827" spans="24:24" x14ac:dyDescent="0.25">
      <c r="X5827" s="256"/>
    </row>
    <row r="5828" spans="24:24" x14ac:dyDescent="0.25">
      <c r="X5828" s="256"/>
    </row>
    <row r="5829" spans="24:24" x14ac:dyDescent="0.25">
      <c r="X5829" s="256"/>
    </row>
    <row r="5830" spans="24:24" x14ac:dyDescent="0.25">
      <c r="X5830" s="256"/>
    </row>
    <row r="5831" spans="24:24" x14ac:dyDescent="0.25">
      <c r="X5831" s="256"/>
    </row>
    <row r="5832" spans="24:24" x14ac:dyDescent="0.25">
      <c r="X5832" s="256"/>
    </row>
    <row r="5833" spans="24:24" x14ac:dyDescent="0.25">
      <c r="X5833" s="256"/>
    </row>
    <row r="5834" spans="24:24" x14ac:dyDescent="0.25">
      <c r="X5834" s="256"/>
    </row>
    <row r="5835" spans="24:24" x14ac:dyDescent="0.25">
      <c r="X5835" s="256"/>
    </row>
    <row r="5836" spans="24:24" x14ac:dyDescent="0.25">
      <c r="X5836" s="256"/>
    </row>
    <row r="5837" spans="24:24" x14ac:dyDescent="0.25">
      <c r="X5837" s="256"/>
    </row>
    <row r="5838" spans="24:24" x14ac:dyDescent="0.25">
      <c r="X5838" s="256"/>
    </row>
    <row r="5839" spans="24:24" x14ac:dyDescent="0.25">
      <c r="X5839" s="256"/>
    </row>
    <row r="5840" spans="24:24" x14ac:dyDescent="0.25">
      <c r="X5840" s="256"/>
    </row>
    <row r="5841" spans="24:24" x14ac:dyDescent="0.25">
      <c r="X5841" s="256"/>
    </row>
    <row r="5842" spans="24:24" x14ac:dyDescent="0.25">
      <c r="X5842" s="256"/>
    </row>
    <row r="5843" spans="24:24" x14ac:dyDescent="0.25">
      <c r="X5843" s="256"/>
    </row>
    <row r="5844" spans="24:24" x14ac:dyDescent="0.25">
      <c r="X5844" s="256"/>
    </row>
    <row r="5845" spans="24:24" x14ac:dyDescent="0.25">
      <c r="X5845" s="256"/>
    </row>
    <row r="5846" spans="24:24" x14ac:dyDescent="0.25">
      <c r="X5846" s="256"/>
    </row>
    <row r="5847" spans="24:24" x14ac:dyDescent="0.25">
      <c r="X5847" s="256"/>
    </row>
    <row r="5848" spans="24:24" x14ac:dyDescent="0.25">
      <c r="X5848" s="256"/>
    </row>
    <row r="5849" spans="24:24" x14ac:dyDescent="0.25">
      <c r="X5849" s="256"/>
    </row>
    <row r="5850" spans="24:24" x14ac:dyDescent="0.25">
      <c r="X5850" s="256"/>
    </row>
    <row r="5851" spans="24:24" x14ac:dyDescent="0.25">
      <c r="X5851" s="256"/>
    </row>
    <row r="5852" spans="24:24" x14ac:dyDescent="0.25">
      <c r="X5852" s="256"/>
    </row>
    <row r="5853" spans="24:24" x14ac:dyDescent="0.25">
      <c r="X5853" s="256"/>
    </row>
    <row r="5854" spans="24:24" x14ac:dyDescent="0.25">
      <c r="X5854" s="256"/>
    </row>
    <row r="5855" spans="24:24" x14ac:dyDescent="0.25">
      <c r="X5855" s="256"/>
    </row>
    <row r="5856" spans="24:24" x14ac:dyDescent="0.25">
      <c r="X5856" s="256"/>
    </row>
    <row r="5857" spans="24:24" x14ac:dyDescent="0.25">
      <c r="X5857" s="256"/>
    </row>
    <row r="5858" spans="24:24" x14ac:dyDescent="0.25">
      <c r="X5858" s="256"/>
    </row>
    <row r="5859" spans="24:24" x14ac:dyDescent="0.25">
      <c r="X5859" s="256"/>
    </row>
    <row r="5860" spans="24:24" x14ac:dyDescent="0.25">
      <c r="X5860" s="256"/>
    </row>
    <row r="5861" spans="24:24" x14ac:dyDescent="0.25">
      <c r="X5861" s="256"/>
    </row>
    <row r="5862" spans="24:24" x14ac:dyDescent="0.25">
      <c r="X5862" s="256"/>
    </row>
    <row r="5863" spans="24:24" x14ac:dyDescent="0.25">
      <c r="X5863" s="256"/>
    </row>
    <row r="5864" spans="24:24" x14ac:dyDescent="0.25">
      <c r="X5864" s="256"/>
    </row>
    <row r="5865" spans="24:24" x14ac:dyDescent="0.25">
      <c r="X5865" s="256"/>
    </row>
    <row r="5866" spans="24:24" x14ac:dyDescent="0.25">
      <c r="X5866" s="256"/>
    </row>
    <row r="5867" spans="24:24" x14ac:dyDescent="0.25">
      <c r="X5867" s="256"/>
    </row>
    <row r="5868" spans="24:24" x14ac:dyDescent="0.25">
      <c r="X5868" s="256"/>
    </row>
    <row r="5869" spans="24:24" x14ac:dyDescent="0.25">
      <c r="X5869" s="256"/>
    </row>
    <row r="5870" spans="24:24" x14ac:dyDescent="0.25">
      <c r="X5870" s="256"/>
    </row>
    <row r="5871" spans="24:24" x14ac:dyDescent="0.25">
      <c r="X5871" s="256"/>
    </row>
    <row r="5872" spans="24:24" x14ac:dyDescent="0.25">
      <c r="X5872" s="256"/>
    </row>
    <row r="5873" spans="24:24" x14ac:dyDescent="0.25">
      <c r="X5873" s="256"/>
    </row>
    <row r="5874" spans="24:24" x14ac:dyDescent="0.25">
      <c r="X5874" s="256"/>
    </row>
    <row r="5875" spans="24:24" x14ac:dyDescent="0.25">
      <c r="X5875" s="256"/>
    </row>
    <row r="5876" spans="24:24" x14ac:dyDescent="0.25">
      <c r="X5876" s="256"/>
    </row>
    <row r="5877" spans="24:24" x14ac:dyDescent="0.25">
      <c r="X5877" s="256"/>
    </row>
    <row r="5878" spans="24:24" x14ac:dyDescent="0.25">
      <c r="X5878" s="256"/>
    </row>
    <row r="5879" spans="24:24" x14ac:dyDescent="0.25">
      <c r="X5879" s="256"/>
    </row>
    <row r="5880" spans="24:24" x14ac:dyDescent="0.25">
      <c r="X5880" s="256"/>
    </row>
    <row r="5881" spans="24:24" x14ac:dyDescent="0.25">
      <c r="X5881" s="256"/>
    </row>
    <row r="5882" spans="24:24" x14ac:dyDescent="0.25">
      <c r="X5882" s="256"/>
    </row>
    <row r="5883" spans="24:24" x14ac:dyDescent="0.25">
      <c r="X5883" s="256"/>
    </row>
    <row r="5884" spans="24:24" x14ac:dyDescent="0.25">
      <c r="X5884" s="256"/>
    </row>
    <row r="5885" spans="24:24" x14ac:dyDescent="0.25">
      <c r="X5885" s="256"/>
    </row>
    <row r="5886" spans="24:24" x14ac:dyDescent="0.25">
      <c r="X5886" s="256"/>
    </row>
    <row r="5887" spans="24:24" x14ac:dyDescent="0.25">
      <c r="X5887" s="256"/>
    </row>
    <row r="5888" spans="24:24" x14ac:dyDescent="0.25">
      <c r="X5888" s="256"/>
    </row>
    <row r="5889" spans="24:24" x14ac:dyDescent="0.25">
      <c r="X5889" s="256"/>
    </row>
    <row r="5890" spans="24:24" x14ac:dyDescent="0.25">
      <c r="X5890" s="256"/>
    </row>
    <row r="5891" spans="24:24" x14ac:dyDescent="0.25">
      <c r="X5891" s="256"/>
    </row>
    <row r="5892" spans="24:24" x14ac:dyDescent="0.25">
      <c r="X5892" s="256"/>
    </row>
    <row r="5893" spans="24:24" x14ac:dyDescent="0.25">
      <c r="X5893" s="256"/>
    </row>
    <row r="5894" spans="24:24" x14ac:dyDescent="0.25">
      <c r="X5894" s="256"/>
    </row>
    <row r="5895" spans="24:24" x14ac:dyDescent="0.25">
      <c r="X5895" s="256"/>
    </row>
    <row r="5896" spans="24:24" x14ac:dyDescent="0.25">
      <c r="X5896" s="256"/>
    </row>
    <row r="5897" spans="24:24" x14ac:dyDescent="0.25">
      <c r="X5897" s="256"/>
    </row>
    <row r="5898" spans="24:24" x14ac:dyDescent="0.25">
      <c r="X5898" s="256"/>
    </row>
    <row r="5899" spans="24:24" x14ac:dyDescent="0.25">
      <c r="X5899" s="256"/>
    </row>
    <row r="5900" spans="24:24" x14ac:dyDescent="0.25">
      <c r="X5900" s="256"/>
    </row>
    <row r="5901" spans="24:24" x14ac:dyDescent="0.25">
      <c r="X5901" s="256"/>
    </row>
    <row r="5902" spans="24:24" x14ac:dyDescent="0.25">
      <c r="X5902" s="256"/>
    </row>
    <row r="5903" spans="24:24" x14ac:dyDescent="0.25">
      <c r="X5903" s="256"/>
    </row>
    <row r="5904" spans="24:24" x14ac:dyDescent="0.25">
      <c r="X5904" s="256"/>
    </row>
    <row r="5905" spans="24:24" x14ac:dyDescent="0.25">
      <c r="X5905" s="256"/>
    </row>
    <row r="5906" spans="24:24" x14ac:dyDescent="0.25">
      <c r="X5906" s="256"/>
    </row>
    <row r="5907" spans="24:24" x14ac:dyDescent="0.25">
      <c r="X5907" s="256"/>
    </row>
    <row r="5908" spans="24:24" x14ac:dyDescent="0.25">
      <c r="X5908" s="256"/>
    </row>
    <row r="5909" spans="24:24" x14ac:dyDescent="0.25">
      <c r="X5909" s="256"/>
    </row>
    <row r="5910" spans="24:24" x14ac:dyDescent="0.25">
      <c r="X5910" s="256"/>
    </row>
    <row r="5911" spans="24:24" x14ac:dyDescent="0.25">
      <c r="X5911" s="256"/>
    </row>
    <row r="5912" spans="24:24" x14ac:dyDescent="0.25">
      <c r="X5912" s="256"/>
    </row>
    <row r="5913" spans="24:24" x14ac:dyDescent="0.25">
      <c r="X5913" s="256"/>
    </row>
    <row r="5914" spans="24:24" x14ac:dyDescent="0.25">
      <c r="X5914" s="256"/>
    </row>
    <row r="5915" spans="24:24" x14ac:dyDescent="0.25">
      <c r="X5915" s="256"/>
    </row>
    <row r="5916" spans="24:24" x14ac:dyDescent="0.25">
      <c r="X5916" s="256"/>
    </row>
    <row r="5917" spans="24:24" x14ac:dyDescent="0.25">
      <c r="X5917" s="256"/>
    </row>
    <row r="5918" spans="24:24" x14ac:dyDescent="0.25">
      <c r="X5918" s="256"/>
    </row>
    <row r="5919" spans="24:24" x14ac:dyDescent="0.25">
      <c r="X5919" s="256"/>
    </row>
    <row r="5920" spans="24:24" x14ac:dyDescent="0.25">
      <c r="X5920" s="256"/>
    </row>
    <row r="5921" spans="24:24" x14ac:dyDescent="0.25">
      <c r="X5921" s="256"/>
    </row>
    <row r="5922" spans="24:24" x14ac:dyDescent="0.25">
      <c r="X5922" s="256"/>
    </row>
    <row r="5923" spans="24:24" x14ac:dyDescent="0.25">
      <c r="X5923" s="256"/>
    </row>
    <row r="5924" spans="24:24" x14ac:dyDescent="0.25">
      <c r="X5924" s="256"/>
    </row>
    <row r="5925" spans="24:24" x14ac:dyDescent="0.25">
      <c r="X5925" s="256"/>
    </row>
    <row r="5926" spans="24:24" x14ac:dyDescent="0.25">
      <c r="X5926" s="256"/>
    </row>
    <row r="5927" spans="24:24" x14ac:dyDescent="0.25">
      <c r="X5927" s="256"/>
    </row>
    <row r="5928" spans="24:24" x14ac:dyDescent="0.25">
      <c r="X5928" s="256"/>
    </row>
    <row r="5929" spans="24:24" x14ac:dyDescent="0.25">
      <c r="X5929" s="256"/>
    </row>
    <row r="5930" spans="24:24" x14ac:dyDescent="0.25">
      <c r="X5930" s="256"/>
    </row>
    <row r="5931" spans="24:24" x14ac:dyDescent="0.25">
      <c r="X5931" s="256"/>
    </row>
    <row r="5932" spans="24:24" x14ac:dyDescent="0.25">
      <c r="X5932" s="256"/>
    </row>
    <row r="5933" spans="24:24" x14ac:dyDescent="0.25">
      <c r="X5933" s="256"/>
    </row>
    <row r="5934" spans="24:24" x14ac:dyDescent="0.25">
      <c r="X5934" s="256"/>
    </row>
    <row r="5935" spans="24:24" x14ac:dyDescent="0.25">
      <c r="X5935" s="256"/>
    </row>
    <row r="5936" spans="24:24" x14ac:dyDescent="0.25">
      <c r="X5936" s="256"/>
    </row>
    <row r="5937" spans="24:24" x14ac:dyDescent="0.25">
      <c r="X5937" s="256"/>
    </row>
    <row r="5938" spans="24:24" x14ac:dyDescent="0.25">
      <c r="X5938" s="256"/>
    </row>
    <row r="5939" spans="24:24" x14ac:dyDescent="0.25">
      <c r="X5939" s="256"/>
    </row>
    <row r="5940" spans="24:24" x14ac:dyDescent="0.25">
      <c r="X5940" s="256"/>
    </row>
    <row r="5941" spans="24:24" x14ac:dyDescent="0.25">
      <c r="X5941" s="256"/>
    </row>
    <row r="5942" spans="24:24" x14ac:dyDescent="0.25">
      <c r="X5942" s="256"/>
    </row>
    <row r="5943" spans="24:24" x14ac:dyDescent="0.25">
      <c r="X5943" s="256"/>
    </row>
    <row r="5944" spans="24:24" x14ac:dyDescent="0.25">
      <c r="X5944" s="256"/>
    </row>
    <row r="5945" spans="24:24" x14ac:dyDescent="0.25">
      <c r="X5945" s="256"/>
    </row>
    <row r="5946" spans="24:24" x14ac:dyDescent="0.25">
      <c r="X5946" s="256"/>
    </row>
    <row r="5947" spans="24:24" x14ac:dyDescent="0.25">
      <c r="X5947" s="256"/>
    </row>
    <row r="5948" spans="24:24" x14ac:dyDescent="0.25">
      <c r="X5948" s="256"/>
    </row>
    <row r="5949" spans="24:24" x14ac:dyDescent="0.25">
      <c r="X5949" s="256"/>
    </row>
    <row r="5950" spans="24:24" x14ac:dyDescent="0.25">
      <c r="X5950" s="256"/>
    </row>
    <row r="5951" spans="24:24" x14ac:dyDescent="0.25">
      <c r="X5951" s="256"/>
    </row>
    <row r="5952" spans="24:24" x14ac:dyDescent="0.25">
      <c r="X5952" s="256"/>
    </row>
    <row r="5953" spans="24:24" x14ac:dyDescent="0.25">
      <c r="X5953" s="256"/>
    </row>
    <row r="5954" spans="24:24" x14ac:dyDescent="0.25">
      <c r="X5954" s="256"/>
    </row>
    <row r="5955" spans="24:24" x14ac:dyDescent="0.25">
      <c r="X5955" s="256"/>
    </row>
    <row r="5956" spans="24:24" x14ac:dyDescent="0.25">
      <c r="X5956" s="256"/>
    </row>
    <row r="5957" spans="24:24" x14ac:dyDescent="0.25">
      <c r="X5957" s="256"/>
    </row>
    <row r="5958" spans="24:24" x14ac:dyDescent="0.25">
      <c r="X5958" s="256"/>
    </row>
    <row r="5959" spans="24:24" x14ac:dyDescent="0.25">
      <c r="X5959" s="256"/>
    </row>
    <row r="5960" spans="24:24" x14ac:dyDescent="0.25">
      <c r="X5960" s="256"/>
    </row>
    <row r="5961" spans="24:24" x14ac:dyDescent="0.25">
      <c r="X5961" s="256"/>
    </row>
    <row r="5962" spans="24:24" x14ac:dyDescent="0.25">
      <c r="X5962" s="256"/>
    </row>
    <row r="5963" spans="24:24" x14ac:dyDescent="0.25">
      <c r="X5963" s="256"/>
    </row>
    <row r="5964" spans="24:24" x14ac:dyDescent="0.25">
      <c r="X5964" s="256"/>
    </row>
    <row r="5965" spans="24:24" x14ac:dyDescent="0.25">
      <c r="X5965" s="256"/>
    </row>
    <row r="5966" spans="24:24" x14ac:dyDescent="0.25">
      <c r="X5966" s="256"/>
    </row>
    <row r="5967" spans="24:24" x14ac:dyDescent="0.25">
      <c r="X5967" s="256"/>
    </row>
    <row r="5968" spans="24:24" x14ac:dyDescent="0.25">
      <c r="X5968" s="256"/>
    </row>
    <row r="5969" spans="24:24" x14ac:dyDescent="0.25">
      <c r="X5969" s="256"/>
    </row>
    <row r="5970" spans="24:24" x14ac:dyDescent="0.25">
      <c r="X5970" s="256"/>
    </row>
    <row r="5971" spans="24:24" x14ac:dyDescent="0.25">
      <c r="X5971" s="256"/>
    </row>
    <row r="5972" spans="24:24" x14ac:dyDescent="0.25">
      <c r="X5972" s="256"/>
    </row>
    <row r="5973" spans="24:24" x14ac:dyDescent="0.25">
      <c r="X5973" s="256"/>
    </row>
    <row r="5974" spans="24:24" x14ac:dyDescent="0.25">
      <c r="X5974" s="256"/>
    </row>
    <row r="5975" spans="24:24" x14ac:dyDescent="0.25">
      <c r="X5975" s="256"/>
    </row>
    <row r="5976" spans="24:24" x14ac:dyDescent="0.25">
      <c r="X5976" s="256"/>
    </row>
    <row r="5977" spans="24:24" x14ac:dyDescent="0.25">
      <c r="X5977" s="256"/>
    </row>
    <row r="5978" spans="24:24" x14ac:dyDescent="0.25">
      <c r="X5978" s="256"/>
    </row>
    <row r="5979" spans="24:24" x14ac:dyDescent="0.25">
      <c r="X5979" s="256"/>
    </row>
    <row r="5980" spans="24:24" x14ac:dyDescent="0.25">
      <c r="X5980" s="256"/>
    </row>
    <row r="5981" spans="24:24" x14ac:dyDescent="0.25">
      <c r="X5981" s="256"/>
    </row>
    <row r="5982" spans="24:24" x14ac:dyDescent="0.25">
      <c r="X5982" s="256"/>
    </row>
    <row r="5983" spans="24:24" x14ac:dyDescent="0.25">
      <c r="X5983" s="256"/>
    </row>
    <row r="5984" spans="24:24" x14ac:dyDescent="0.25">
      <c r="X5984" s="256"/>
    </row>
    <row r="5985" spans="24:24" x14ac:dyDescent="0.25">
      <c r="X5985" s="256"/>
    </row>
    <row r="5986" spans="24:24" x14ac:dyDescent="0.25">
      <c r="X5986" s="256"/>
    </row>
    <row r="5987" spans="24:24" x14ac:dyDescent="0.25">
      <c r="X5987" s="256"/>
    </row>
    <row r="5988" spans="24:24" x14ac:dyDescent="0.25">
      <c r="X5988" s="256"/>
    </row>
    <row r="5989" spans="24:24" x14ac:dyDescent="0.25">
      <c r="X5989" s="256"/>
    </row>
    <row r="5990" spans="24:24" x14ac:dyDescent="0.25">
      <c r="X5990" s="256"/>
    </row>
    <row r="5991" spans="24:24" x14ac:dyDescent="0.25">
      <c r="X5991" s="256"/>
    </row>
    <row r="5992" spans="24:24" x14ac:dyDescent="0.25">
      <c r="X5992" s="256"/>
    </row>
    <row r="5993" spans="24:24" x14ac:dyDescent="0.25">
      <c r="X5993" s="256"/>
    </row>
    <row r="5994" spans="24:24" x14ac:dyDescent="0.25">
      <c r="X5994" s="256"/>
    </row>
    <row r="5995" spans="24:24" x14ac:dyDescent="0.25">
      <c r="X5995" s="256"/>
    </row>
    <row r="5996" spans="24:24" x14ac:dyDescent="0.25">
      <c r="X5996" s="256"/>
    </row>
    <row r="5997" spans="24:24" x14ac:dyDescent="0.25">
      <c r="X5997" s="256"/>
    </row>
    <row r="5998" spans="24:24" x14ac:dyDescent="0.25">
      <c r="X5998" s="256"/>
    </row>
    <row r="5999" spans="24:24" x14ac:dyDescent="0.25">
      <c r="X5999" s="256"/>
    </row>
    <row r="6000" spans="24:24" x14ac:dyDescent="0.25">
      <c r="X6000" s="256"/>
    </row>
    <row r="6001" spans="24:24" x14ac:dyDescent="0.25">
      <c r="X6001" s="256"/>
    </row>
    <row r="6002" spans="24:24" x14ac:dyDescent="0.25">
      <c r="X6002" s="256"/>
    </row>
    <row r="6003" spans="24:24" x14ac:dyDescent="0.25">
      <c r="X6003" s="256"/>
    </row>
    <row r="6004" spans="24:24" x14ac:dyDescent="0.25">
      <c r="X6004" s="256"/>
    </row>
    <row r="6005" spans="24:24" x14ac:dyDescent="0.25">
      <c r="X6005" s="256"/>
    </row>
    <row r="6006" spans="24:24" x14ac:dyDescent="0.25">
      <c r="X6006" s="256"/>
    </row>
    <row r="6007" spans="24:24" x14ac:dyDescent="0.25">
      <c r="X6007" s="256"/>
    </row>
    <row r="6008" spans="24:24" x14ac:dyDescent="0.25">
      <c r="X6008" s="256"/>
    </row>
    <row r="6009" spans="24:24" x14ac:dyDescent="0.25">
      <c r="X6009" s="256"/>
    </row>
    <row r="6010" spans="24:24" x14ac:dyDescent="0.25">
      <c r="X6010" s="256"/>
    </row>
    <row r="6011" spans="24:24" x14ac:dyDescent="0.25">
      <c r="X6011" s="256"/>
    </row>
    <row r="6012" spans="24:24" x14ac:dyDescent="0.25">
      <c r="X6012" s="256"/>
    </row>
    <row r="6013" spans="24:24" x14ac:dyDescent="0.25">
      <c r="X6013" s="256"/>
    </row>
    <row r="6014" spans="24:24" x14ac:dyDescent="0.25">
      <c r="X6014" s="256"/>
    </row>
    <row r="6015" spans="24:24" x14ac:dyDescent="0.25">
      <c r="X6015" s="256"/>
    </row>
    <row r="6016" spans="24:24" x14ac:dyDescent="0.25">
      <c r="X6016" s="256"/>
    </row>
    <row r="6017" spans="24:24" x14ac:dyDescent="0.25">
      <c r="X6017" s="256"/>
    </row>
    <row r="6018" spans="24:24" x14ac:dyDescent="0.25">
      <c r="X6018" s="256"/>
    </row>
    <row r="6019" spans="24:24" x14ac:dyDescent="0.25">
      <c r="X6019" s="256"/>
    </row>
    <row r="6020" spans="24:24" x14ac:dyDescent="0.25">
      <c r="X6020" s="256"/>
    </row>
    <row r="6021" spans="24:24" x14ac:dyDescent="0.25">
      <c r="X6021" s="256"/>
    </row>
    <row r="6022" spans="24:24" x14ac:dyDescent="0.25">
      <c r="X6022" s="256"/>
    </row>
    <row r="6023" spans="24:24" x14ac:dyDescent="0.25">
      <c r="X6023" s="256"/>
    </row>
    <row r="6024" spans="24:24" x14ac:dyDescent="0.25">
      <c r="X6024" s="256"/>
    </row>
    <row r="6025" spans="24:24" x14ac:dyDescent="0.25">
      <c r="X6025" s="256"/>
    </row>
    <row r="6026" spans="24:24" x14ac:dyDescent="0.25">
      <c r="X6026" s="256"/>
    </row>
    <row r="6027" spans="24:24" x14ac:dyDescent="0.25">
      <c r="X6027" s="256"/>
    </row>
    <row r="6028" spans="24:24" x14ac:dyDescent="0.25">
      <c r="X6028" s="256"/>
    </row>
    <row r="6029" spans="24:24" x14ac:dyDescent="0.25">
      <c r="X6029" s="256"/>
    </row>
    <row r="6030" spans="24:24" x14ac:dyDescent="0.25">
      <c r="X6030" s="256"/>
    </row>
    <row r="6031" spans="24:24" x14ac:dyDescent="0.25">
      <c r="X6031" s="256"/>
    </row>
    <row r="6032" spans="24:24" x14ac:dyDescent="0.25">
      <c r="X6032" s="256"/>
    </row>
    <row r="6033" spans="24:24" x14ac:dyDescent="0.25">
      <c r="X6033" s="256"/>
    </row>
    <row r="6034" spans="24:24" x14ac:dyDescent="0.25">
      <c r="X6034" s="256"/>
    </row>
    <row r="6035" spans="24:24" x14ac:dyDescent="0.25">
      <c r="X6035" s="256"/>
    </row>
    <row r="6036" spans="24:24" x14ac:dyDescent="0.25">
      <c r="X6036" s="256"/>
    </row>
    <row r="6037" spans="24:24" x14ac:dyDescent="0.25">
      <c r="X6037" s="256"/>
    </row>
    <row r="6038" spans="24:24" x14ac:dyDescent="0.25">
      <c r="X6038" s="256"/>
    </row>
    <row r="6039" spans="24:24" x14ac:dyDescent="0.25">
      <c r="X6039" s="256"/>
    </row>
    <row r="6040" spans="24:24" x14ac:dyDescent="0.25">
      <c r="X6040" s="256"/>
    </row>
    <row r="6041" spans="24:24" x14ac:dyDescent="0.25">
      <c r="X6041" s="256"/>
    </row>
    <row r="6042" spans="24:24" x14ac:dyDescent="0.25">
      <c r="X6042" s="256"/>
    </row>
    <row r="6043" spans="24:24" x14ac:dyDescent="0.25">
      <c r="X6043" s="256"/>
    </row>
    <row r="6044" spans="24:24" x14ac:dyDescent="0.25">
      <c r="X6044" s="256"/>
    </row>
    <row r="6045" spans="24:24" x14ac:dyDescent="0.25">
      <c r="X6045" s="256"/>
    </row>
    <row r="6046" spans="24:24" x14ac:dyDescent="0.25">
      <c r="X6046" s="256"/>
    </row>
    <row r="6047" spans="24:24" x14ac:dyDescent="0.25">
      <c r="X6047" s="256"/>
    </row>
    <row r="6048" spans="24:24" x14ac:dyDescent="0.25">
      <c r="X6048" s="256"/>
    </row>
    <row r="6049" spans="24:24" x14ac:dyDescent="0.25">
      <c r="X6049" s="256"/>
    </row>
    <row r="6050" spans="24:24" x14ac:dyDescent="0.25">
      <c r="X6050" s="256"/>
    </row>
    <row r="6051" spans="24:24" x14ac:dyDescent="0.25">
      <c r="X6051" s="256"/>
    </row>
    <row r="6052" spans="24:24" x14ac:dyDescent="0.25">
      <c r="X6052" s="256"/>
    </row>
    <row r="6053" spans="24:24" x14ac:dyDescent="0.25">
      <c r="X6053" s="256"/>
    </row>
    <row r="6054" spans="24:24" x14ac:dyDescent="0.25">
      <c r="X6054" s="256"/>
    </row>
    <row r="6055" spans="24:24" x14ac:dyDescent="0.25">
      <c r="X6055" s="256"/>
    </row>
    <row r="6056" spans="24:24" x14ac:dyDescent="0.25">
      <c r="X6056" s="256"/>
    </row>
    <row r="6057" spans="24:24" x14ac:dyDescent="0.25">
      <c r="X6057" s="256"/>
    </row>
    <row r="6058" spans="24:24" x14ac:dyDescent="0.25">
      <c r="X6058" s="256"/>
    </row>
    <row r="6059" spans="24:24" x14ac:dyDescent="0.25">
      <c r="X6059" s="256"/>
    </row>
    <row r="6060" spans="24:24" x14ac:dyDescent="0.25">
      <c r="X6060" s="256"/>
    </row>
    <row r="6061" spans="24:24" x14ac:dyDescent="0.25">
      <c r="X6061" s="256"/>
    </row>
    <row r="6062" spans="24:24" x14ac:dyDescent="0.25">
      <c r="X6062" s="256"/>
    </row>
    <row r="6063" spans="24:24" x14ac:dyDescent="0.25">
      <c r="X6063" s="256"/>
    </row>
    <row r="6064" spans="24:24" x14ac:dyDescent="0.25">
      <c r="X6064" s="256"/>
    </row>
    <row r="6065" spans="24:24" x14ac:dyDescent="0.25">
      <c r="X6065" s="256"/>
    </row>
    <row r="6066" spans="24:24" x14ac:dyDescent="0.25">
      <c r="X6066" s="256"/>
    </row>
    <row r="6067" spans="24:24" x14ac:dyDescent="0.25">
      <c r="X6067" s="256"/>
    </row>
    <row r="6068" spans="24:24" x14ac:dyDescent="0.25">
      <c r="X6068" s="256"/>
    </row>
    <row r="6069" spans="24:24" x14ac:dyDescent="0.25">
      <c r="X6069" s="256"/>
    </row>
    <row r="6070" spans="24:24" x14ac:dyDescent="0.25">
      <c r="X6070" s="256"/>
    </row>
    <row r="6071" spans="24:24" x14ac:dyDescent="0.25">
      <c r="X6071" s="256"/>
    </row>
    <row r="6072" spans="24:24" x14ac:dyDescent="0.25">
      <c r="X6072" s="256"/>
    </row>
    <row r="6073" spans="24:24" x14ac:dyDescent="0.25">
      <c r="X6073" s="256"/>
    </row>
    <row r="6074" spans="24:24" x14ac:dyDescent="0.25">
      <c r="X6074" s="256"/>
    </row>
    <row r="6075" spans="24:24" x14ac:dyDescent="0.25">
      <c r="X6075" s="256"/>
    </row>
    <row r="6076" spans="24:24" x14ac:dyDescent="0.25">
      <c r="X6076" s="256"/>
    </row>
    <row r="6077" spans="24:24" x14ac:dyDescent="0.25">
      <c r="X6077" s="256"/>
    </row>
    <row r="6078" spans="24:24" x14ac:dyDescent="0.25">
      <c r="X6078" s="256"/>
    </row>
    <row r="6079" spans="24:24" x14ac:dyDescent="0.25">
      <c r="X6079" s="256"/>
    </row>
    <row r="6080" spans="24:24" x14ac:dyDescent="0.25">
      <c r="X6080" s="256"/>
    </row>
    <row r="6081" spans="24:24" x14ac:dyDescent="0.25">
      <c r="X6081" s="256"/>
    </row>
    <row r="6082" spans="24:24" x14ac:dyDescent="0.25">
      <c r="X6082" s="256"/>
    </row>
    <row r="6083" spans="24:24" x14ac:dyDescent="0.25">
      <c r="X6083" s="256"/>
    </row>
    <row r="6084" spans="24:24" x14ac:dyDescent="0.25">
      <c r="X6084" s="256"/>
    </row>
    <row r="6085" spans="24:24" x14ac:dyDescent="0.25">
      <c r="X6085" s="256"/>
    </row>
    <row r="6086" spans="24:24" x14ac:dyDescent="0.25">
      <c r="X6086" s="256"/>
    </row>
    <row r="6087" spans="24:24" x14ac:dyDescent="0.25">
      <c r="X6087" s="256"/>
    </row>
    <row r="6088" spans="24:24" x14ac:dyDescent="0.25">
      <c r="X6088" s="256"/>
    </row>
    <row r="6089" spans="24:24" x14ac:dyDescent="0.25">
      <c r="X6089" s="256"/>
    </row>
    <row r="6090" spans="24:24" x14ac:dyDescent="0.25">
      <c r="X6090" s="256"/>
    </row>
    <row r="6091" spans="24:24" x14ac:dyDescent="0.25">
      <c r="X6091" s="256"/>
    </row>
    <row r="6092" spans="24:24" x14ac:dyDescent="0.25">
      <c r="X6092" s="256"/>
    </row>
    <row r="6093" spans="24:24" x14ac:dyDescent="0.25">
      <c r="X6093" s="256"/>
    </row>
    <row r="6094" spans="24:24" x14ac:dyDescent="0.25">
      <c r="X6094" s="256"/>
    </row>
    <row r="6095" spans="24:24" x14ac:dyDescent="0.25">
      <c r="X6095" s="256"/>
    </row>
    <row r="6096" spans="24:24" x14ac:dyDescent="0.25">
      <c r="X6096" s="256"/>
    </row>
    <row r="6097" spans="24:24" x14ac:dyDescent="0.25">
      <c r="X6097" s="256"/>
    </row>
    <row r="6098" spans="24:24" x14ac:dyDescent="0.25">
      <c r="X6098" s="256"/>
    </row>
    <row r="6099" spans="24:24" x14ac:dyDescent="0.25">
      <c r="X6099" s="256"/>
    </row>
    <row r="6100" spans="24:24" x14ac:dyDescent="0.25">
      <c r="X6100" s="256"/>
    </row>
    <row r="6101" spans="24:24" x14ac:dyDescent="0.25">
      <c r="X6101" s="256"/>
    </row>
    <row r="6102" spans="24:24" x14ac:dyDescent="0.25">
      <c r="X6102" s="256"/>
    </row>
    <row r="6103" spans="24:24" x14ac:dyDescent="0.25">
      <c r="X6103" s="256"/>
    </row>
    <row r="6104" spans="24:24" x14ac:dyDescent="0.25">
      <c r="X6104" s="256"/>
    </row>
    <row r="6105" spans="24:24" x14ac:dyDescent="0.25">
      <c r="X6105" s="256"/>
    </row>
    <row r="6106" spans="24:24" x14ac:dyDescent="0.25">
      <c r="X6106" s="256"/>
    </row>
    <row r="6107" spans="24:24" x14ac:dyDescent="0.25">
      <c r="X6107" s="256"/>
    </row>
    <row r="6108" spans="24:24" x14ac:dyDescent="0.25">
      <c r="X6108" s="256"/>
    </row>
    <row r="6109" spans="24:24" x14ac:dyDescent="0.25">
      <c r="X6109" s="256"/>
    </row>
    <row r="6110" spans="24:24" x14ac:dyDescent="0.25">
      <c r="X6110" s="256"/>
    </row>
    <row r="6111" spans="24:24" x14ac:dyDescent="0.25">
      <c r="X6111" s="256"/>
    </row>
    <row r="6112" spans="24:24" x14ac:dyDescent="0.25">
      <c r="X6112" s="256"/>
    </row>
    <row r="6113" spans="24:24" x14ac:dyDescent="0.25">
      <c r="X6113" s="256"/>
    </row>
    <row r="6114" spans="24:24" x14ac:dyDescent="0.25">
      <c r="X6114" s="256"/>
    </row>
    <row r="6115" spans="24:24" x14ac:dyDescent="0.25">
      <c r="X6115" s="256"/>
    </row>
    <row r="6116" spans="24:24" x14ac:dyDescent="0.25">
      <c r="X6116" s="256"/>
    </row>
    <row r="6117" spans="24:24" x14ac:dyDescent="0.25">
      <c r="X6117" s="256"/>
    </row>
    <row r="6118" spans="24:24" x14ac:dyDescent="0.25">
      <c r="X6118" s="256"/>
    </row>
    <row r="6119" spans="24:24" x14ac:dyDescent="0.25">
      <c r="X6119" s="256"/>
    </row>
    <row r="6120" spans="24:24" x14ac:dyDescent="0.25">
      <c r="X6120" s="256"/>
    </row>
    <row r="6121" spans="24:24" x14ac:dyDescent="0.25">
      <c r="X6121" s="256"/>
    </row>
    <row r="6122" spans="24:24" x14ac:dyDescent="0.25">
      <c r="X6122" s="256"/>
    </row>
    <row r="6123" spans="24:24" x14ac:dyDescent="0.25">
      <c r="X6123" s="256"/>
    </row>
    <row r="6124" spans="24:24" x14ac:dyDescent="0.25">
      <c r="X6124" s="256"/>
    </row>
    <row r="6125" spans="24:24" x14ac:dyDescent="0.25">
      <c r="X6125" s="256"/>
    </row>
    <row r="6126" spans="24:24" x14ac:dyDescent="0.25">
      <c r="X6126" s="256"/>
    </row>
    <row r="6127" spans="24:24" x14ac:dyDescent="0.25">
      <c r="X6127" s="256"/>
    </row>
    <row r="6128" spans="24:24" x14ac:dyDescent="0.25">
      <c r="X6128" s="256"/>
    </row>
    <row r="6129" spans="24:24" x14ac:dyDescent="0.25">
      <c r="X6129" s="256"/>
    </row>
    <row r="6130" spans="24:24" x14ac:dyDescent="0.25">
      <c r="X6130" s="256"/>
    </row>
    <row r="6131" spans="24:24" x14ac:dyDescent="0.25">
      <c r="X6131" s="256"/>
    </row>
    <row r="6132" spans="24:24" x14ac:dyDescent="0.25">
      <c r="X6132" s="256"/>
    </row>
    <row r="6133" spans="24:24" x14ac:dyDescent="0.25">
      <c r="X6133" s="256"/>
    </row>
    <row r="6134" spans="24:24" x14ac:dyDescent="0.25">
      <c r="X6134" s="256"/>
    </row>
    <row r="6135" spans="24:24" x14ac:dyDescent="0.25">
      <c r="X6135" s="256"/>
    </row>
    <row r="6136" spans="24:24" x14ac:dyDescent="0.25">
      <c r="X6136" s="256"/>
    </row>
    <row r="6137" spans="24:24" x14ac:dyDescent="0.25">
      <c r="X6137" s="256"/>
    </row>
    <row r="6138" spans="24:24" x14ac:dyDescent="0.25">
      <c r="X6138" s="256"/>
    </row>
    <row r="6139" spans="24:24" x14ac:dyDescent="0.25">
      <c r="X6139" s="256"/>
    </row>
    <row r="6140" spans="24:24" x14ac:dyDescent="0.25">
      <c r="X6140" s="256"/>
    </row>
    <row r="6141" spans="24:24" x14ac:dyDescent="0.25">
      <c r="X6141" s="256"/>
    </row>
    <row r="6142" spans="24:24" x14ac:dyDescent="0.25">
      <c r="X6142" s="256"/>
    </row>
    <row r="6143" spans="24:24" x14ac:dyDescent="0.25">
      <c r="X6143" s="256"/>
    </row>
    <row r="6144" spans="24:24" x14ac:dyDescent="0.25">
      <c r="X6144" s="256"/>
    </row>
    <row r="6145" spans="24:24" x14ac:dyDescent="0.25">
      <c r="X6145" s="256"/>
    </row>
    <row r="6146" spans="24:24" x14ac:dyDescent="0.25">
      <c r="X6146" s="256"/>
    </row>
    <row r="6147" spans="24:24" x14ac:dyDescent="0.25">
      <c r="X6147" s="256"/>
    </row>
    <row r="6148" spans="24:24" x14ac:dyDescent="0.25">
      <c r="X6148" s="256"/>
    </row>
    <row r="6149" spans="24:24" x14ac:dyDescent="0.25">
      <c r="X6149" s="256"/>
    </row>
    <row r="6150" spans="24:24" x14ac:dyDescent="0.25">
      <c r="X6150" s="256"/>
    </row>
    <row r="6151" spans="24:24" x14ac:dyDescent="0.25">
      <c r="X6151" s="256"/>
    </row>
    <row r="6152" spans="24:24" x14ac:dyDescent="0.25">
      <c r="X6152" s="256"/>
    </row>
    <row r="6153" spans="24:24" x14ac:dyDescent="0.25">
      <c r="X6153" s="256"/>
    </row>
    <row r="6154" spans="24:24" x14ac:dyDescent="0.25">
      <c r="X6154" s="256"/>
    </row>
    <row r="6155" spans="24:24" x14ac:dyDescent="0.25">
      <c r="X6155" s="256"/>
    </row>
    <row r="6156" spans="24:24" x14ac:dyDescent="0.25">
      <c r="X6156" s="256"/>
    </row>
    <row r="6157" spans="24:24" x14ac:dyDescent="0.25">
      <c r="X6157" s="256"/>
    </row>
    <row r="6158" spans="24:24" x14ac:dyDescent="0.25">
      <c r="X6158" s="256"/>
    </row>
    <row r="6159" spans="24:24" x14ac:dyDescent="0.25">
      <c r="X6159" s="256"/>
    </row>
    <row r="6160" spans="24:24" x14ac:dyDescent="0.25">
      <c r="X6160" s="256"/>
    </row>
    <row r="6161" spans="24:24" x14ac:dyDescent="0.25">
      <c r="X6161" s="256"/>
    </row>
    <row r="6162" spans="24:24" x14ac:dyDescent="0.25">
      <c r="X6162" s="256"/>
    </row>
    <row r="6163" spans="24:24" x14ac:dyDescent="0.25">
      <c r="X6163" s="256"/>
    </row>
    <row r="6164" spans="24:24" x14ac:dyDescent="0.25">
      <c r="X6164" s="256"/>
    </row>
    <row r="6165" spans="24:24" x14ac:dyDescent="0.25">
      <c r="X6165" s="256"/>
    </row>
    <row r="6166" spans="24:24" x14ac:dyDescent="0.25">
      <c r="X6166" s="256"/>
    </row>
    <row r="6167" spans="24:24" x14ac:dyDescent="0.25">
      <c r="X6167" s="256"/>
    </row>
    <row r="6168" spans="24:24" x14ac:dyDescent="0.25">
      <c r="X6168" s="256"/>
    </row>
    <row r="6169" spans="24:24" x14ac:dyDescent="0.25">
      <c r="X6169" s="256"/>
    </row>
    <row r="6170" spans="24:24" x14ac:dyDescent="0.25">
      <c r="X6170" s="256"/>
    </row>
    <row r="6171" spans="24:24" x14ac:dyDescent="0.25">
      <c r="X6171" s="256"/>
    </row>
    <row r="6172" spans="24:24" x14ac:dyDescent="0.25">
      <c r="X6172" s="256"/>
    </row>
    <row r="6173" spans="24:24" x14ac:dyDescent="0.25">
      <c r="X6173" s="256"/>
    </row>
    <row r="6174" spans="24:24" x14ac:dyDescent="0.25">
      <c r="X6174" s="256"/>
    </row>
    <row r="6175" spans="24:24" x14ac:dyDescent="0.25">
      <c r="X6175" s="256"/>
    </row>
    <row r="6176" spans="24:24" x14ac:dyDescent="0.25">
      <c r="X6176" s="256"/>
    </row>
    <row r="6177" spans="24:24" x14ac:dyDescent="0.25">
      <c r="X6177" s="256"/>
    </row>
    <row r="6178" spans="24:24" x14ac:dyDescent="0.25">
      <c r="X6178" s="256"/>
    </row>
    <row r="6179" spans="24:24" x14ac:dyDescent="0.25">
      <c r="X6179" s="256"/>
    </row>
    <row r="6180" spans="24:24" x14ac:dyDescent="0.25">
      <c r="X6180" s="256"/>
    </row>
    <row r="6181" spans="24:24" x14ac:dyDescent="0.25">
      <c r="X6181" s="256"/>
    </row>
    <row r="6182" spans="24:24" x14ac:dyDescent="0.25">
      <c r="X6182" s="256"/>
    </row>
    <row r="6183" spans="24:24" x14ac:dyDescent="0.25">
      <c r="X6183" s="256"/>
    </row>
    <row r="6184" spans="24:24" x14ac:dyDescent="0.25">
      <c r="X6184" s="256"/>
    </row>
    <row r="6185" spans="24:24" x14ac:dyDescent="0.25">
      <c r="X6185" s="256"/>
    </row>
    <row r="6186" spans="24:24" x14ac:dyDescent="0.25">
      <c r="X6186" s="256"/>
    </row>
    <row r="6187" spans="24:24" x14ac:dyDescent="0.25">
      <c r="X6187" s="256"/>
    </row>
    <row r="6188" spans="24:24" x14ac:dyDescent="0.25">
      <c r="X6188" s="256"/>
    </row>
    <row r="6189" spans="24:24" x14ac:dyDescent="0.25">
      <c r="X6189" s="256"/>
    </row>
    <row r="6190" spans="24:24" x14ac:dyDescent="0.25">
      <c r="X6190" s="256"/>
    </row>
    <row r="6191" spans="24:24" x14ac:dyDescent="0.25">
      <c r="X6191" s="256"/>
    </row>
    <row r="6192" spans="24:24" x14ac:dyDescent="0.25">
      <c r="X6192" s="256"/>
    </row>
    <row r="6193" spans="24:24" x14ac:dyDescent="0.25">
      <c r="X6193" s="256"/>
    </row>
    <row r="6194" spans="24:24" x14ac:dyDescent="0.25">
      <c r="X6194" s="256"/>
    </row>
    <row r="6195" spans="24:24" x14ac:dyDescent="0.25">
      <c r="X6195" s="256"/>
    </row>
    <row r="6196" spans="24:24" x14ac:dyDescent="0.25">
      <c r="X6196" s="256"/>
    </row>
    <row r="6197" spans="24:24" x14ac:dyDescent="0.25">
      <c r="X6197" s="256"/>
    </row>
    <row r="6198" spans="24:24" x14ac:dyDescent="0.25">
      <c r="X6198" s="256"/>
    </row>
    <row r="6199" spans="24:24" x14ac:dyDescent="0.25">
      <c r="X6199" s="256"/>
    </row>
    <row r="6200" spans="24:24" x14ac:dyDescent="0.25">
      <c r="X6200" s="256"/>
    </row>
    <row r="6201" spans="24:24" x14ac:dyDescent="0.25">
      <c r="X6201" s="256"/>
    </row>
    <row r="6202" spans="24:24" x14ac:dyDescent="0.25">
      <c r="X6202" s="256"/>
    </row>
    <row r="6203" spans="24:24" x14ac:dyDescent="0.25">
      <c r="X6203" s="256"/>
    </row>
    <row r="6204" spans="24:24" x14ac:dyDescent="0.25">
      <c r="X6204" s="256"/>
    </row>
    <row r="6205" spans="24:24" x14ac:dyDescent="0.25">
      <c r="X6205" s="256"/>
    </row>
    <row r="6206" spans="24:24" x14ac:dyDescent="0.25">
      <c r="X6206" s="256"/>
    </row>
    <row r="6207" spans="24:24" x14ac:dyDescent="0.25">
      <c r="X6207" s="256"/>
    </row>
    <row r="6208" spans="24:24" x14ac:dyDescent="0.25">
      <c r="X6208" s="256"/>
    </row>
    <row r="6209" spans="24:24" x14ac:dyDescent="0.25">
      <c r="X6209" s="256"/>
    </row>
    <row r="6210" spans="24:24" x14ac:dyDescent="0.25">
      <c r="X6210" s="256"/>
    </row>
    <row r="6211" spans="24:24" x14ac:dyDescent="0.25">
      <c r="X6211" s="256"/>
    </row>
    <row r="6212" spans="24:24" x14ac:dyDescent="0.25">
      <c r="X6212" s="256"/>
    </row>
    <row r="6213" spans="24:24" x14ac:dyDescent="0.25">
      <c r="X6213" s="256"/>
    </row>
    <row r="6214" spans="24:24" x14ac:dyDescent="0.25">
      <c r="X6214" s="256"/>
    </row>
    <row r="6215" spans="24:24" x14ac:dyDescent="0.25">
      <c r="X6215" s="256"/>
    </row>
    <row r="6216" spans="24:24" x14ac:dyDescent="0.25">
      <c r="X6216" s="256"/>
    </row>
    <row r="6217" spans="24:24" x14ac:dyDescent="0.25">
      <c r="X6217" s="256"/>
    </row>
    <row r="6218" spans="24:24" x14ac:dyDescent="0.25">
      <c r="X6218" s="256"/>
    </row>
    <row r="6219" spans="24:24" x14ac:dyDescent="0.25">
      <c r="X6219" s="256"/>
    </row>
    <row r="6220" spans="24:24" x14ac:dyDescent="0.25">
      <c r="X6220" s="256"/>
    </row>
    <row r="6221" spans="24:24" x14ac:dyDescent="0.25">
      <c r="X6221" s="256"/>
    </row>
    <row r="6222" spans="24:24" x14ac:dyDescent="0.25">
      <c r="X6222" s="256"/>
    </row>
    <row r="6223" spans="24:24" x14ac:dyDescent="0.25">
      <c r="X6223" s="256"/>
    </row>
    <row r="6224" spans="24:24" x14ac:dyDescent="0.25">
      <c r="X6224" s="256"/>
    </row>
    <row r="6225" spans="24:24" x14ac:dyDescent="0.25">
      <c r="X6225" s="256"/>
    </row>
    <row r="6226" spans="24:24" x14ac:dyDescent="0.25">
      <c r="X6226" s="256"/>
    </row>
    <row r="6227" spans="24:24" x14ac:dyDescent="0.25">
      <c r="X6227" s="256"/>
    </row>
    <row r="6228" spans="24:24" x14ac:dyDescent="0.25">
      <c r="X6228" s="256"/>
    </row>
    <row r="6229" spans="24:24" x14ac:dyDescent="0.25">
      <c r="X6229" s="256"/>
    </row>
    <row r="6230" spans="24:24" x14ac:dyDescent="0.25">
      <c r="X6230" s="256"/>
    </row>
    <row r="6231" spans="24:24" x14ac:dyDescent="0.25">
      <c r="X6231" s="256"/>
    </row>
    <row r="6232" spans="24:24" x14ac:dyDescent="0.25">
      <c r="X6232" s="256"/>
    </row>
    <row r="6233" spans="24:24" x14ac:dyDescent="0.25">
      <c r="X6233" s="256"/>
    </row>
    <row r="6234" spans="24:24" x14ac:dyDescent="0.25">
      <c r="X6234" s="256"/>
    </row>
    <row r="6235" spans="24:24" x14ac:dyDescent="0.25">
      <c r="X6235" s="256"/>
    </row>
    <row r="6236" spans="24:24" x14ac:dyDescent="0.25">
      <c r="X6236" s="256"/>
    </row>
    <row r="6237" spans="24:24" x14ac:dyDescent="0.25">
      <c r="X6237" s="256"/>
    </row>
    <row r="6238" spans="24:24" x14ac:dyDescent="0.25">
      <c r="X6238" s="256"/>
    </row>
    <row r="6239" spans="24:24" x14ac:dyDescent="0.25">
      <c r="X6239" s="256"/>
    </row>
    <row r="6240" spans="24:24" x14ac:dyDescent="0.25">
      <c r="X6240" s="256"/>
    </row>
    <row r="6241" spans="24:24" x14ac:dyDescent="0.25">
      <c r="X6241" s="256"/>
    </row>
    <row r="6242" spans="24:24" x14ac:dyDescent="0.25">
      <c r="X6242" s="256"/>
    </row>
    <row r="6243" spans="24:24" x14ac:dyDescent="0.25">
      <c r="X6243" s="256"/>
    </row>
    <row r="6244" spans="24:24" x14ac:dyDescent="0.25">
      <c r="X6244" s="256"/>
    </row>
    <row r="6245" spans="24:24" x14ac:dyDescent="0.25">
      <c r="X6245" s="256"/>
    </row>
    <row r="6246" spans="24:24" x14ac:dyDescent="0.25">
      <c r="X6246" s="256"/>
    </row>
    <row r="6247" spans="24:24" x14ac:dyDescent="0.25">
      <c r="X6247" s="256"/>
    </row>
    <row r="6248" spans="24:24" x14ac:dyDescent="0.25">
      <c r="X6248" s="256"/>
    </row>
    <row r="6249" spans="24:24" x14ac:dyDescent="0.25">
      <c r="X6249" s="256"/>
    </row>
    <row r="6250" spans="24:24" x14ac:dyDescent="0.25">
      <c r="X6250" s="256"/>
    </row>
    <row r="6251" spans="24:24" x14ac:dyDescent="0.25">
      <c r="X6251" s="256"/>
    </row>
    <row r="6252" spans="24:24" x14ac:dyDescent="0.25">
      <c r="X6252" s="256"/>
    </row>
    <row r="6253" spans="24:24" x14ac:dyDescent="0.25">
      <c r="X6253" s="256"/>
    </row>
    <row r="6254" spans="24:24" x14ac:dyDescent="0.25">
      <c r="X6254" s="256"/>
    </row>
    <row r="6255" spans="24:24" x14ac:dyDescent="0.25">
      <c r="X6255" s="256"/>
    </row>
    <row r="6256" spans="24:24" x14ac:dyDescent="0.25">
      <c r="X6256" s="256"/>
    </row>
    <row r="6257" spans="24:24" x14ac:dyDescent="0.25">
      <c r="X6257" s="256"/>
    </row>
    <row r="6258" spans="24:24" x14ac:dyDescent="0.25">
      <c r="X6258" s="256"/>
    </row>
    <row r="6259" spans="24:24" x14ac:dyDescent="0.25">
      <c r="X6259" s="256"/>
    </row>
    <row r="6260" spans="24:24" x14ac:dyDescent="0.25">
      <c r="X6260" s="256"/>
    </row>
    <row r="6261" spans="24:24" x14ac:dyDescent="0.25">
      <c r="X6261" s="256"/>
    </row>
    <row r="6262" spans="24:24" x14ac:dyDescent="0.25">
      <c r="X6262" s="256"/>
    </row>
    <row r="6263" spans="24:24" x14ac:dyDescent="0.25">
      <c r="X6263" s="256"/>
    </row>
    <row r="6264" spans="24:24" x14ac:dyDescent="0.25">
      <c r="X6264" s="256"/>
    </row>
    <row r="6265" spans="24:24" x14ac:dyDescent="0.25">
      <c r="X6265" s="256"/>
    </row>
    <row r="6266" spans="24:24" x14ac:dyDescent="0.25">
      <c r="X6266" s="256"/>
    </row>
    <row r="6267" spans="24:24" x14ac:dyDescent="0.25">
      <c r="X6267" s="256"/>
    </row>
    <row r="6268" spans="24:24" x14ac:dyDescent="0.25">
      <c r="X6268" s="256"/>
    </row>
    <row r="6269" spans="24:24" x14ac:dyDescent="0.25">
      <c r="X6269" s="256"/>
    </row>
    <row r="6270" spans="24:24" x14ac:dyDescent="0.25">
      <c r="X6270" s="256"/>
    </row>
    <row r="6271" spans="24:24" x14ac:dyDescent="0.25">
      <c r="X6271" s="256"/>
    </row>
    <row r="6272" spans="24:24" x14ac:dyDescent="0.25">
      <c r="X6272" s="256"/>
    </row>
    <row r="6273" spans="24:24" x14ac:dyDescent="0.25">
      <c r="X6273" s="256"/>
    </row>
    <row r="6274" spans="24:24" x14ac:dyDescent="0.25">
      <c r="X6274" s="256"/>
    </row>
    <row r="6275" spans="24:24" x14ac:dyDescent="0.25">
      <c r="X6275" s="256"/>
    </row>
    <row r="6276" spans="24:24" x14ac:dyDescent="0.25">
      <c r="X6276" s="256"/>
    </row>
    <row r="6277" spans="24:24" x14ac:dyDescent="0.25">
      <c r="X6277" s="256"/>
    </row>
    <row r="6278" spans="24:24" x14ac:dyDescent="0.25">
      <c r="X6278" s="256"/>
    </row>
    <row r="6279" spans="24:24" x14ac:dyDescent="0.25">
      <c r="X6279" s="256"/>
    </row>
    <row r="6280" spans="24:24" x14ac:dyDescent="0.25">
      <c r="X6280" s="256"/>
    </row>
    <row r="6281" spans="24:24" x14ac:dyDescent="0.25">
      <c r="X6281" s="256"/>
    </row>
    <row r="6282" spans="24:24" x14ac:dyDescent="0.25">
      <c r="X6282" s="256"/>
    </row>
    <row r="6283" spans="24:24" x14ac:dyDescent="0.25">
      <c r="X6283" s="256"/>
    </row>
    <row r="6284" spans="24:24" x14ac:dyDescent="0.25">
      <c r="X6284" s="256"/>
    </row>
    <row r="6285" spans="24:24" x14ac:dyDescent="0.25">
      <c r="X6285" s="256"/>
    </row>
    <row r="6286" spans="24:24" x14ac:dyDescent="0.25">
      <c r="X6286" s="256"/>
    </row>
    <row r="6287" spans="24:24" x14ac:dyDescent="0.25">
      <c r="X6287" s="256"/>
    </row>
    <row r="6288" spans="24:24" x14ac:dyDescent="0.25">
      <c r="X6288" s="256"/>
    </row>
    <row r="6289" spans="24:24" x14ac:dyDescent="0.25">
      <c r="X6289" s="256"/>
    </row>
    <row r="6290" spans="24:24" x14ac:dyDescent="0.25">
      <c r="X6290" s="256"/>
    </row>
    <row r="6291" spans="24:24" x14ac:dyDescent="0.25">
      <c r="X6291" s="256"/>
    </row>
    <row r="6292" spans="24:24" x14ac:dyDescent="0.25">
      <c r="X6292" s="256"/>
    </row>
    <row r="6293" spans="24:24" x14ac:dyDescent="0.25">
      <c r="X6293" s="256"/>
    </row>
    <row r="6294" spans="24:24" x14ac:dyDescent="0.25">
      <c r="X6294" s="256"/>
    </row>
    <row r="6295" spans="24:24" x14ac:dyDescent="0.25">
      <c r="X6295" s="256"/>
    </row>
    <row r="6296" spans="24:24" x14ac:dyDescent="0.25">
      <c r="X6296" s="256"/>
    </row>
    <row r="6297" spans="24:24" x14ac:dyDescent="0.25">
      <c r="X6297" s="256"/>
    </row>
    <row r="6298" spans="24:24" x14ac:dyDescent="0.25">
      <c r="X6298" s="256"/>
    </row>
    <row r="6299" spans="24:24" x14ac:dyDescent="0.25">
      <c r="X6299" s="256"/>
    </row>
    <row r="6300" spans="24:24" x14ac:dyDescent="0.25">
      <c r="X6300" s="256"/>
    </row>
    <row r="6301" spans="24:24" x14ac:dyDescent="0.25">
      <c r="X6301" s="256"/>
    </row>
    <row r="6302" spans="24:24" x14ac:dyDescent="0.25">
      <c r="X6302" s="256"/>
    </row>
    <row r="6303" spans="24:24" x14ac:dyDescent="0.25">
      <c r="X6303" s="256"/>
    </row>
    <row r="6304" spans="24:24" x14ac:dyDescent="0.25">
      <c r="X6304" s="256"/>
    </row>
    <row r="6305" spans="24:24" x14ac:dyDescent="0.25">
      <c r="X6305" s="256"/>
    </row>
    <row r="6306" spans="24:24" x14ac:dyDescent="0.25">
      <c r="X6306" s="256"/>
    </row>
    <row r="6307" spans="24:24" x14ac:dyDescent="0.25">
      <c r="X6307" s="256"/>
    </row>
    <row r="6308" spans="24:24" x14ac:dyDescent="0.25">
      <c r="X6308" s="256"/>
    </row>
    <row r="6309" spans="24:24" x14ac:dyDescent="0.25">
      <c r="X6309" s="256"/>
    </row>
    <row r="6310" spans="24:24" x14ac:dyDescent="0.25">
      <c r="X6310" s="256"/>
    </row>
    <row r="6311" spans="24:24" x14ac:dyDescent="0.25">
      <c r="X6311" s="256"/>
    </row>
    <row r="6312" spans="24:24" x14ac:dyDescent="0.25">
      <c r="X6312" s="256"/>
    </row>
    <row r="6313" spans="24:24" x14ac:dyDescent="0.25">
      <c r="X6313" s="256"/>
    </row>
    <row r="6314" spans="24:24" x14ac:dyDescent="0.25">
      <c r="X6314" s="256"/>
    </row>
    <row r="6315" spans="24:24" x14ac:dyDescent="0.25">
      <c r="X6315" s="256"/>
    </row>
    <row r="6316" spans="24:24" x14ac:dyDescent="0.25">
      <c r="X6316" s="256"/>
    </row>
    <row r="6317" spans="24:24" x14ac:dyDescent="0.25">
      <c r="X6317" s="256"/>
    </row>
    <row r="6318" spans="24:24" x14ac:dyDescent="0.25">
      <c r="X6318" s="256"/>
    </row>
    <row r="6319" spans="24:24" x14ac:dyDescent="0.25">
      <c r="X6319" s="256"/>
    </row>
    <row r="6320" spans="24:24" x14ac:dyDescent="0.25">
      <c r="X6320" s="256"/>
    </row>
    <row r="6321" spans="24:24" x14ac:dyDescent="0.25">
      <c r="X6321" s="256"/>
    </row>
    <row r="6322" spans="24:24" x14ac:dyDescent="0.25">
      <c r="X6322" s="256"/>
    </row>
    <row r="6323" spans="24:24" x14ac:dyDescent="0.25">
      <c r="X6323" s="256"/>
    </row>
    <row r="6324" spans="24:24" x14ac:dyDescent="0.25">
      <c r="X6324" s="256"/>
    </row>
    <row r="6325" spans="24:24" x14ac:dyDescent="0.25">
      <c r="X6325" s="256"/>
    </row>
    <row r="6326" spans="24:24" x14ac:dyDescent="0.25">
      <c r="X6326" s="256"/>
    </row>
    <row r="6327" spans="24:24" x14ac:dyDescent="0.25">
      <c r="X6327" s="256"/>
    </row>
    <row r="6328" spans="24:24" x14ac:dyDescent="0.25">
      <c r="X6328" s="256"/>
    </row>
    <row r="6329" spans="24:24" x14ac:dyDescent="0.25">
      <c r="X6329" s="256"/>
    </row>
    <row r="6330" spans="24:24" x14ac:dyDescent="0.25">
      <c r="X6330" s="256"/>
    </row>
    <row r="6331" spans="24:24" x14ac:dyDescent="0.25">
      <c r="X6331" s="256"/>
    </row>
    <row r="6332" spans="24:24" x14ac:dyDescent="0.25">
      <c r="X6332" s="256"/>
    </row>
    <row r="6333" spans="24:24" x14ac:dyDescent="0.25">
      <c r="X6333" s="256"/>
    </row>
    <row r="6334" spans="24:24" x14ac:dyDescent="0.25">
      <c r="X6334" s="256"/>
    </row>
    <row r="6335" spans="24:24" x14ac:dyDescent="0.25">
      <c r="X6335" s="256"/>
    </row>
    <row r="6336" spans="24:24" x14ac:dyDescent="0.25">
      <c r="X6336" s="256"/>
    </row>
    <row r="6337" spans="24:24" x14ac:dyDescent="0.25">
      <c r="X6337" s="256"/>
    </row>
    <row r="6338" spans="24:24" x14ac:dyDescent="0.25">
      <c r="X6338" s="256"/>
    </row>
    <row r="6339" spans="24:24" x14ac:dyDescent="0.25">
      <c r="X6339" s="256"/>
    </row>
    <row r="6340" spans="24:24" x14ac:dyDescent="0.25">
      <c r="X6340" s="256"/>
    </row>
    <row r="6341" spans="24:24" x14ac:dyDescent="0.25">
      <c r="X6341" s="256"/>
    </row>
    <row r="6342" spans="24:24" x14ac:dyDescent="0.25">
      <c r="X6342" s="256"/>
    </row>
    <row r="6343" spans="24:24" x14ac:dyDescent="0.25">
      <c r="X6343" s="256"/>
    </row>
    <row r="6344" spans="24:24" x14ac:dyDescent="0.25">
      <c r="X6344" s="256"/>
    </row>
    <row r="6345" spans="24:24" x14ac:dyDescent="0.25">
      <c r="X6345" s="256"/>
    </row>
    <row r="6346" spans="24:24" x14ac:dyDescent="0.25">
      <c r="X6346" s="256"/>
    </row>
    <row r="6347" spans="24:24" x14ac:dyDescent="0.25">
      <c r="X6347" s="256"/>
    </row>
    <row r="6348" spans="24:24" x14ac:dyDescent="0.25">
      <c r="X6348" s="256"/>
    </row>
    <row r="6349" spans="24:24" x14ac:dyDescent="0.25">
      <c r="X6349" s="256"/>
    </row>
    <row r="6350" spans="24:24" x14ac:dyDescent="0.25">
      <c r="X6350" s="256"/>
    </row>
    <row r="6351" spans="24:24" x14ac:dyDescent="0.25">
      <c r="X6351" s="256"/>
    </row>
    <row r="6352" spans="24:24" x14ac:dyDescent="0.25">
      <c r="X6352" s="256"/>
    </row>
    <row r="6353" spans="24:24" x14ac:dyDescent="0.25">
      <c r="X6353" s="256"/>
    </row>
    <row r="6354" spans="24:24" x14ac:dyDescent="0.25">
      <c r="X6354" s="256"/>
    </row>
    <row r="6355" spans="24:24" x14ac:dyDescent="0.25">
      <c r="X6355" s="256"/>
    </row>
    <row r="6356" spans="24:24" x14ac:dyDescent="0.25">
      <c r="X6356" s="256"/>
    </row>
    <row r="6357" spans="24:24" x14ac:dyDescent="0.25">
      <c r="X6357" s="256"/>
    </row>
    <row r="6358" spans="24:24" x14ac:dyDescent="0.25">
      <c r="X6358" s="256"/>
    </row>
    <row r="6359" spans="24:24" x14ac:dyDescent="0.25">
      <c r="X6359" s="256"/>
    </row>
    <row r="6360" spans="24:24" x14ac:dyDescent="0.25">
      <c r="X6360" s="256"/>
    </row>
    <row r="6361" spans="24:24" x14ac:dyDescent="0.25">
      <c r="X6361" s="256"/>
    </row>
    <row r="6362" spans="24:24" x14ac:dyDescent="0.25">
      <c r="X6362" s="256"/>
    </row>
    <row r="6363" spans="24:24" x14ac:dyDescent="0.25">
      <c r="X6363" s="256"/>
    </row>
    <row r="6364" spans="24:24" x14ac:dyDescent="0.25">
      <c r="X6364" s="256"/>
    </row>
    <row r="6365" spans="24:24" x14ac:dyDescent="0.25">
      <c r="X6365" s="256"/>
    </row>
    <row r="6366" spans="24:24" x14ac:dyDescent="0.25">
      <c r="X6366" s="256"/>
    </row>
    <row r="6367" spans="24:24" x14ac:dyDescent="0.25">
      <c r="X6367" s="256"/>
    </row>
    <row r="6368" spans="24:24" x14ac:dyDescent="0.25">
      <c r="X6368" s="256"/>
    </row>
    <row r="6369" spans="24:24" x14ac:dyDescent="0.25">
      <c r="X6369" s="256"/>
    </row>
    <row r="6370" spans="24:24" x14ac:dyDescent="0.25">
      <c r="X6370" s="256"/>
    </row>
    <row r="6371" spans="24:24" x14ac:dyDescent="0.25">
      <c r="X6371" s="256"/>
    </row>
    <row r="6372" spans="24:24" x14ac:dyDescent="0.25">
      <c r="X6372" s="256"/>
    </row>
    <row r="6373" spans="24:24" x14ac:dyDescent="0.25">
      <c r="X6373" s="256"/>
    </row>
    <row r="6374" spans="24:24" x14ac:dyDescent="0.25">
      <c r="X6374" s="256"/>
    </row>
    <row r="6375" spans="24:24" x14ac:dyDescent="0.25">
      <c r="X6375" s="256"/>
    </row>
    <row r="6376" spans="24:24" x14ac:dyDescent="0.25">
      <c r="X6376" s="256"/>
    </row>
    <row r="6377" spans="24:24" x14ac:dyDescent="0.25">
      <c r="X6377" s="256"/>
    </row>
    <row r="6378" spans="24:24" x14ac:dyDescent="0.25">
      <c r="X6378" s="256"/>
    </row>
    <row r="6379" spans="24:24" x14ac:dyDescent="0.25">
      <c r="X6379" s="256"/>
    </row>
    <row r="6380" spans="24:24" x14ac:dyDescent="0.25">
      <c r="X6380" s="256"/>
    </row>
    <row r="6381" spans="24:24" x14ac:dyDescent="0.25">
      <c r="X6381" s="256"/>
    </row>
    <row r="6382" spans="24:24" x14ac:dyDescent="0.25">
      <c r="X6382" s="256"/>
    </row>
    <row r="6383" spans="24:24" x14ac:dyDescent="0.25">
      <c r="X6383" s="256"/>
    </row>
    <row r="6384" spans="24:24" x14ac:dyDescent="0.25">
      <c r="X6384" s="256"/>
    </row>
    <row r="6385" spans="24:24" x14ac:dyDescent="0.25">
      <c r="X6385" s="256"/>
    </row>
    <row r="6386" spans="24:24" x14ac:dyDescent="0.25">
      <c r="X6386" s="256"/>
    </row>
    <row r="6387" spans="24:24" x14ac:dyDescent="0.25">
      <c r="X6387" s="256"/>
    </row>
    <row r="6388" spans="24:24" x14ac:dyDescent="0.25">
      <c r="X6388" s="256"/>
    </row>
    <row r="6389" spans="24:24" x14ac:dyDescent="0.25">
      <c r="X6389" s="256"/>
    </row>
    <row r="6390" spans="24:24" x14ac:dyDescent="0.25">
      <c r="X6390" s="256"/>
    </row>
    <row r="6391" spans="24:24" x14ac:dyDescent="0.25">
      <c r="X6391" s="256"/>
    </row>
    <row r="6392" spans="24:24" x14ac:dyDescent="0.25">
      <c r="X6392" s="256"/>
    </row>
    <row r="6393" spans="24:24" x14ac:dyDescent="0.25">
      <c r="X6393" s="256"/>
    </row>
    <row r="6394" spans="24:24" x14ac:dyDescent="0.25">
      <c r="X6394" s="256"/>
    </row>
    <row r="6395" spans="24:24" x14ac:dyDescent="0.25">
      <c r="X6395" s="256"/>
    </row>
    <row r="6396" spans="24:24" x14ac:dyDescent="0.25">
      <c r="X6396" s="256"/>
    </row>
    <row r="6397" spans="24:24" x14ac:dyDescent="0.25">
      <c r="X6397" s="256"/>
    </row>
    <row r="6398" spans="24:24" x14ac:dyDescent="0.25">
      <c r="X6398" s="256"/>
    </row>
    <row r="6399" spans="24:24" x14ac:dyDescent="0.25">
      <c r="X6399" s="256"/>
    </row>
    <row r="6400" spans="24:24" x14ac:dyDescent="0.25">
      <c r="X6400" s="256"/>
    </row>
    <row r="6401" spans="24:24" x14ac:dyDescent="0.25">
      <c r="X6401" s="256"/>
    </row>
    <row r="6402" spans="24:24" x14ac:dyDescent="0.25">
      <c r="X6402" s="256"/>
    </row>
    <row r="6403" spans="24:24" x14ac:dyDescent="0.25">
      <c r="X6403" s="256"/>
    </row>
    <row r="6404" spans="24:24" x14ac:dyDescent="0.25">
      <c r="X6404" s="256"/>
    </row>
    <row r="6405" spans="24:24" x14ac:dyDescent="0.25">
      <c r="X6405" s="256"/>
    </row>
    <row r="6406" spans="24:24" x14ac:dyDescent="0.25">
      <c r="X6406" s="256"/>
    </row>
    <row r="6407" spans="24:24" x14ac:dyDescent="0.25">
      <c r="X6407" s="256"/>
    </row>
    <row r="6408" spans="24:24" x14ac:dyDescent="0.25">
      <c r="X6408" s="256"/>
    </row>
    <row r="6409" spans="24:24" x14ac:dyDescent="0.25">
      <c r="X6409" s="256"/>
    </row>
    <row r="6410" spans="24:24" x14ac:dyDescent="0.25">
      <c r="X6410" s="256"/>
    </row>
    <row r="6411" spans="24:24" x14ac:dyDescent="0.25">
      <c r="X6411" s="256"/>
    </row>
    <row r="6412" spans="24:24" x14ac:dyDescent="0.25">
      <c r="X6412" s="256"/>
    </row>
    <row r="6413" spans="24:24" x14ac:dyDescent="0.25">
      <c r="X6413" s="256"/>
    </row>
    <row r="6414" spans="24:24" x14ac:dyDescent="0.25">
      <c r="X6414" s="256"/>
    </row>
    <row r="6415" spans="24:24" x14ac:dyDescent="0.25">
      <c r="X6415" s="256"/>
    </row>
    <row r="6416" spans="24:24" x14ac:dyDescent="0.25">
      <c r="X6416" s="256"/>
    </row>
    <row r="6417" spans="24:24" x14ac:dyDescent="0.25">
      <c r="X6417" s="256"/>
    </row>
    <row r="6418" spans="24:24" x14ac:dyDescent="0.25">
      <c r="X6418" s="256"/>
    </row>
    <row r="6419" spans="24:24" x14ac:dyDescent="0.25">
      <c r="X6419" s="256"/>
    </row>
    <row r="6420" spans="24:24" x14ac:dyDescent="0.25">
      <c r="X6420" s="256"/>
    </row>
    <row r="6421" spans="24:24" x14ac:dyDescent="0.25">
      <c r="X6421" s="256"/>
    </row>
    <row r="6422" spans="24:24" x14ac:dyDescent="0.25">
      <c r="X6422" s="256"/>
    </row>
    <row r="6423" spans="24:24" x14ac:dyDescent="0.25">
      <c r="X6423" s="256"/>
    </row>
    <row r="6424" spans="24:24" x14ac:dyDescent="0.25">
      <c r="X6424" s="256"/>
    </row>
    <row r="6425" spans="24:24" x14ac:dyDescent="0.25">
      <c r="X6425" s="256"/>
    </row>
    <row r="6426" spans="24:24" x14ac:dyDescent="0.25">
      <c r="X6426" s="256"/>
    </row>
    <row r="6427" spans="24:24" x14ac:dyDescent="0.25">
      <c r="X6427" s="256"/>
    </row>
    <row r="6428" spans="24:24" x14ac:dyDescent="0.25">
      <c r="X6428" s="256"/>
    </row>
    <row r="6429" spans="24:24" x14ac:dyDescent="0.25">
      <c r="X6429" s="256"/>
    </row>
    <row r="6430" spans="24:24" x14ac:dyDescent="0.25">
      <c r="X6430" s="256"/>
    </row>
    <row r="6431" spans="24:24" x14ac:dyDescent="0.25">
      <c r="X6431" s="256"/>
    </row>
    <row r="6432" spans="24:24" x14ac:dyDescent="0.25">
      <c r="X6432" s="256"/>
    </row>
    <row r="6433" spans="24:24" x14ac:dyDescent="0.25">
      <c r="X6433" s="256"/>
    </row>
    <row r="6434" spans="24:24" x14ac:dyDescent="0.25">
      <c r="X6434" s="256"/>
    </row>
    <row r="6435" spans="24:24" x14ac:dyDescent="0.25">
      <c r="X6435" s="256"/>
    </row>
    <row r="6436" spans="24:24" x14ac:dyDescent="0.25">
      <c r="X6436" s="256"/>
    </row>
    <row r="6437" spans="24:24" x14ac:dyDescent="0.25">
      <c r="X6437" s="256"/>
    </row>
    <row r="6438" spans="24:24" x14ac:dyDescent="0.25">
      <c r="X6438" s="256"/>
    </row>
    <row r="6439" spans="24:24" x14ac:dyDescent="0.25">
      <c r="X6439" s="256"/>
    </row>
    <row r="6440" spans="24:24" x14ac:dyDescent="0.25">
      <c r="X6440" s="256"/>
    </row>
    <row r="6441" spans="24:24" x14ac:dyDescent="0.25">
      <c r="X6441" s="256"/>
    </row>
    <row r="6442" spans="24:24" x14ac:dyDescent="0.25">
      <c r="X6442" s="256"/>
    </row>
    <row r="6443" spans="24:24" x14ac:dyDescent="0.25">
      <c r="X6443" s="256"/>
    </row>
    <row r="6444" spans="24:24" x14ac:dyDescent="0.25">
      <c r="X6444" s="256"/>
    </row>
    <row r="6445" spans="24:24" x14ac:dyDescent="0.25">
      <c r="X6445" s="256"/>
    </row>
    <row r="6446" spans="24:24" x14ac:dyDescent="0.25">
      <c r="X6446" s="256"/>
    </row>
    <row r="6447" spans="24:24" x14ac:dyDescent="0.25">
      <c r="X6447" s="256"/>
    </row>
    <row r="6448" spans="24:24" x14ac:dyDescent="0.25">
      <c r="X6448" s="256"/>
    </row>
    <row r="6449" spans="24:24" x14ac:dyDescent="0.25">
      <c r="X6449" s="256"/>
    </row>
    <row r="6450" spans="24:24" x14ac:dyDescent="0.25">
      <c r="X6450" s="256"/>
    </row>
    <row r="6451" spans="24:24" x14ac:dyDescent="0.25">
      <c r="X6451" s="256"/>
    </row>
    <row r="6452" spans="24:24" x14ac:dyDescent="0.25">
      <c r="X6452" s="256"/>
    </row>
    <row r="6453" spans="24:24" x14ac:dyDescent="0.25">
      <c r="X6453" s="256"/>
    </row>
    <row r="6454" spans="24:24" x14ac:dyDescent="0.25">
      <c r="X6454" s="256"/>
    </row>
    <row r="6455" spans="24:24" x14ac:dyDescent="0.25">
      <c r="X6455" s="256"/>
    </row>
    <row r="6456" spans="24:24" x14ac:dyDescent="0.25">
      <c r="X6456" s="256"/>
    </row>
    <row r="6457" spans="24:24" x14ac:dyDescent="0.25">
      <c r="X6457" s="256"/>
    </row>
    <row r="6458" spans="24:24" x14ac:dyDescent="0.25">
      <c r="X6458" s="256"/>
    </row>
    <row r="6459" spans="24:24" x14ac:dyDescent="0.25">
      <c r="X6459" s="256"/>
    </row>
    <row r="6460" spans="24:24" x14ac:dyDescent="0.25">
      <c r="X6460" s="256"/>
    </row>
    <row r="6461" spans="24:24" x14ac:dyDescent="0.25">
      <c r="X6461" s="256"/>
    </row>
    <row r="6462" spans="24:24" x14ac:dyDescent="0.25">
      <c r="X6462" s="256"/>
    </row>
    <row r="6463" spans="24:24" x14ac:dyDescent="0.25">
      <c r="X6463" s="256"/>
    </row>
    <row r="6464" spans="24:24" x14ac:dyDescent="0.25">
      <c r="X6464" s="256"/>
    </row>
    <row r="6465" spans="24:24" x14ac:dyDescent="0.25">
      <c r="X6465" s="256"/>
    </row>
    <row r="6466" spans="24:24" x14ac:dyDescent="0.25">
      <c r="X6466" s="256"/>
    </row>
    <row r="6467" spans="24:24" x14ac:dyDescent="0.25">
      <c r="X6467" s="256"/>
    </row>
    <row r="6468" spans="24:24" x14ac:dyDescent="0.25">
      <c r="X6468" s="256"/>
    </row>
    <row r="6469" spans="24:24" x14ac:dyDescent="0.25">
      <c r="X6469" s="256"/>
    </row>
    <row r="6470" spans="24:24" x14ac:dyDescent="0.25">
      <c r="X6470" s="256"/>
    </row>
    <row r="6471" spans="24:24" x14ac:dyDescent="0.25">
      <c r="X6471" s="256"/>
    </row>
    <row r="6472" spans="24:24" x14ac:dyDescent="0.25">
      <c r="X6472" s="256"/>
    </row>
    <row r="6473" spans="24:24" x14ac:dyDescent="0.25">
      <c r="X6473" s="256"/>
    </row>
    <row r="6474" spans="24:24" x14ac:dyDescent="0.25">
      <c r="X6474" s="256"/>
    </row>
    <row r="6475" spans="24:24" x14ac:dyDescent="0.25">
      <c r="X6475" s="256"/>
    </row>
    <row r="6476" spans="24:24" x14ac:dyDescent="0.25">
      <c r="X6476" s="256"/>
    </row>
    <row r="6477" spans="24:24" x14ac:dyDescent="0.25">
      <c r="X6477" s="256"/>
    </row>
    <row r="6478" spans="24:24" x14ac:dyDescent="0.25">
      <c r="X6478" s="256"/>
    </row>
    <row r="6479" spans="24:24" x14ac:dyDescent="0.25">
      <c r="X6479" s="256"/>
    </row>
    <row r="6480" spans="24:24" x14ac:dyDescent="0.25">
      <c r="X6480" s="256"/>
    </row>
    <row r="6481" spans="24:24" x14ac:dyDescent="0.25">
      <c r="X6481" s="256"/>
    </row>
    <row r="6482" spans="24:24" x14ac:dyDescent="0.25">
      <c r="X6482" s="256"/>
    </row>
    <row r="6483" spans="24:24" x14ac:dyDescent="0.25">
      <c r="X6483" s="256"/>
    </row>
    <row r="6484" spans="24:24" x14ac:dyDescent="0.25">
      <c r="X6484" s="256"/>
    </row>
    <row r="6485" spans="24:24" x14ac:dyDescent="0.25">
      <c r="X6485" s="256"/>
    </row>
    <row r="6486" spans="24:24" x14ac:dyDescent="0.25">
      <c r="X6486" s="256"/>
    </row>
    <row r="6487" spans="24:24" x14ac:dyDescent="0.25">
      <c r="X6487" s="256"/>
    </row>
    <row r="6488" spans="24:24" x14ac:dyDescent="0.25">
      <c r="X6488" s="256"/>
    </row>
    <row r="6489" spans="24:24" x14ac:dyDescent="0.25">
      <c r="X6489" s="256"/>
    </row>
    <row r="6490" spans="24:24" x14ac:dyDescent="0.25">
      <c r="X6490" s="256"/>
    </row>
    <row r="6491" spans="24:24" x14ac:dyDescent="0.25">
      <c r="X6491" s="256"/>
    </row>
    <row r="6492" spans="24:24" x14ac:dyDescent="0.25">
      <c r="X6492" s="256"/>
    </row>
    <row r="6493" spans="24:24" x14ac:dyDescent="0.25">
      <c r="X6493" s="256"/>
    </row>
    <row r="6494" spans="24:24" x14ac:dyDescent="0.25">
      <c r="X6494" s="256"/>
    </row>
    <row r="6495" spans="24:24" x14ac:dyDescent="0.25">
      <c r="X6495" s="256"/>
    </row>
    <row r="6496" spans="24:24" x14ac:dyDescent="0.25">
      <c r="X6496" s="256"/>
    </row>
    <row r="6497" spans="24:24" x14ac:dyDescent="0.25">
      <c r="X6497" s="256"/>
    </row>
    <row r="6498" spans="24:24" x14ac:dyDescent="0.25">
      <c r="X6498" s="256"/>
    </row>
    <row r="6499" spans="24:24" x14ac:dyDescent="0.25">
      <c r="X6499" s="256"/>
    </row>
    <row r="6500" spans="24:24" x14ac:dyDescent="0.25">
      <c r="X6500" s="256"/>
    </row>
    <row r="6501" spans="24:24" x14ac:dyDescent="0.25">
      <c r="X6501" s="256"/>
    </row>
    <row r="6502" spans="24:24" x14ac:dyDescent="0.25">
      <c r="X6502" s="256"/>
    </row>
    <row r="6503" spans="24:24" x14ac:dyDescent="0.25">
      <c r="X6503" s="256"/>
    </row>
    <row r="6504" spans="24:24" x14ac:dyDescent="0.25">
      <c r="X6504" s="256"/>
    </row>
    <row r="6505" spans="24:24" x14ac:dyDescent="0.25">
      <c r="X6505" s="256"/>
    </row>
    <row r="6506" spans="24:24" x14ac:dyDescent="0.25">
      <c r="X6506" s="256"/>
    </row>
    <row r="6507" spans="24:24" x14ac:dyDescent="0.25">
      <c r="X6507" s="256"/>
    </row>
    <row r="6508" spans="24:24" x14ac:dyDescent="0.25">
      <c r="X6508" s="256"/>
    </row>
    <row r="6509" spans="24:24" x14ac:dyDescent="0.25">
      <c r="X6509" s="256"/>
    </row>
    <row r="6510" spans="24:24" x14ac:dyDescent="0.25">
      <c r="X6510" s="256"/>
    </row>
    <row r="6511" spans="24:24" x14ac:dyDescent="0.25">
      <c r="X6511" s="256"/>
    </row>
    <row r="6512" spans="24:24" x14ac:dyDescent="0.25">
      <c r="X6512" s="256"/>
    </row>
    <row r="6513" spans="24:24" x14ac:dyDescent="0.25">
      <c r="X6513" s="256"/>
    </row>
    <row r="6514" spans="24:24" x14ac:dyDescent="0.25">
      <c r="X6514" s="256"/>
    </row>
    <row r="6515" spans="24:24" x14ac:dyDescent="0.25">
      <c r="X6515" s="256"/>
    </row>
    <row r="6516" spans="24:24" x14ac:dyDescent="0.25">
      <c r="X6516" s="256"/>
    </row>
    <row r="6517" spans="24:24" x14ac:dyDescent="0.25">
      <c r="X6517" s="256"/>
    </row>
    <row r="6518" spans="24:24" x14ac:dyDescent="0.25">
      <c r="X6518" s="256"/>
    </row>
    <row r="6519" spans="24:24" x14ac:dyDescent="0.25">
      <c r="X6519" s="256"/>
    </row>
    <row r="6520" spans="24:24" x14ac:dyDescent="0.25">
      <c r="X6520" s="256"/>
    </row>
    <row r="6521" spans="24:24" x14ac:dyDescent="0.25">
      <c r="X6521" s="256"/>
    </row>
    <row r="6522" spans="24:24" x14ac:dyDescent="0.25">
      <c r="X6522" s="256"/>
    </row>
    <row r="6523" spans="24:24" x14ac:dyDescent="0.25">
      <c r="X6523" s="256"/>
    </row>
    <row r="6524" spans="24:24" x14ac:dyDescent="0.25">
      <c r="X6524" s="256"/>
    </row>
    <row r="6525" spans="24:24" x14ac:dyDescent="0.25">
      <c r="X6525" s="256"/>
    </row>
    <row r="6526" spans="24:24" x14ac:dyDescent="0.25">
      <c r="X6526" s="256"/>
    </row>
    <row r="6527" spans="24:24" x14ac:dyDescent="0.25">
      <c r="X6527" s="256"/>
    </row>
    <row r="6528" spans="24:24" x14ac:dyDescent="0.25">
      <c r="X6528" s="256"/>
    </row>
    <row r="6529" spans="24:24" x14ac:dyDescent="0.25">
      <c r="X6529" s="256"/>
    </row>
    <row r="6530" spans="24:24" x14ac:dyDescent="0.25">
      <c r="X6530" s="256"/>
    </row>
    <row r="6531" spans="24:24" x14ac:dyDescent="0.25">
      <c r="X6531" s="256"/>
    </row>
    <row r="6532" spans="24:24" x14ac:dyDescent="0.25">
      <c r="X6532" s="256"/>
    </row>
    <row r="6533" spans="24:24" x14ac:dyDescent="0.25">
      <c r="X6533" s="256"/>
    </row>
    <row r="6534" spans="24:24" x14ac:dyDescent="0.25">
      <c r="X6534" s="256"/>
    </row>
    <row r="6535" spans="24:24" x14ac:dyDescent="0.25">
      <c r="X6535" s="256"/>
    </row>
    <row r="6536" spans="24:24" x14ac:dyDescent="0.25">
      <c r="X6536" s="256"/>
    </row>
    <row r="6537" spans="24:24" x14ac:dyDescent="0.25">
      <c r="X6537" s="256"/>
    </row>
    <row r="6538" spans="24:24" x14ac:dyDescent="0.25">
      <c r="X6538" s="256"/>
    </row>
    <row r="6539" spans="24:24" x14ac:dyDescent="0.25">
      <c r="X6539" s="256"/>
    </row>
    <row r="6540" spans="24:24" x14ac:dyDescent="0.25">
      <c r="X6540" s="256"/>
    </row>
    <row r="6541" spans="24:24" x14ac:dyDescent="0.25">
      <c r="X6541" s="256"/>
    </row>
    <row r="6542" spans="24:24" x14ac:dyDescent="0.25">
      <c r="X6542" s="256"/>
    </row>
    <row r="6543" spans="24:24" x14ac:dyDescent="0.25">
      <c r="X6543" s="256"/>
    </row>
    <row r="6544" spans="24:24" x14ac:dyDescent="0.25">
      <c r="X6544" s="256"/>
    </row>
    <row r="6545" spans="24:24" x14ac:dyDescent="0.25">
      <c r="X6545" s="256"/>
    </row>
    <row r="6546" spans="24:24" x14ac:dyDescent="0.25">
      <c r="X6546" s="256"/>
    </row>
    <row r="6547" spans="24:24" x14ac:dyDescent="0.25">
      <c r="X6547" s="256"/>
    </row>
    <row r="6548" spans="24:24" x14ac:dyDescent="0.25">
      <c r="X6548" s="256"/>
    </row>
    <row r="6549" spans="24:24" x14ac:dyDescent="0.25">
      <c r="X6549" s="256"/>
    </row>
    <row r="6550" spans="24:24" x14ac:dyDescent="0.25">
      <c r="X6550" s="256"/>
    </row>
    <row r="6551" spans="24:24" x14ac:dyDescent="0.25">
      <c r="X6551" s="256"/>
    </row>
    <row r="6552" spans="24:24" x14ac:dyDescent="0.25">
      <c r="X6552" s="256"/>
    </row>
    <row r="6553" spans="24:24" x14ac:dyDescent="0.25">
      <c r="X6553" s="256"/>
    </row>
    <row r="6554" spans="24:24" x14ac:dyDescent="0.25">
      <c r="X6554" s="256"/>
    </row>
    <row r="6555" spans="24:24" x14ac:dyDescent="0.25">
      <c r="X6555" s="256"/>
    </row>
    <row r="6556" spans="24:24" x14ac:dyDescent="0.25">
      <c r="X6556" s="256"/>
    </row>
    <row r="6557" spans="24:24" x14ac:dyDescent="0.25">
      <c r="X6557" s="256"/>
    </row>
    <row r="6558" spans="24:24" x14ac:dyDescent="0.25">
      <c r="X6558" s="256"/>
    </row>
    <row r="6559" spans="24:24" x14ac:dyDescent="0.25">
      <c r="X6559" s="256"/>
    </row>
    <row r="6560" spans="24:24" x14ac:dyDescent="0.25">
      <c r="X6560" s="256"/>
    </row>
    <row r="6561" spans="24:24" x14ac:dyDescent="0.25">
      <c r="X6561" s="256"/>
    </row>
    <row r="6562" spans="24:24" x14ac:dyDescent="0.25">
      <c r="X6562" s="256"/>
    </row>
    <row r="6563" spans="24:24" x14ac:dyDescent="0.25">
      <c r="X6563" s="256"/>
    </row>
    <row r="6564" spans="24:24" x14ac:dyDescent="0.25">
      <c r="X6564" s="256"/>
    </row>
    <row r="6565" spans="24:24" x14ac:dyDescent="0.25">
      <c r="X6565" s="256"/>
    </row>
    <row r="6566" spans="24:24" x14ac:dyDescent="0.25">
      <c r="X6566" s="256"/>
    </row>
    <row r="6567" spans="24:24" x14ac:dyDescent="0.25">
      <c r="X6567" s="256"/>
    </row>
    <row r="6568" spans="24:24" x14ac:dyDescent="0.25">
      <c r="X6568" s="256"/>
    </row>
    <row r="6569" spans="24:24" x14ac:dyDescent="0.25">
      <c r="X6569" s="256"/>
    </row>
    <row r="6570" spans="24:24" x14ac:dyDescent="0.25">
      <c r="X6570" s="256"/>
    </row>
    <row r="6571" spans="24:24" x14ac:dyDescent="0.25">
      <c r="X6571" s="256"/>
    </row>
    <row r="6572" spans="24:24" x14ac:dyDescent="0.25">
      <c r="X6572" s="256"/>
    </row>
    <row r="6573" spans="24:24" x14ac:dyDescent="0.25">
      <c r="X6573" s="256"/>
    </row>
    <row r="6574" spans="24:24" x14ac:dyDescent="0.25">
      <c r="X6574" s="256"/>
    </row>
    <row r="6575" spans="24:24" x14ac:dyDescent="0.25">
      <c r="X6575" s="256"/>
    </row>
    <row r="6576" spans="24:24" x14ac:dyDescent="0.25">
      <c r="X6576" s="256"/>
    </row>
    <row r="6577" spans="24:24" x14ac:dyDescent="0.25">
      <c r="X6577" s="256"/>
    </row>
    <row r="6578" spans="24:24" x14ac:dyDescent="0.25">
      <c r="X6578" s="256"/>
    </row>
    <row r="6579" spans="24:24" x14ac:dyDescent="0.25">
      <c r="X6579" s="256"/>
    </row>
    <row r="6580" spans="24:24" x14ac:dyDescent="0.25">
      <c r="X6580" s="256"/>
    </row>
    <row r="6581" spans="24:24" x14ac:dyDescent="0.25">
      <c r="X6581" s="256"/>
    </row>
    <row r="6582" spans="24:24" x14ac:dyDescent="0.25">
      <c r="X6582" s="256"/>
    </row>
    <row r="6583" spans="24:24" x14ac:dyDescent="0.25">
      <c r="X6583" s="256"/>
    </row>
    <row r="6584" spans="24:24" x14ac:dyDescent="0.25">
      <c r="X6584" s="256"/>
    </row>
    <row r="6585" spans="24:24" x14ac:dyDescent="0.25">
      <c r="X6585" s="256"/>
    </row>
    <row r="6586" spans="24:24" x14ac:dyDescent="0.25">
      <c r="X6586" s="256"/>
    </row>
    <row r="6587" spans="24:24" x14ac:dyDescent="0.25">
      <c r="X6587" s="256"/>
    </row>
    <row r="6588" spans="24:24" x14ac:dyDescent="0.25">
      <c r="X6588" s="256"/>
    </row>
    <row r="6589" spans="24:24" x14ac:dyDescent="0.25">
      <c r="X6589" s="256"/>
    </row>
    <row r="6590" spans="24:24" x14ac:dyDescent="0.25">
      <c r="X6590" s="256"/>
    </row>
    <row r="6591" spans="24:24" x14ac:dyDescent="0.25">
      <c r="X6591" s="256"/>
    </row>
    <row r="6592" spans="24:24" x14ac:dyDescent="0.25">
      <c r="X6592" s="256"/>
    </row>
    <row r="6593" spans="24:24" x14ac:dyDescent="0.25">
      <c r="X6593" s="256"/>
    </row>
    <row r="6594" spans="24:24" x14ac:dyDescent="0.25">
      <c r="X6594" s="256"/>
    </row>
    <row r="6595" spans="24:24" x14ac:dyDescent="0.25">
      <c r="X6595" s="256"/>
    </row>
    <row r="6596" spans="24:24" x14ac:dyDescent="0.25">
      <c r="X6596" s="256"/>
    </row>
    <row r="6597" spans="24:24" x14ac:dyDescent="0.25">
      <c r="X6597" s="256"/>
    </row>
    <row r="6598" spans="24:24" x14ac:dyDescent="0.25">
      <c r="X6598" s="256"/>
    </row>
    <row r="6599" spans="24:24" x14ac:dyDescent="0.25">
      <c r="X6599" s="256"/>
    </row>
    <row r="6600" spans="24:24" x14ac:dyDescent="0.25">
      <c r="X6600" s="256"/>
    </row>
    <row r="6601" spans="24:24" x14ac:dyDescent="0.25">
      <c r="X6601" s="256"/>
    </row>
    <row r="6602" spans="24:24" x14ac:dyDescent="0.25">
      <c r="X6602" s="256"/>
    </row>
    <row r="6603" spans="24:24" x14ac:dyDescent="0.25">
      <c r="X6603" s="256"/>
    </row>
    <row r="6604" spans="24:24" x14ac:dyDescent="0.25">
      <c r="X6604" s="256"/>
    </row>
    <row r="6605" spans="24:24" x14ac:dyDescent="0.25">
      <c r="X6605" s="256"/>
    </row>
    <row r="6606" spans="24:24" x14ac:dyDescent="0.25">
      <c r="X6606" s="256"/>
    </row>
    <row r="6607" spans="24:24" x14ac:dyDescent="0.25">
      <c r="X6607" s="256"/>
    </row>
    <row r="6608" spans="24:24" x14ac:dyDescent="0.25">
      <c r="X6608" s="256"/>
    </row>
    <row r="6609" spans="24:24" x14ac:dyDescent="0.25">
      <c r="X6609" s="256"/>
    </row>
    <row r="6610" spans="24:24" x14ac:dyDescent="0.25">
      <c r="X6610" s="256"/>
    </row>
    <row r="6611" spans="24:24" x14ac:dyDescent="0.25">
      <c r="X6611" s="256"/>
    </row>
    <row r="6612" spans="24:24" x14ac:dyDescent="0.25">
      <c r="X6612" s="256"/>
    </row>
    <row r="6613" spans="24:24" x14ac:dyDescent="0.25">
      <c r="X6613" s="256"/>
    </row>
    <row r="6614" spans="24:24" x14ac:dyDescent="0.25">
      <c r="X6614" s="256"/>
    </row>
    <row r="6615" spans="24:24" x14ac:dyDescent="0.25">
      <c r="X6615" s="256"/>
    </row>
    <row r="6616" spans="24:24" x14ac:dyDescent="0.25">
      <c r="X6616" s="256"/>
    </row>
    <row r="6617" spans="24:24" x14ac:dyDescent="0.25">
      <c r="X6617" s="256"/>
    </row>
    <row r="6618" spans="24:24" x14ac:dyDescent="0.25">
      <c r="X6618" s="256"/>
    </row>
    <row r="6619" spans="24:24" x14ac:dyDescent="0.25">
      <c r="X6619" s="256"/>
    </row>
    <row r="6620" spans="24:24" x14ac:dyDescent="0.25">
      <c r="X6620" s="256"/>
    </row>
    <row r="6621" spans="24:24" x14ac:dyDescent="0.25">
      <c r="X6621" s="256"/>
    </row>
    <row r="6622" spans="24:24" x14ac:dyDescent="0.25">
      <c r="X6622" s="256"/>
    </row>
    <row r="6623" spans="24:24" x14ac:dyDescent="0.25">
      <c r="X6623" s="256"/>
    </row>
    <row r="6624" spans="24:24" x14ac:dyDescent="0.25">
      <c r="X6624" s="256"/>
    </row>
    <row r="6625" spans="24:24" x14ac:dyDescent="0.25">
      <c r="X6625" s="256"/>
    </row>
    <row r="6626" spans="24:24" x14ac:dyDescent="0.25">
      <c r="X6626" s="256"/>
    </row>
    <row r="6627" spans="24:24" x14ac:dyDescent="0.25">
      <c r="X6627" s="256"/>
    </row>
    <row r="6628" spans="24:24" x14ac:dyDescent="0.25">
      <c r="X6628" s="256"/>
    </row>
    <row r="6629" spans="24:24" x14ac:dyDescent="0.25">
      <c r="X6629" s="256"/>
    </row>
    <row r="6630" spans="24:24" x14ac:dyDescent="0.25">
      <c r="X6630" s="256"/>
    </row>
    <row r="6631" spans="24:24" x14ac:dyDescent="0.25">
      <c r="X6631" s="256"/>
    </row>
    <row r="6632" spans="24:24" x14ac:dyDescent="0.25">
      <c r="X6632" s="256"/>
    </row>
    <row r="6633" spans="24:24" x14ac:dyDescent="0.25">
      <c r="X6633" s="256"/>
    </row>
    <row r="6634" spans="24:24" x14ac:dyDescent="0.25">
      <c r="X6634" s="256"/>
    </row>
    <row r="6635" spans="24:24" x14ac:dyDescent="0.25">
      <c r="X6635" s="256"/>
    </row>
    <row r="6636" spans="24:24" x14ac:dyDescent="0.25">
      <c r="X6636" s="256"/>
    </row>
    <row r="6637" spans="24:24" x14ac:dyDescent="0.25">
      <c r="X6637" s="256"/>
    </row>
    <row r="6638" spans="24:24" x14ac:dyDescent="0.25">
      <c r="X6638" s="256"/>
    </row>
    <row r="6639" spans="24:24" x14ac:dyDescent="0.25">
      <c r="X6639" s="256"/>
    </row>
    <row r="6640" spans="24:24" x14ac:dyDescent="0.25">
      <c r="X6640" s="256"/>
    </row>
    <row r="6641" spans="24:24" x14ac:dyDescent="0.25">
      <c r="X6641" s="256"/>
    </row>
    <row r="6642" spans="24:24" x14ac:dyDescent="0.25">
      <c r="X6642" s="256"/>
    </row>
    <row r="6643" spans="24:24" x14ac:dyDescent="0.25">
      <c r="X6643" s="256"/>
    </row>
    <row r="6644" spans="24:24" x14ac:dyDescent="0.25">
      <c r="X6644" s="256"/>
    </row>
    <row r="6645" spans="24:24" x14ac:dyDescent="0.25">
      <c r="X6645" s="256"/>
    </row>
    <row r="6646" spans="24:24" x14ac:dyDescent="0.25">
      <c r="X6646" s="256"/>
    </row>
    <row r="6647" spans="24:24" x14ac:dyDescent="0.25">
      <c r="X6647" s="256"/>
    </row>
    <row r="6648" spans="24:24" x14ac:dyDescent="0.25">
      <c r="X6648" s="256"/>
    </row>
    <row r="6649" spans="24:24" x14ac:dyDescent="0.25">
      <c r="X6649" s="256"/>
    </row>
    <row r="6650" spans="24:24" x14ac:dyDescent="0.25">
      <c r="X6650" s="256"/>
    </row>
    <row r="6651" spans="24:24" x14ac:dyDescent="0.25">
      <c r="X6651" s="256"/>
    </row>
    <row r="6652" spans="24:24" x14ac:dyDescent="0.25">
      <c r="X6652" s="256"/>
    </row>
    <row r="6653" spans="24:24" x14ac:dyDescent="0.25">
      <c r="X6653" s="256"/>
    </row>
    <row r="6654" spans="24:24" x14ac:dyDescent="0.25">
      <c r="X6654" s="256"/>
    </row>
    <row r="6655" spans="24:24" x14ac:dyDescent="0.25">
      <c r="X6655" s="256"/>
    </row>
    <row r="6656" spans="24:24" x14ac:dyDescent="0.25">
      <c r="X6656" s="256"/>
    </row>
    <row r="6657" spans="24:24" x14ac:dyDescent="0.25">
      <c r="X6657" s="256"/>
    </row>
    <row r="6658" spans="24:24" x14ac:dyDescent="0.25">
      <c r="X6658" s="256"/>
    </row>
    <row r="6659" spans="24:24" x14ac:dyDescent="0.25">
      <c r="X6659" s="256"/>
    </row>
    <row r="6660" spans="24:24" x14ac:dyDescent="0.25">
      <c r="X6660" s="256"/>
    </row>
    <row r="6661" spans="24:24" x14ac:dyDescent="0.25">
      <c r="X6661" s="256"/>
    </row>
    <row r="6662" spans="24:24" x14ac:dyDescent="0.25">
      <c r="X6662" s="256"/>
    </row>
    <row r="6663" spans="24:24" x14ac:dyDescent="0.25">
      <c r="X6663" s="256"/>
    </row>
    <row r="6664" spans="24:24" x14ac:dyDescent="0.25">
      <c r="X6664" s="256"/>
    </row>
    <row r="6665" spans="24:24" x14ac:dyDescent="0.25">
      <c r="X6665" s="256"/>
    </row>
    <row r="6666" spans="24:24" x14ac:dyDescent="0.25">
      <c r="X6666" s="256"/>
    </row>
    <row r="6667" spans="24:24" x14ac:dyDescent="0.25">
      <c r="X6667" s="256"/>
    </row>
    <row r="6668" spans="24:24" x14ac:dyDescent="0.25">
      <c r="X6668" s="256"/>
    </row>
    <row r="6669" spans="24:24" x14ac:dyDescent="0.25">
      <c r="X6669" s="256"/>
    </row>
    <row r="6670" spans="24:24" x14ac:dyDescent="0.25">
      <c r="X6670" s="256"/>
    </row>
    <row r="6671" spans="24:24" x14ac:dyDescent="0.25">
      <c r="X6671" s="256"/>
    </row>
    <row r="6672" spans="24:24" x14ac:dyDescent="0.25">
      <c r="X6672" s="256"/>
    </row>
    <row r="6673" spans="24:24" x14ac:dyDescent="0.25">
      <c r="X6673" s="256"/>
    </row>
    <row r="6674" spans="24:24" x14ac:dyDescent="0.25">
      <c r="X6674" s="256"/>
    </row>
    <row r="6675" spans="24:24" x14ac:dyDescent="0.25">
      <c r="X6675" s="256"/>
    </row>
    <row r="6676" spans="24:24" x14ac:dyDescent="0.25">
      <c r="X6676" s="256"/>
    </row>
    <row r="6677" spans="24:24" x14ac:dyDescent="0.25">
      <c r="X6677" s="256"/>
    </row>
    <row r="6678" spans="24:24" x14ac:dyDescent="0.25">
      <c r="X6678" s="256"/>
    </row>
    <row r="6679" spans="24:24" x14ac:dyDescent="0.25">
      <c r="X6679" s="256"/>
    </row>
    <row r="6680" spans="24:24" x14ac:dyDescent="0.25">
      <c r="X6680" s="256"/>
    </row>
    <row r="6681" spans="24:24" x14ac:dyDescent="0.25">
      <c r="X6681" s="256"/>
    </row>
    <row r="6682" spans="24:24" x14ac:dyDescent="0.25">
      <c r="X6682" s="256"/>
    </row>
    <row r="6683" spans="24:24" x14ac:dyDescent="0.25">
      <c r="X6683" s="256"/>
    </row>
    <row r="6684" spans="24:24" x14ac:dyDescent="0.25">
      <c r="X6684" s="256"/>
    </row>
    <row r="6685" spans="24:24" x14ac:dyDescent="0.25">
      <c r="X6685" s="256"/>
    </row>
    <row r="6686" spans="24:24" x14ac:dyDescent="0.25">
      <c r="X6686" s="256"/>
    </row>
    <row r="6687" spans="24:24" x14ac:dyDescent="0.25">
      <c r="X6687" s="256"/>
    </row>
    <row r="6688" spans="24:24" x14ac:dyDescent="0.25">
      <c r="X6688" s="256"/>
    </row>
    <row r="6689" spans="24:24" x14ac:dyDescent="0.25">
      <c r="X6689" s="256"/>
    </row>
    <row r="6690" spans="24:24" x14ac:dyDescent="0.25">
      <c r="X6690" s="256"/>
    </row>
    <row r="6691" spans="24:24" x14ac:dyDescent="0.25">
      <c r="X6691" s="256"/>
    </row>
    <row r="6692" spans="24:24" x14ac:dyDescent="0.25">
      <c r="X6692" s="256"/>
    </row>
    <row r="6693" spans="24:24" x14ac:dyDescent="0.25">
      <c r="X6693" s="256"/>
    </row>
    <row r="6694" spans="24:24" x14ac:dyDescent="0.25">
      <c r="X6694" s="256"/>
    </row>
    <row r="6695" spans="24:24" x14ac:dyDescent="0.25">
      <c r="X6695" s="256"/>
    </row>
    <row r="6696" spans="24:24" x14ac:dyDescent="0.25">
      <c r="X6696" s="256"/>
    </row>
    <row r="6697" spans="24:24" x14ac:dyDescent="0.25">
      <c r="X6697" s="256"/>
    </row>
    <row r="6698" spans="24:24" x14ac:dyDescent="0.25">
      <c r="X6698" s="256"/>
    </row>
    <row r="6699" spans="24:24" x14ac:dyDescent="0.25">
      <c r="X6699" s="256"/>
    </row>
    <row r="6700" spans="24:24" x14ac:dyDescent="0.25">
      <c r="X6700" s="256"/>
    </row>
    <row r="6701" spans="24:24" x14ac:dyDescent="0.25">
      <c r="X6701" s="256"/>
    </row>
    <row r="6702" spans="24:24" x14ac:dyDescent="0.25">
      <c r="X6702" s="256"/>
    </row>
    <row r="6703" spans="24:24" x14ac:dyDescent="0.25">
      <c r="X6703" s="256"/>
    </row>
    <row r="6704" spans="24:24" x14ac:dyDescent="0.25">
      <c r="X6704" s="256"/>
    </row>
    <row r="6705" spans="24:24" x14ac:dyDescent="0.25">
      <c r="X6705" s="256"/>
    </row>
    <row r="6706" spans="24:24" x14ac:dyDescent="0.25">
      <c r="X6706" s="256"/>
    </row>
    <row r="6707" spans="24:24" x14ac:dyDescent="0.25">
      <c r="X6707" s="256"/>
    </row>
    <row r="6708" spans="24:24" x14ac:dyDescent="0.25">
      <c r="X6708" s="256"/>
    </row>
    <row r="6709" spans="24:24" x14ac:dyDescent="0.25">
      <c r="X6709" s="256"/>
    </row>
    <row r="6710" spans="24:24" x14ac:dyDescent="0.25">
      <c r="X6710" s="256"/>
    </row>
    <row r="6711" spans="24:24" x14ac:dyDescent="0.25">
      <c r="X6711" s="256"/>
    </row>
    <row r="6712" spans="24:24" x14ac:dyDescent="0.25">
      <c r="X6712" s="256"/>
    </row>
    <row r="6713" spans="24:24" x14ac:dyDescent="0.25">
      <c r="X6713" s="256"/>
    </row>
    <row r="6714" spans="24:24" x14ac:dyDescent="0.25">
      <c r="X6714" s="256"/>
    </row>
    <row r="6715" spans="24:24" x14ac:dyDescent="0.25">
      <c r="X6715" s="256"/>
    </row>
    <row r="6716" spans="24:24" x14ac:dyDescent="0.25">
      <c r="X6716" s="256"/>
    </row>
    <row r="6717" spans="24:24" x14ac:dyDescent="0.25">
      <c r="X6717" s="256"/>
    </row>
    <row r="6718" spans="24:24" x14ac:dyDescent="0.25">
      <c r="X6718" s="256"/>
    </row>
    <row r="6719" spans="24:24" x14ac:dyDescent="0.25">
      <c r="X6719" s="256"/>
    </row>
    <row r="6720" spans="24:24" x14ac:dyDescent="0.25">
      <c r="X6720" s="256"/>
    </row>
    <row r="6721" spans="24:24" x14ac:dyDescent="0.25">
      <c r="X6721" s="256"/>
    </row>
    <row r="6722" spans="24:24" x14ac:dyDescent="0.25">
      <c r="X6722" s="256"/>
    </row>
    <row r="6723" spans="24:24" x14ac:dyDescent="0.25">
      <c r="X6723" s="256"/>
    </row>
    <row r="6724" spans="24:24" x14ac:dyDescent="0.25">
      <c r="X6724" s="256"/>
    </row>
    <row r="6725" spans="24:24" x14ac:dyDescent="0.25">
      <c r="X6725" s="256"/>
    </row>
    <row r="6726" spans="24:24" x14ac:dyDescent="0.25">
      <c r="X6726" s="256"/>
    </row>
    <row r="6727" spans="24:24" x14ac:dyDescent="0.25">
      <c r="X6727" s="256"/>
    </row>
    <row r="6728" spans="24:24" x14ac:dyDescent="0.25">
      <c r="X6728" s="256"/>
    </row>
    <row r="6729" spans="24:24" x14ac:dyDescent="0.25">
      <c r="X6729" s="256"/>
    </row>
    <row r="6730" spans="24:24" x14ac:dyDescent="0.25">
      <c r="X6730" s="256"/>
    </row>
    <row r="6731" spans="24:24" x14ac:dyDescent="0.25">
      <c r="X6731" s="256"/>
    </row>
    <row r="6732" spans="24:24" x14ac:dyDescent="0.25">
      <c r="X6732" s="256"/>
    </row>
    <row r="6733" spans="24:24" x14ac:dyDescent="0.25">
      <c r="X6733" s="256"/>
    </row>
    <row r="6734" spans="24:24" x14ac:dyDescent="0.25">
      <c r="X6734" s="256"/>
    </row>
    <row r="6735" spans="24:24" x14ac:dyDescent="0.25">
      <c r="X6735" s="256"/>
    </row>
    <row r="6736" spans="24:24" x14ac:dyDescent="0.25">
      <c r="X6736" s="256"/>
    </row>
    <row r="6737" spans="24:24" x14ac:dyDescent="0.25">
      <c r="X6737" s="256"/>
    </row>
    <row r="6738" spans="24:24" x14ac:dyDescent="0.25">
      <c r="X6738" s="256"/>
    </row>
    <row r="6739" spans="24:24" x14ac:dyDescent="0.25">
      <c r="X6739" s="256"/>
    </row>
    <row r="6740" spans="24:24" x14ac:dyDescent="0.25">
      <c r="X6740" s="256"/>
    </row>
    <row r="6741" spans="24:24" x14ac:dyDescent="0.25">
      <c r="X6741" s="256"/>
    </row>
    <row r="6742" spans="24:24" x14ac:dyDescent="0.25">
      <c r="X6742" s="256"/>
    </row>
    <row r="6743" spans="24:24" x14ac:dyDescent="0.25">
      <c r="X6743" s="256"/>
    </row>
    <row r="6744" spans="24:24" x14ac:dyDescent="0.25">
      <c r="X6744" s="256"/>
    </row>
    <row r="6745" spans="24:24" x14ac:dyDescent="0.25">
      <c r="X6745" s="256"/>
    </row>
    <row r="6746" spans="24:24" x14ac:dyDescent="0.25">
      <c r="X6746" s="256"/>
    </row>
    <row r="6747" spans="24:24" x14ac:dyDescent="0.25">
      <c r="X6747" s="256"/>
    </row>
    <row r="6748" spans="24:24" x14ac:dyDescent="0.25">
      <c r="X6748" s="256"/>
    </row>
    <row r="6749" spans="24:24" x14ac:dyDescent="0.25">
      <c r="X6749" s="256"/>
    </row>
    <row r="6750" spans="24:24" x14ac:dyDescent="0.25">
      <c r="X6750" s="256"/>
    </row>
    <row r="6751" spans="24:24" x14ac:dyDescent="0.25">
      <c r="X6751" s="256"/>
    </row>
    <row r="6752" spans="24:24" x14ac:dyDescent="0.25">
      <c r="X6752" s="256"/>
    </row>
    <row r="6753" spans="24:24" x14ac:dyDescent="0.25">
      <c r="X6753" s="256"/>
    </row>
    <row r="6754" spans="24:24" x14ac:dyDescent="0.25">
      <c r="X6754" s="256"/>
    </row>
    <row r="6755" spans="24:24" x14ac:dyDescent="0.25">
      <c r="X6755" s="256"/>
    </row>
    <row r="6756" spans="24:24" x14ac:dyDescent="0.25">
      <c r="X6756" s="256"/>
    </row>
    <row r="6757" spans="24:24" x14ac:dyDescent="0.25">
      <c r="X6757" s="256"/>
    </row>
    <row r="6758" spans="24:24" x14ac:dyDescent="0.25">
      <c r="X6758" s="256"/>
    </row>
    <row r="6759" spans="24:24" x14ac:dyDescent="0.25">
      <c r="X6759" s="256"/>
    </row>
    <row r="6760" spans="24:24" x14ac:dyDescent="0.25">
      <c r="X6760" s="256"/>
    </row>
    <row r="6761" spans="24:24" x14ac:dyDescent="0.25">
      <c r="X6761" s="256"/>
    </row>
    <row r="6762" spans="24:24" x14ac:dyDescent="0.25">
      <c r="X6762" s="256"/>
    </row>
    <row r="6763" spans="24:24" x14ac:dyDescent="0.25">
      <c r="X6763" s="256"/>
    </row>
    <row r="6764" spans="24:24" x14ac:dyDescent="0.25">
      <c r="X6764" s="256"/>
    </row>
    <row r="6765" spans="24:24" x14ac:dyDescent="0.25">
      <c r="X6765" s="256"/>
    </row>
    <row r="6766" spans="24:24" x14ac:dyDescent="0.25">
      <c r="X6766" s="256"/>
    </row>
    <row r="6767" spans="24:24" x14ac:dyDescent="0.25">
      <c r="X6767" s="256"/>
    </row>
    <row r="6768" spans="24:24" x14ac:dyDescent="0.25">
      <c r="X6768" s="256"/>
    </row>
    <row r="6769" spans="24:24" x14ac:dyDescent="0.25">
      <c r="X6769" s="256"/>
    </row>
    <row r="6770" spans="24:24" x14ac:dyDescent="0.25">
      <c r="X6770" s="256"/>
    </row>
    <row r="6771" spans="24:24" x14ac:dyDescent="0.25">
      <c r="X6771" s="256"/>
    </row>
    <row r="6772" spans="24:24" x14ac:dyDescent="0.25">
      <c r="X6772" s="256"/>
    </row>
    <row r="6773" spans="24:24" x14ac:dyDescent="0.25">
      <c r="X6773" s="256"/>
    </row>
    <row r="6774" spans="24:24" x14ac:dyDescent="0.25">
      <c r="X6774" s="256"/>
    </row>
    <row r="6775" spans="24:24" x14ac:dyDescent="0.25">
      <c r="X6775" s="256"/>
    </row>
    <row r="6776" spans="24:24" x14ac:dyDescent="0.25">
      <c r="X6776" s="256"/>
    </row>
    <row r="6777" spans="24:24" x14ac:dyDescent="0.25">
      <c r="X6777" s="256"/>
    </row>
    <row r="6778" spans="24:24" x14ac:dyDescent="0.25">
      <c r="X6778" s="256"/>
    </row>
    <row r="6779" spans="24:24" x14ac:dyDescent="0.25">
      <c r="X6779" s="256"/>
    </row>
    <row r="6780" spans="24:24" x14ac:dyDescent="0.25">
      <c r="X6780" s="256"/>
    </row>
    <row r="6781" spans="24:24" x14ac:dyDescent="0.25">
      <c r="X6781" s="256"/>
    </row>
    <row r="6782" spans="24:24" x14ac:dyDescent="0.25">
      <c r="X6782" s="256"/>
    </row>
    <row r="6783" spans="24:24" x14ac:dyDescent="0.25">
      <c r="X6783" s="256"/>
    </row>
    <row r="6784" spans="24:24" x14ac:dyDescent="0.25">
      <c r="X6784" s="256"/>
    </row>
    <row r="6785" spans="24:24" x14ac:dyDescent="0.25">
      <c r="X6785" s="256"/>
    </row>
    <row r="6786" spans="24:24" x14ac:dyDescent="0.25">
      <c r="X6786" s="256"/>
    </row>
    <row r="6787" spans="24:24" x14ac:dyDescent="0.25">
      <c r="X6787" s="256"/>
    </row>
    <row r="6788" spans="24:24" x14ac:dyDescent="0.25">
      <c r="X6788" s="256"/>
    </row>
    <row r="6789" spans="24:24" x14ac:dyDescent="0.25">
      <c r="X6789" s="256"/>
    </row>
    <row r="6790" spans="24:24" x14ac:dyDescent="0.25">
      <c r="X6790" s="256"/>
    </row>
    <row r="6791" spans="24:24" x14ac:dyDescent="0.25">
      <c r="X6791" s="256"/>
    </row>
    <row r="6792" spans="24:24" x14ac:dyDescent="0.25">
      <c r="X6792" s="256"/>
    </row>
    <row r="6793" spans="24:24" x14ac:dyDescent="0.25">
      <c r="X6793" s="256"/>
    </row>
    <row r="6794" spans="24:24" x14ac:dyDescent="0.25">
      <c r="X6794" s="256"/>
    </row>
    <row r="6795" spans="24:24" x14ac:dyDescent="0.25">
      <c r="X6795" s="256"/>
    </row>
    <row r="6796" spans="24:24" x14ac:dyDescent="0.25">
      <c r="X6796" s="256"/>
    </row>
    <row r="6797" spans="24:24" x14ac:dyDescent="0.25">
      <c r="X6797" s="256"/>
    </row>
    <row r="6798" spans="24:24" x14ac:dyDescent="0.25">
      <c r="X6798" s="256"/>
    </row>
    <row r="6799" spans="24:24" x14ac:dyDescent="0.25">
      <c r="X6799" s="256"/>
    </row>
    <row r="6800" spans="24:24" x14ac:dyDescent="0.25">
      <c r="X6800" s="256"/>
    </row>
    <row r="6801" spans="24:24" x14ac:dyDescent="0.25">
      <c r="X6801" s="256"/>
    </row>
    <row r="6802" spans="24:24" x14ac:dyDescent="0.25">
      <c r="X6802" s="256"/>
    </row>
    <row r="6803" spans="24:24" x14ac:dyDescent="0.25">
      <c r="X6803" s="256"/>
    </row>
    <row r="6804" spans="24:24" x14ac:dyDescent="0.25">
      <c r="X6804" s="256"/>
    </row>
    <row r="6805" spans="24:24" x14ac:dyDescent="0.25">
      <c r="X6805" s="256"/>
    </row>
    <row r="6806" spans="24:24" x14ac:dyDescent="0.25">
      <c r="X6806" s="256"/>
    </row>
    <row r="6807" spans="24:24" x14ac:dyDescent="0.25">
      <c r="X6807" s="256"/>
    </row>
    <row r="6808" spans="24:24" x14ac:dyDescent="0.25">
      <c r="X6808" s="256"/>
    </row>
    <row r="6809" spans="24:24" x14ac:dyDescent="0.25">
      <c r="X6809" s="256"/>
    </row>
    <row r="6810" spans="24:24" x14ac:dyDescent="0.25">
      <c r="X6810" s="256"/>
    </row>
    <row r="6811" spans="24:24" x14ac:dyDescent="0.25">
      <c r="X6811" s="256"/>
    </row>
    <row r="6812" spans="24:24" x14ac:dyDescent="0.25">
      <c r="X6812" s="256"/>
    </row>
    <row r="6813" spans="24:24" x14ac:dyDescent="0.25">
      <c r="X6813" s="256"/>
    </row>
    <row r="6814" spans="24:24" x14ac:dyDescent="0.25">
      <c r="X6814" s="256"/>
    </row>
    <row r="6815" spans="24:24" x14ac:dyDescent="0.25">
      <c r="X6815" s="256"/>
    </row>
    <row r="6816" spans="24:24" x14ac:dyDescent="0.25">
      <c r="X6816" s="256"/>
    </row>
    <row r="6817" spans="24:24" x14ac:dyDescent="0.25">
      <c r="X6817" s="256"/>
    </row>
    <row r="6818" spans="24:24" x14ac:dyDescent="0.25">
      <c r="X6818" s="256"/>
    </row>
    <row r="6819" spans="24:24" x14ac:dyDescent="0.25">
      <c r="X6819" s="256"/>
    </row>
    <row r="6820" spans="24:24" x14ac:dyDescent="0.25">
      <c r="X6820" s="256"/>
    </row>
    <row r="6821" spans="24:24" x14ac:dyDescent="0.25">
      <c r="X6821" s="256"/>
    </row>
    <row r="6822" spans="24:24" x14ac:dyDescent="0.25">
      <c r="X6822" s="256"/>
    </row>
    <row r="6823" spans="24:24" x14ac:dyDescent="0.25">
      <c r="X6823" s="256"/>
    </row>
    <row r="6824" spans="24:24" x14ac:dyDescent="0.25">
      <c r="X6824" s="256"/>
    </row>
    <row r="6825" spans="24:24" x14ac:dyDescent="0.25">
      <c r="X6825" s="256"/>
    </row>
    <row r="6826" spans="24:24" x14ac:dyDescent="0.25">
      <c r="X6826" s="256"/>
    </row>
    <row r="6827" spans="24:24" x14ac:dyDescent="0.25">
      <c r="X6827" s="256"/>
    </row>
    <row r="6828" spans="24:24" x14ac:dyDescent="0.25">
      <c r="X6828" s="256"/>
    </row>
    <row r="6829" spans="24:24" x14ac:dyDescent="0.25">
      <c r="X6829" s="256"/>
    </row>
    <row r="6830" spans="24:24" x14ac:dyDescent="0.25">
      <c r="X6830" s="256"/>
    </row>
    <row r="6831" spans="24:24" x14ac:dyDescent="0.25">
      <c r="X6831" s="256"/>
    </row>
    <row r="6832" spans="24:24" x14ac:dyDescent="0.25">
      <c r="X6832" s="256"/>
    </row>
    <row r="6833" spans="24:24" x14ac:dyDescent="0.25">
      <c r="X6833" s="256"/>
    </row>
    <row r="6834" spans="24:24" x14ac:dyDescent="0.25">
      <c r="X6834" s="256"/>
    </row>
    <row r="6835" spans="24:24" x14ac:dyDescent="0.25">
      <c r="X6835" s="256"/>
    </row>
    <row r="6836" spans="24:24" x14ac:dyDescent="0.25">
      <c r="X6836" s="256"/>
    </row>
    <row r="6837" spans="24:24" x14ac:dyDescent="0.25">
      <c r="X6837" s="256"/>
    </row>
    <row r="6838" spans="24:24" x14ac:dyDescent="0.25">
      <c r="X6838" s="256"/>
    </row>
    <row r="6839" spans="24:24" x14ac:dyDescent="0.25">
      <c r="X6839" s="256"/>
    </row>
    <row r="6840" spans="24:24" x14ac:dyDescent="0.25">
      <c r="X6840" s="256"/>
    </row>
    <row r="6841" spans="24:24" x14ac:dyDescent="0.25">
      <c r="X6841" s="256"/>
    </row>
    <row r="6842" spans="24:24" x14ac:dyDescent="0.25">
      <c r="X6842" s="256"/>
    </row>
    <row r="6843" spans="24:24" x14ac:dyDescent="0.25">
      <c r="X6843" s="256"/>
    </row>
    <row r="6844" spans="24:24" x14ac:dyDescent="0.25">
      <c r="X6844" s="256"/>
    </row>
    <row r="6845" spans="24:24" x14ac:dyDescent="0.25">
      <c r="X6845" s="256"/>
    </row>
    <row r="6846" spans="24:24" x14ac:dyDescent="0.25">
      <c r="X6846" s="256"/>
    </row>
    <row r="6847" spans="24:24" x14ac:dyDescent="0.25">
      <c r="X6847" s="256"/>
    </row>
    <row r="6848" spans="24:24" x14ac:dyDescent="0.25">
      <c r="X6848" s="256"/>
    </row>
    <row r="6849" spans="24:24" x14ac:dyDescent="0.25">
      <c r="X6849" s="256"/>
    </row>
    <row r="6850" spans="24:24" x14ac:dyDescent="0.25">
      <c r="X6850" s="256"/>
    </row>
    <row r="6851" spans="24:24" x14ac:dyDescent="0.25">
      <c r="X6851" s="256"/>
    </row>
    <row r="6852" spans="24:24" x14ac:dyDescent="0.25">
      <c r="X6852" s="256"/>
    </row>
    <row r="6853" spans="24:24" x14ac:dyDescent="0.25">
      <c r="X6853" s="256"/>
    </row>
    <row r="6854" spans="24:24" x14ac:dyDescent="0.25">
      <c r="X6854" s="256"/>
    </row>
    <row r="6855" spans="24:24" x14ac:dyDescent="0.25">
      <c r="X6855" s="256"/>
    </row>
    <row r="6856" spans="24:24" x14ac:dyDescent="0.25">
      <c r="X6856" s="256"/>
    </row>
    <row r="6857" spans="24:24" x14ac:dyDescent="0.25">
      <c r="X6857" s="256"/>
    </row>
    <row r="6858" spans="24:24" x14ac:dyDescent="0.25">
      <c r="X6858" s="256"/>
    </row>
    <row r="6859" spans="24:24" x14ac:dyDescent="0.25">
      <c r="X6859" s="256"/>
    </row>
    <row r="6860" spans="24:24" x14ac:dyDescent="0.25">
      <c r="X6860" s="256"/>
    </row>
    <row r="6861" spans="24:24" x14ac:dyDescent="0.25">
      <c r="X6861" s="256"/>
    </row>
    <row r="6862" spans="24:24" x14ac:dyDescent="0.25">
      <c r="X6862" s="256"/>
    </row>
    <row r="6863" spans="24:24" x14ac:dyDescent="0.25">
      <c r="X6863" s="256"/>
    </row>
    <row r="6864" spans="24:24" x14ac:dyDescent="0.25">
      <c r="X6864" s="256"/>
    </row>
    <row r="6865" spans="24:24" x14ac:dyDescent="0.25">
      <c r="X6865" s="256"/>
    </row>
    <row r="6866" spans="24:24" x14ac:dyDescent="0.25">
      <c r="X6866" s="256"/>
    </row>
    <row r="6867" spans="24:24" x14ac:dyDescent="0.25">
      <c r="X6867" s="256"/>
    </row>
    <row r="6868" spans="24:24" x14ac:dyDescent="0.25">
      <c r="X6868" s="256"/>
    </row>
    <row r="6869" spans="24:24" x14ac:dyDescent="0.25">
      <c r="X6869" s="256"/>
    </row>
    <row r="6870" spans="24:24" x14ac:dyDescent="0.25">
      <c r="X6870" s="256"/>
    </row>
    <row r="6871" spans="24:24" x14ac:dyDescent="0.25">
      <c r="X6871" s="256"/>
    </row>
    <row r="6872" spans="24:24" x14ac:dyDescent="0.25">
      <c r="X6872" s="256"/>
    </row>
    <row r="6873" spans="24:24" x14ac:dyDescent="0.25">
      <c r="X6873" s="256"/>
    </row>
    <row r="6874" spans="24:24" x14ac:dyDescent="0.25">
      <c r="X6874" s="256"/>
    </row>
    <row r="6875" spans="24:24" x14ac:dyDescent="0.25">
      <c r="X6875" s="256"/>
    </row>
    <row r="6876" spans="24:24" x14ac:dyDescent="0.25">
      <c r="X6876" s="256"/>
    </row>
    <row r="6877" spans="24:24" x14ac:dyDescent="0.25">
      <c r="X6877" s="256"/>
    </row>
    <row r="6878" spans="24:24" x14ac:dyDescent="0.25">
      <c r="X6878" s="256"/>
    </row>
    <row r="6879" spans="24:24" x14ac:dyDescent="0.25">
      <c r="X6879" s="256"/>
    </row>
    <row r="6880" spans="24:24" x14ac:dyDescent="0.25">
      <c r="X6880" s="256"/>
    </row>
    <row r="6881" spans="24:24" x14ac:dyDescent="0.25">
      <c r="X6881" s="256"/>
    </row>
    <row r="6882" spans="24:24" x14ac:dyDescent="0.25">
      <c r="X6882" s="256"/>
    </row>
    <row r="6883" spans="24:24" x14ac:dyDescent="0.25">
      <c r="X6883" s="256"/>
    </row>
    <row r="6884" spans="24:24" x14ac:dyDescent="0.25">
      <c r="X6884" s="256"/>
    </row>
    <row r="6885" spans="24:24" x14ac:dyDescent="0.25">
      <c r="X6885" s="256"/>
    </row>
    <row r="6886" spans="24:24" x14ac:dyDescent="0.25">
      <c r="X6886" s="256"/>
    </row>
    <row r="6887" spans="24:24" x14ac:dyDescent="0.25">
      <c r="X6887" s="256"/>
    </row>
    <row r="6888" spans="24:24" x14ac:dyDescent="0.25">
      <c r="X6888" s="256"/>
    </row>
    <row r="6889" spans="24:24" x14ac:dyDescent="0.25">
      <c r="X6889" s="256"/>
    </row>
    <row r="6890" spans="24:24" x14ac:dyDescent="0.25">
      <c r="X6890" s="256"/>
    </row>
    <row r="6891" spans="24:24" x14ac:dyDescent="0.25">
      <c r="X6891" s="256"/>
    </row>
    <row r="6892" spans="24:24" x14ac:dyDescent="0.25">
      <c r="X6892" s="256"/>
    </row>
    <row r="6893" spans="24:24" x14ac:dyDescent="0.25">
      <c r="X6893" s="256"/>
    </row>
    <row r="6894" spans="24:24" x14ac:dyDescent="0.25">
      <c r="X6894" s="256"/>
    </row>
    <row r="6895" spans="24:24" x14ac:dyDescent="0.25">
      <c r="X6895" s="256"/>
    </row>
    <row r="6896" spans="24:24" x14ac:dyDescent="0.25">
      <c r="X6896" s="256"/>
    </row>
    <row r="6897" spans="24:24" x14ac:dyDescent="0.25">
      <c r="X6897" s="256"/>
    </row>
    <row r="6898" spans="24:24" x14ac:dyDescent="0.25">
      <c r="X6898" s="256"/>
    </row>
    <row r="6899" spans="24:24" x14ac:dyDescent="0.25">
      <c r="X6899" s="256"/>
    </row>
    <row r="6900" spans="24:24" x14ac:dyDescent="0.25">
      <c r="X6900" s="256"/>
    </row>
    <row r="6901" spans="24:24" x14ac:dyDescent="0.25">
      <c r="X6901" s="256"/>
    </row>
    <row r="6902" spans="24:24" x14ac:dyDescent="0.25">
      <c r="X6902" s="256"/>
    </row>
    <row r="6903" spans="24:24" x14ac:dyDescent="0.25">
      <c r="X6903" s="256"/>
    </row>
    <row r="6904" spans="24:24" x14ac:dyDescent="0.25">
      <c r="X6904" s="256"/>
    </row>
    <row r="6905" spans="24:24" x14ac:dyDescent="0.25">
      <c r="X6905" s="256"/>
    </row>
    <row r="6906" spans="24:24" x14ac:dyDescent="0.25">
      <c r="X6906" s="256"/>
    </row>
    <row r="6907" spans="24:24" x14ac:dyDescent="0.25">
      <c r="X6907" s="256"/>
    </row>
    <row r="6908" spans="24:24" x14ac:dyDescent="0.25">
      <c r="X6908" s="256"/>
    </row>
    <row r="6909" spans="24:24" x14ac:dyDescent="0.25">
      <c r="X6909" s="256"/>
    </row>
    <row r="6910" spans="24:24" x14ac:dyDescent="0.25">
      <c r="X6910" s="256"/>
    </row>
    <row r="6911" spans="24:24" x14ac:dyDescent="0.25">
      <c r="X6911" s="256"/>
    </row>
    <row r="6912" spans="24:24" x14ac:dyDescent="0.25">
      <c r="X6912" s="256"/>
    </row>
    <row r="6913" spans="24:24" x14ac:dyDescent="0.25">
      <c r="X6913" s="256"/>
    </row>
    <row r="6914" spans="24:24" x14ac:dyDescent="0.25">
      <c r="X6914" s="256"/>
    </row>
    <row r="6915" spans="24:24" x14ac:dyDescent="0.25">
      <c r="X6915" s="256"/>
    </row>
    <row r="6916" spans="24:24" x14ac:dyDescent="0.25">
      <c r="X6916" s="256"/>
    </row>
    <row r="6917" spans="24:24" x14ac:dyDescent="0.25">
      <c r="X6917" s="256"/>
    </row>
    <row r="6918" spans="24:24" x14ac:dyDescent="0.25">
      <c r="X6918" s="256"/>
    </row>
    <row r="6919" spans="24:24" x14ac:dyDescent="0.25">
      <c r="X6919" s="256"/>
    </row>
    <row r="6920" spans="24:24" x14ac:dyDescent="0.25">
      <c r="X6920" s="256"/>
    </row>
    <row r="6921" spans="24:24" x14ac:dyDescent="0.25">
      <c r="X6921" s="256"/>
    </row>
    <row r="6922" spans="24:24" x14ac:dyDescent="0.25">
      <c r="X6922" s="256"/>
    </row>
    <row r="6923" spans="24:24" x14ac:dyDescent="0.25">
      <c r="X6923" s="256"/>
    </row>
    <row r="6924" spans="24:24" x14ac:dyDescent="0.25">
      <c r="X6924" s="256"/>
    </row>
    <row r="6925" spans="24:24" x14ac:dyDescent="0.25">
      <c r="X6925" s="256"/>
    </row>
    <row r="6926" spans="24:24" x14ac:dyDescent="0.25">
      <c r="X6926" s="256"/>
    </row>
    <row r="6927" spans="24:24" x14ac:dyDescent="0.25">
      <c r="X6927" s="256"/>
    </row>
    <row r="6928" spans="24:24" x14ac:dyDescent="0.25">
      <c r="X6928" s="256"/>
    </row>
    <row r="6929" spans="24:24" x14ac:dyDescent="0.25">
      <c r="X6929" s="256"/>
    </row>
    <row r="6930" spans="24:24" x14ac:dyDescent="0.25">
      <c r="X6930" s="256"/>
    </row>
    <row r="6931" spans="24:24" x14ac:dyDescent="0.25">
      <c r="X6931" s="256"/>
    </row>
    <row r="6932" spans="24:24" x14ac:dyDescent="0.25">
      <c r="X6932" s="256"/>
    </row>
    <row r="6933" spans="24:24" x14ac:dyDescent="0.25">
      <c r="X6933" s="256"/>
    </row>
    <row r="6934" spans="24:24" x14ac:dyDescent="0.25">
      <c r="X6934" s="256"/>
    </row>
    <row r="6935" spans="24:24" x14ac:dyDescent="0.25">
      <c r="X6935" s="256"/>
    </row>
    <row r="6936" spans="24:24" x14ac:dyDescent="0.25">
      <c r="X6936" s="256"/>
    </row>
    <row r="6937" spans="24:24" x14ac:dyDescent="0.25">
      <c r="X6937" s="256"/>
    </row>
    <row r="6938" spans="24:24" x14ac:dyDescent="0.25">
      <c r="X6938" s="256"/>
    </row>
    <row r="6939" spans="24:24" x14ac:dyDescent="0.25">
      <c r="X6939" s="256"/>
    </row>
    <row r="6940" spans="24:24" x14ac:dyDescent="0.25">
      <c r="X6940" s="256"/>
    </row>
    <row r="6941" spans="24:24" x14ac:dyDescent="0.25">
      <c r="X6941" s="256"/>
    </row>
    <row r="6942" spans="24:24" x14ac:dyDescent="0.25">
      <c r="X6942" s="256"/>
    </row>
    <row r="6943" spans="24:24" x14ac:dyDescent="0.25">
      <c r="X6943" s="256"/>
    </row>
    <row r="6944" spans="24:24" x14ac:dyDescent="0.25">
      <c r="X6944" s="256"/>
    </row>
    <row r="6945" spans="24:24" x14ac:dyDescent="0.25">
      <c r="X6945" s="256"/>
    </row>
    <row r="6946" spans="24:24" x14ac:dyDescent="0.25">
      <c r="X6946" s="256"/>
    </row>
    <row r="6947" spans="24:24" x14ac:dyDescent="0.25">
      <c r="X6947" s="256"/>
    </row>
    <row r="6948" spans="24:24" x14ac:dyDescent="0.25">
      <c r="X6948" s="256"/>
    </row>
    <row r="6949" spans="24:24" x14ac:dyDescent="0.25">
      <c r="X6949" s="256"/>
    </row>
    <row r="6950" spans="24:24" x14ac:dyDescent="0.25">
      <c r="X6950" s="256"/>
    </row>
    <row r="6951" spans="24:24" x14ac:dyDescent="0.25">
      <c r="X6951" s="256"/>
    </row>
    <row r="6952" spans="24:24" x14ac:dyDescent="0.25">
      <c r="X6952" s="256"/>
    </row>
    <row r="6953" spans="24:24" x14ac:dyDescent="0.25">
      <c r="X6953" s="256"/>
    </row>
    <row r="6954" spans="24:24" x14ac:dyDescent="0.25">
      <c r="X6954" s="256"/>
    </row>
    <row r="6955" spans="24:24" x14ac:dyDescent="0.25">
      <c r="X6955" s="256"/>
    </row>
    <row r="6956" spans="24:24" x14ac:dyDescent="0.25">
      <c r="X6956" s="256"/>
    </row>
    <row r="6957" spans="24:24" x14ac:dyDescent="0.25">
      <c r="X6957" s="256"/>
    </row>
    <row r="6958" spans="24:24" x14ac:dyDescent="0.25">
      <c r="X6958" s="256"/>
    </row>
    <row r="6959" spans="24:24" x14ac:dyDescent="0.25">
      <c r="X6959" s="256"/>
    </row>
    <row r="6960" spans="24:24" x14ac:dyDescent="0.25">
      <c r="X6960" s="256"/>
    </row>
    <row r="6961" spans="24:24" x14ac:dyDescent="0.25">
      <c r="X6961" s="256"/>
    </row>
    <row r="6962" spans="24:24" x14ac:dyDescent="0.25">
      <c r="X6962" s="256"/>
    </row>
    <row r="6963" spans="24:24" x14ac:dyDescent="0.25">
      <c r="X6963" s="256"/>
    </row>
    <row r="6964" spans="24:24" x14ac:dyDescent="0.25">
      <c r="X6964" s="256"/>
    </row>
    <row r="6965" spans="24:24" x14ac:dyDescent="0.25">
      <c r="X6965" s="256"/>
    </row>
    <row r="6966" spans="24:24" x14ac:dyDescent="0.25">
      <c r="X6966" s="256"/>
    </row>
    <row r="6967" spans="24:24" x14ac:dyDescent="0.25">
      <c r="X6967" s="256"/>
    </row>
    <row r="6968" spans="24:24" x14ac:dyDescent="0.25">
      <c r="X6968" s="256"/>
    </row>
    <row r="6969" spans="24:24" x14ac:dyDescent="0.25">
      <c r="X6969" s="256"/>
    </row>
    <row r="6970" spans="24:24" x14ac:dyDescent="0.25">
      <c r="X6970" s="256"/>
    </row>
    <row r="6971" spans="24:24" x14ac:dyDescent="0.25">
      <c r="X6971" s="256"/>
    </row>
    <row r="6972" spans="24:24" x14ac:dyDescent="0.25">
      <c r="X6972" s="256"/>
    </row>
    <row r="6973" spans="24:24" x14ac:dyDescent="0.25">
      <c r="X6973" s="256"/>
    </row>
    <row r="6974" spans="24:24" x14ac:dyDescent="0.25">
      <c r="X6974" s="256"/>
    </row>
    <row r="6975" spans="24:24" x14ac:dyDescent="0.25">
      <c r="X6975" s="256"/>
    </row>
    <row r="6976" spans="24:24" x14ac:dyDescent="0.25">
      <c r="X6976" s="256"/>
    </row>
    <row r="6977" spans="24:24" x14ac:dyDescent="0.25">
      <c r="X6977" s="256"/>
    </row>
    <row r="6978" spans="24:24" x14ac:dyDescent="0.25">
      <c r="X6978" s="256"/>
    </row>
    <row r="6979" spans="24:24" x14ac:dyDescent="0.25">
      <c r="X6979" s="256"/>
    </row>
    <row r="6980" spans="24:24" x14ac:dyDescent="0.25">
      <c r="X6980" s="256"/>
    </row>
    <row r="6981" spans="24:24" x14ac:dyDescent="0.25">
      <c r="X6981" s="256"/>
    </row>
    <row r="6982" spans="24:24" x14ac:dyDescent="0.25">
      <c r="X6982" s="256"/>
    </row>
    <row r="6983" spans="24:24" x14ac:dyDescent="0.25">
      <c r="X6983" s="256"/>
    </row>
    <row r="6984" spans="24:24" x14ac:dyDescent="0.25">
      <c r="X6984" s="256"/>
    </row>
    <row r="6985" spans="24:24" x14ac:dyDescent="0.25">
      <c r="X6985" s="256"/>
    </row>
    <row r="6986" spans="24:24" x14ac:dyDescent="0.25">
      <c r="X6986" s="256"/>
    </row>
    <row r="6987" spans="24:24" x14ac:dyDescent="0.25">
      <c r="X6987" s="256"/>
    </row>
    <row r="6988" spans="24:24" x14ac:dyDescent="0.25">
      <c r="X6988" s="256"/>
    </row>
    <row r="6989" spans="24:24" x14ac:dyDescent="0.25">
      <c r="X6989" s="256"/>
    </row>
    <row r="6990" spans="24:24" x14ac:dyDescent="0.25">
      <c r="X6990" s="256"/>
    </row>
    <row r="6991" spans="24:24" x14ac:dyDescent="0.25">
      <c r="X6991" s="256"/>
    </row>
    <row r="6992" spans="24:24" x14ac:dyDescent="0.25">
      <c r="X6992" s="256"/>
    </row>
    <row r="6993" spans="24:24" x14ac:dyDescent="0.25">
      <c r="X6993" s="256"/>
    </row>
    <row r="6994" spans="24:24" x14ac:dyDescent="0.25">
      <c r="X6994" s="256"/>
    </row>
    <row r="6995" spans="24:24" x14ac:dyDescent="0.25">
      <c r="X6995" s="256"/>
    </row>
    <row r="6996" spans="24:24" x14ac:dyDescent="0.25">
      <c r="X6996" s="256"/>
    </row>
    <row r="6997" spans="24:24" x14ac:dyDescent="0.25">
      <c r="X6997" s="256"/>
    </row>
    <row r="6998" spans="24:24" x14ac:dyDescent="0.25">
      <c r="X6998" s="256"/>
    </row>
    <row r="6999" spans="24:24" x14ac:dyDescent="0.25">
      <c r="X6999" s="256"/>
    </row>
    <row r="7000" spans="24:24" x14ac:dyDescent="0.25">
      <c r="X7000" s="256"/>
    </row>
    <row r="7001" spans="24:24" x14ac:dyDescent="0.25">
      <c r="X7001" s="256"/>
    </row>
    <row r="7002" spans="24:24" x14ac:dyDescent="0.25">
      <c r="X7002" s="256"/>
    </row>
    <row r="7003" spans="24:24" x14ac:dyDescent="0.25">
      <c r="X7003" s="256"/>
    </row>
    <row r="7004" spans="24:24" x14ac:dyDescent="0.25">
      <c r="X7004" s="256"/>
    </row>
    <row r="7005" spans="24:24" x14ac:dyDescent="0.25">
      <c r="X7005" s="256"/>
    </row>
    <row r="7006" spans="24:24" x14ac:dyDescent="0.25">
      <c r="X7006" s="256"/>
    </row>
    <row r="7007" spans="24:24" x14ac:dyDescent="0.25">
      <c r="X7007" s="256"/>
    </row>
    <row r="7008" spans="24:24" x14ac:dyDescent="0.25">
      <c r="X7008" s="256"/>
    </row>
    <row r="7009" spans="24:24" x14ac:dyDescent="0.25">
      <c r="X7009" s="256"/>
    </row>
    <row r="7010" spans="24:24" x14ac:dyDescent="0.25">
      <c r="X7010" s="256"/>
    </row>
    <row r="7011" spans="24:24" x14ac:dyDescent="0.25">
      <c r="X7011" s="256"/>
    </row>
    <row r="7012" spans="24:24" x14ac:dyDescent="0.25">
      <c r="X7012" s="256"/>
    </row>
    <row r="7013" spans="24:24" x14ac:dyDescent="0.25">
      <c r="X7013" s="256"/>
    </row>
    <row r="7014" spans="24:24" x14ac:dyDescent="0.25">
      <c r="X7014" s="256"/>
    </row>
    <row r="7015" spans="24:24" x14ac:dyDescent="0.25">
      <c r="X7015" s="256"/>
    </row>
    <row r="7016" spans="24:24" x14ac:dyDescent="0.25">
      <c r="X7016" s="256"/>
    </row>
    <row r="7017" spans="24:24" x14ac:dyDescent="0.25">
      <c r="X7017" s="256"/>
    </row>
    <row r="7018" spans="24:24" x14ac:dyDescent="0.25">
      <c r="X7018" s="256"/>
    </row>
    <row r="7019" spans="24:24" x14ac:dyDescent="0.25">
      <c r="X7019" s="256"/>
    </row>
    <row r="7020" spans="24:24" x14ac:dyDescent="0.25">
      <c r="X7020" s="256"/>
    </row>
    <row r="7021" spans="24:24" x14ac:dyDescent="0.25">
      <c r="X7021" s="256"/>
    </row>
    <row r="7022" spans="24:24" x14ac:dyDescent="0.25">
      <c r="X7022" s="256"/>
    </row>
    <row r="7023" spans="24:24" x14ac:dyDescent="0.25">
      <c r="X7023" s="256"/>
    </row>
    <row r="7024" spans="24:24" x14ac:dyDescent="0.25">
      <c r="X7024" s="256"/>
    </row>
    <row r="7025" spans="24:24" x14ac:dyDescent="0.25">
      <c r="X7025" s="256"/>
    </row>
    <row r="7026" spans="24:24" x14ac:dyDescent="0.25">
      <c r="X7026" s="256"/>
    </row>
    <row r="7027" spans="24:24" x14ac:dyDescent="0.25">
      <c r="X7027" s="256"/>
    </row>
    <row r="7028" spans="24:24" x14ac:dyDescent="0.25">
      <c r="X7028" s="256"/>
    </row>
    <row r="7029" spans="24:24" x14ac:dyDescent="0.25">
      <c r="X7029" s="256"/>
    </row>
    <row r="7030" spans="24:24" x14ac:dyDescent="0.25">
      <c r="X7030" s="256"/>
    </row>
    <row r="7031" spans="24:24" x14ac:dyDescent="0.25">
      <c r="X7031" s="256"/>
    </row>
    <row r="7032" spans="24:24" x14ac:dyDescent="0.25">
      <c r="X7032" s="256"/>
    </row>
    <row r="7033" spans="24:24" x14ac:dyDescent="0.25">
      <c r="X7033" s="256"/>
    </row>
    <row r="7034" spans="24:24" x14ac:dyDescent="0.25">
      <c r="X7034" s="256"/>
    </row>
    <row r="7035" spans="24:24" x14ac:dyDescent="0.25">
      <c r="X7035" s="256"/>
    </row>
    <row r="7036" spans="24:24" x14ac:dyDescent="0.25">
      <c r="X7036" s="256"/>
    </row>
    <row r="7037" spans="24:24" x14ac:dyDescent="0.25">
      <c r="X7037" s="256"/>
    </row>
    <row r="7038" spans="24:24" x14ac:dyDescent="0.25">
      <c r="X7038" s="256"/>
    </row>
    <row r="7039" spans="24:24" x14ac:dyDescent="0.25">
      <c r="X7039" s="256"/>
    </row>
    <row r="7040" spans="24:24" x14ac:dyDescent="0.25">
      <c r="X7040" s="256"/>
    </row>
    <row r="7041" spans="24:24" x14ac:dyDescent="0.25">
      <c r="X7041" s="256"/>
    </row>
    <row r="7042" spans="24:24" x14ac:dyDescent="0.25">
      <c r="X7042" s="256"/>
    </row>
    <row r="7043" spans="24:24" x14ac:dyDescent="0.25">
      <c r="X7043" s="256"/>
    </row>
    <row r="7044" spans="24:24" x14ac:dyDescent="0.25">
      <c r="X7044" s="256"/>
    </row>
    <row r="7045" spans="24:24" x14ac:dyDescent="0.25">
      <c r="X7045" s="256"/>
    </row>
    <row r="7046" spans="24:24" x14ac:dyDescent="0.25">
      <c r="X7046" s="256"/>
    </row>
    <row r="7047" spans="24:24" x14ac:dyDescent="0.25">
      <c r="X7047" s="256"/>
    </row>
    <row r="7048" spans="24:24" x14ac:dyDescent="0.25">
      <c r="X7048" s="256"/>
    </row>
    <row r="7049" spans="24:24" x14ac:dyDescent="0.25">
      <c r="X7049" s="256"/>
    </row>
    <row r="7050" spans="24:24" x14ac:dyDescent="0.25">
      <c r="X7050" s="256"/>
    </row>
    <row r="7051" spans="24:24" x14ac:dyDescent="0.25">
      <c r="X7051" s="256"/>
    </row>
    <row r="7052" spans="24:24" x14ac:dyDescent="0.25">
      <c r="X7052" s="256"/>
    </row>
    <row r="7053" spans="24:24" x14ac:dyDescent="0.25">
      <c r="X7053" s="256"/>
    </row>
    <row r="7054" spans="24:24" x14ac:dyDescent="0.25">
      <c r="X7054" s="256"/>
    </row>
    <row r="7055" spans="24:24" x14ac:dyDescent="0.25">
      <c r="X7055" s="256"/>
    </row>
    <row r="7056" spans="24:24" x14ac:dyDescent="0.25">
      <c r="X7056" s="256"/>
    </row>
    <row r="7057" spans="24:24" x14ac:dyDescent="0.25">
      <c r="X7057" s="256"/>
    </row>
    <row r="7058" spans="24:24" x14ac:dyDescent="0.25">
      <c r="X7058" s="256"/>
    </row>
    <row r="7059" spans="24:24" x14ac:dyDescent="0.25">
      <c r="X7059" s="256"/>
    </row>
    <row r="7060" spans="24:24" x14ac:dyDescent="0.25">
      <c r="X7060" s="256"/>
    </row>
    <row r="7061" spans="24:24" x14ac:dyDescent="0.25">
      <c r="X7061" s="256"/>
    </row>
    <row r="7062" spans="24:24" x14ac:dyDescent="0.25">
      <c r="X7062" s="256"/>
    </row>
    <row r="7063" spans="24:24" x14ac:dyDescent="0.25">
      <c r="X7063" s="256"/>
    </row>
    <row r="7064" spans="24:24" x14ac:dyDescent="0.25">
      <c r="X7064" s="256"/>
    </row>
    <row r="7065" spans="24:24" x14ac:dyDescent="0.25">
      <c r="X7065" s="256"/>
    </row>
    <row r="7066" spans="24:24" x14ac:dyDescent="0.25">
      <c r="X7066" s="256"/>
    </row>
    <row r="7067" spans="24:24" x14ac:dyDescent="0.25">
      <c r="X7067" s="256"/>
    </row>
    <row r="7068" spans="24:24" x14ac:dyDescent="0.25">
      <c r="X7068" s="256"/>
    </row>
    <row r="7069" spans="24:24" x14ac:dyDescent="0.25">
      <c r="X7069" s="256"/>
    </row>
    <row r="7070" spans="24:24" x14ac:dyDescent="0.25">
      <c r="X7070" s="256"/>
    </row>
    <row r="7071" spans="24:24" x14ac:dyDescent="0.25">
      <c r="X7071" s="256"/>
    </row>
    <row r="7072" spans="24:24" x14ac:dyDescent="0.25">
      <c r="X7072" s="256"/>
    </row>
    <row r="7073" spans="24:24" x14ac:dyDescent="0.25">
      <c r="X7073" s="256"/>
    </row>
    <row r="7074" spans="24:24" x14ac:dyDescent="0.25">
      <c r="X7074" s="256"/>
    </row>
    <row r="7075" spans="24:24" x14ac:dyDescent="0.25">
      <c r="X7075" s="256"/>
    </row>
    <row r="7076" spans="24:24" x14ac:dyDescent="0.25">
      <c r="X7076" s="256"/>
    </row>
    <row r="7077" spans="24:24" x14ac:dyDescent="0.25">
      <c r="X7077" s="256"/>
    </row>
    <row r="7078" spans="24:24" x14ac:dyDescent="0.25">
      <c r="X7078" s="256"/>
    </row>
    <row r="7079" spans="24:24" x14ac:dyDescent="0.25">
      <c r="X7079" s="256"/>
    </row>
    <row r="7080" spans="24:24" x14ac:dyDescent="0.25">
      <c r="X7080" s="256"/>
    </row>
    <row r="7081" spans="24:24" x14ac:dyDescent="0.25">
      <c r="X7081" s="256"/>
    </row>
    <row r="7082" spans="24:24" x14ac:dyDescent="0.25">
      <c r="X7082" s="256"/>
    </row>
    <row r="7083" spans="24:24" x14ac:dyDescent="0.25">
      <c r="X7083" s="256"/>
    </row>
    <row r="7084" spans="24:24" x14ac:dyDescent="0.25">
      <c r="X7084" s="256"/>
    </row>
    <row r="7085" spans="24:24" x14ac:dyDescent="0.25">
      <c r="X7085" s="256"/>
    </row>
    <row r="7086" spans="24:24" x14ac:dyDescent="0.25">
      <c r="X7086" s="256"/>
    </row>
    <row r="7087" spans="24:24" x14ac:dyDescent="0.25">
      <c r="X7087" s="256"/>
    </row>
    <row r="7088" spans="24:24" x14ac:dyDescent="0.25">
      <c r="X7088" s="256"/>
    </row>
    <row r="7089" spans="24:24" x14ac:dyDescent="0.25">
      <c r="X7089" s="256"/>
    </row>
    <row r="7090" spans="24:24" x14ac:dyDescent="0.25">
      <c r="X7090" s="256"/>
    </row>
    <row r="7091" spans="24:24" x14ac:dyDescent="0.25">
      <c r="X7091" s="256"/>
    </row>
    <row r="7092" spans="24:24" x14ac:dyDescent="0.25">
      <c r="X7092" s="256"/>
    </row>
    <row r="7093" spans="24:24" x14ac:dyDescent="0.25">
      <c r="X7093" s="256"/>
    </row>
    <row r="7094" spans="24:24" x14ac:dyDescent="0.25">
      <c r="X7094" s="256"/>
    </row>
    <row r="7095" spans="24:24" x14ac:dyDescent="0.25">
      <c r="X7095" s="256"/>
    </row>
    <row r="7096" spans="24:24" x14ac:dyDescent="0.25">
      <c r="X7096" s="256"/>
    </row>
    <row r="7097" spans="24:24" x14ac:dyDescent="0.25">
      <c r="X7097" s="256"/>
    </row>
    <row r="7098" spans="24:24" x14ac:dyDescent="0.25">
      <c r="X7098" s="256"/>
    </row>
    <row r="7099" spans="24:24" x14ac:dyDescent="0.25">
      <c r="X7099" s="256"/>
    </row>
    <row r="7100" spans="24:24" x14ac:dyDescent="0.25">
      <c r="X7100" s="256"/>
    </row>
    <row r="7101" spans="24:24" x14ac:dyDescent="0.25">
      <c r="X7101" s="256"/>
    </row>
    <row r="7102" spans="24:24" x14ac:dyDescent="0.25">
      <c r="X7102" s="256"/>
    </row>
    <row r="7103" spans="24:24" x14ac:dyDescent="0.25">
      <c r="X7103" s="256"/>
    </row>
    <row r="7104" spans="24:24" x14ac:dyDescent="0.25">
      <c r="X7104" s="256"/>
    </row>
    <row r="7105" spans="24:24" x14ac:dyDescent="0.25">
      <c r="X7105" s="256"/>
    </row>
    <row r="7106" spans="24:24" x14ac:dyDescent="0.25">
      <c r="X7106" s="256"/>
    </row>
    <row r="7107" spans="24:24" x14ac:dyDescent="0.25">
      <c r="X7107" s="256"/>
    </row>
    <row r="7108" spans="24:24" x14ac:dyDescent="0.25">
      <c r="X7108" s="256"/>
    </row>
    <row r="7109" spans="24:24" x14ac:dyDescent="0.25">
      <c r="X7109" s="256"/>
    </row>
    <row r="7110" spans="24:24" x14ac:dyDescent="0.25">
      <c r="X7110" s="256"/>
    </row>
    <row r="7111" spans="24:24" x14ac:dyDescent="0.25">
      <c r="X7111" s="256"/>
    </row>
    <row r="7112" spans="24:24" x14ac:dyDescent="0.25">
      <c r="X7112" s="256"/>
    </row>
    <row r="7113" spans="24:24" x14ac:dyDescent="0.25">
      <c r="X7113" s="256"/>
    </row>
    <row r="7114" spans="24:24" x14ac:dyDescent="0.25">
      <c r="X7114" s="256"/>
    </row>
    <row r="7115" spans="24:24" x14ac:dyDescent="0.25">
      <c r="X7115" s="256"/>
    </row>
    <row r="7116" spans="24:24" x14ac:dyDescent="0.25">
      <c r="X7116" s="256"/>
    </row>
    <row r="7117" spans="24:24" x14ac:dyDescent="0.25">
      <c r="X7117" s="256"/>
    </row>
    <row r="7118" spans="24:24" x14ac:dyDescent="0.25">
      <c r="X7118" s="256"/>
    </row>
    <row r="7119" spans="24:24" x14ac:dyDescent="0.25">
      <c r="X7119" s="256"/>
    </row>
    <row r="7120" spans="24:24" x14ac:dyDescent="0.25">
      <c r="X7120" s="256"/>
    </row>
    <row r="7121" spans="24:24" x14ac:dyDescent="0.25">
      <c r="X7121" s="256"/>
    </row>
    <row r="7122" spans="24:24" x14ac:dyDescent="0.25">
      <c r="X7122" s="256"/>
    </row>
    <row r="7123" spans="24:24" x14ac:dyDescent="0.25">
      <c r="X7123" s="256"/>
    </row>
    <row r="7124" spans="24:24" x14ac:dyDescent="0.25">
      <c r="X7124" s="256"/>
    </row>
    <row r="7125" spans="24:24" x14ac:dyDescent="0.25">
      <c r="X7125" s="256"/>
    </row>
    <row r="7126" spans="24:24" x14ac:dyDescent="0.25">
      <c r="X7126" s="256"/>
    </row>
    <row r="7127" spans="24:24" x14ac:dyDescent="0.25">
      <c r="X7127" s="256"/>
    </row>
    <row r="7128" spans="24:24" x14ac:dyDescent="0.25">
      <c r="X7128" s="256"/>
    </row>
    <row r="7129" spans="24:24" x14ac:dyDescent="0.25">
      <c r="X7129" s="256"/>
    </row>
    <row r="7130" spans="24:24" x14ac:dyDescent="0.25">
      <c r="X7130" s="256"/>
    </row>
    <row r="7131" spans="24:24" x14ac:dyDescent="0.25">
      <c r="X7131" s="256"/>
    </row>
    <row r="7132" spans="24:24" x14ac:dyDescent="0.25">
      <c r="X7132" s="256"/>
    </row>
    <row r="7133" spans="24:24" x14ac:dyDescent="0.25">
      <c r="X7133" s="256"/>
    </row>
    <row r="7134" spans="24:24" x14ac:dyDescent="0.25">
      <c r="X7134" s="256"/>
    </row>
    <row r="7135" spans="24:24" x14ac:dyDescent="0.25">
      <c r="X7135" s="256"/>
    </row>
    <row r="7136" spans="24:24" x14ac:dyDescent="0.25">
      <c r="X7136" s="256"/>
    </row>
    <row r="7137" spans="24:24" x14ac:dyDescent="0.25">
      <c r="X7137" s="256"/>
    </row>
    <row r="7138" spans="24:24" x14ac:dyDescent="0.25">
      <c r="X7138" s="256"/>
    </row>
    <row r="7139" spans="24:24" x14ac:dyDescent="0.25">
      <c r="X7139" s="256"/>
    </row>
    <row r="7140" spans="24:24" x14ac:dyDescent="0.25">
      <c r="X7140" s="256"/>
    </row>
    <row r="7141" spans="24:24" x14ac:dyDescent="0.25">
      <c r="X7141" s="256"/>
    </row>
    <row r="7142" spans="24:24" x14ac:dyDescent="0.25">
      <c r="X7142" s="256"/>
    </row>
    <row r="7143" spans="24:24" x14ac:dyDescent="0.25">
      <c r="X7143" s="256"/>
    </row>
    <row r="7144" spans="24:24" x14ac:dyDescent="0.25">
      <c r="X7144" s="256"/>
    </row>
    <row r="7145" spans="24:24" x14ac:dyDescent="0.25">
      <c r="X7145" s="256"/>
    </row>
    <row r="7146" spans="24:24" x14ac:dyDescent="0.25">
      <c r="X7146" s="256"/>
    </row>
    <row r="7147" spans="24:24" x14ac:dyDescent="0.25">
      <c r="X7147" s="256"/>
    </row>
    <row r="7148" spans="24:24" x14ac:dyDescent="0.25">
      <c r="X7148" s="256"/>
    </row>
    <row r="7149" spans="24:24" x14ac:dyDescent="0.25">
      <c r="X7149" s="256"/>
    </row>
    <row r="7150" spans="24:24" x14ac:dyDescent="0.25">
      <c r="X7150" s="256"/>
    </row>
    <row r="7151" spans="24:24" x14ac:dyDescent="0.25">
      <c r="X7151" s="256"/>
    </row>
    <row r="7152" spans="24:24" x14ac:dyDescent="0.25">
      <c r="X7152" s="256"/>
    </row>
    <row r="7153" spans="24:24" x14ac:dyDescent="0.25">
      <c r="X7153" s="256"/>
    </row>
    <row r="7154" spans="24:24" x14ac:dyDescent="0.25">
      <c r="X7154" s="256"/>
    </row>
    <row r="7155" spans="24:24" x14ac:dyDescent="0.25">
      <c r="X7155" s="256"/>
    </row>
    <row r="7156" spans="24:24" x14ac:dyDescent="0.25">
      <c r="X7156" s="256"/>
    </row>
    <row r="7157" spans="24:24" x14ac:dyDescent="0.25">
      <c r="X7157" s="256"/>
    </row>
    <row r="7158" spans="24:24" x14ac:dyDescent="0.25">
      <c r="X7158" s="256"/>
    </row>
    <row r="7159" spans="24:24" x14ac:dyDescent="0.25">
      <c r="X7159" s="256"/>
    </row>
    <row r="7160" spans="24:24" x14ac:dyDescent="0.25">
      <c r="X7160" s="256"/>
    </row>
    <row r="7161" spans="24:24" x14ac:dyDescent="0.25">
      <c r="X7161" s="256"/>
    </row>
    <row r="7162" spans="24:24" x14ac:dyDescent="0.25">
      <c r="X7162" s="256"/>
    </row>
    <row r="7163" spans="24:24" x14ac:dyDescent="0.25">
      <c r="X7163" s="256"/>
    </row>
    <row r="7164" spans="24:24" x14ac:dyDescent="0.25">
      <c r="X7164" s="256"/>
    </row>
    <row r="7165" spans="24:24" x14ac:dyDescent="0.25">
      <c r="X7165" s="256"/>
    </row>
    <row r="7166" spans="24:24" x14ac:dyDescent="0.25">
      <c r="X7166" s="256"/>
    </row>
    <row r="7167" spans="24:24" x14ac:dyDescent="0.25">
      <c r="X7167" s="256"/>
    </row>
    <row r="7168" spans="24:24" x14ac:dyDescent="0.25">
      <c r="X7168" s="256"/>
    </row>
    <row r="7169" spans="24:24" x14ac:dyDescent="0.25">
      <c r="X7169" s="256"/>
    </row>
    <row r="7170" spans="24:24" x14ac:dyDescent="0.25">
      <c r="X7170" s="256"/>
    </row>
    <row r="7171" spans="24:24" x14ac:dyDescent="0.25">
      <c r="X7171" s="256"/>
    </row>
    <row r="7172" spans="24:24" x14ac:dyDescent="0.25">
      <c r="X7172" s="256"/>
    </row>
    <row r="7173" spans="24:24" x14ac:dyDescent="0.25">
      <c r="X7173" s="256"/>
    </row>
    <row r="7174" spans="24:24" x14ac:dyDescent="0.25">
      <c r="X7174" s="256"/>
    </row>
    <row r="7175" spans="24:24" x14ac:dyDescent="0.25">
      <c r="X7175" s="256"/>
    </row>
    <row r="7176" spans="24:24" x14ac:dyDescent="0.25">
      <c r="X7176" s="256"/>
    </row>
    <row r="7177" spans="24:24" x14ac:dyDescent="0.25">
      <c r="X7177" s="256"/>
    </row>
    <row r="7178" spans="24:24" x14ac:dyDescent="0.25">
      <c r="X7178" s="256"/>
    </row>
    <row r="7179" spans="24:24" x14ac:dyDescent="0.25">
      <c r="X7179" s="256"/>
    </row>
    <row r="7180" spans="24:24" x14ac:dyDescent="0.25">
      <c r="X7180" s="256"/>
    </row>
    <row r="7181" spans="24:24" x14ac:dyDescent="0.25">
      <c r="X7181" s="256"/>
    </row>
    <row r="7182" spans="24:24" x14ac:dyDescent="0.25">
      <c r="X7182" s="256"/>
    </row>
    <row r="7183" spans="24:24" x14ac:dyDescent="0.25">
      <c r="X7183" s="256"/>
    </row>
    <row r="7184" spans="24:24" x14ac:dyDescent="0.25">
      <c r="X7184" s="256"/>
    </row>
    <row r="7185" spans="24:24" x14ac:dyDescent="0.25">
      <c r="X7185" s="256"/>
    </row>
    <row r="7186" spans="24:24" x14ac:dyDescent="0.25">
      <c r="X7186" s="256"/>
    </row>
    <row r="7187" spans="24:24" x14ac:dyDescent="0.25">
      <c r="X7187" s="256"/>
    </row>
    <row r="7188" spans="24:24" x14ac:dyDescent="0.25">
      <c r="X7188" s="256"/>
    </row>
    <row r="7189" spans="24:24" x14ac:dyDescent="0.25">
      <c r="X7189" s="256"/>
    </row>
    <row r="7190" spans="24:24" x14ac:dyDescent="0.25">
      <c r="X7190" s="256"/>
    </row>
    <row r="7191" spans="24:24" x14ac:dyDescent="0.25">
      <c r="X7191" s="256"/>
    </row>
    <row r="7192" spans="24:24" x14ac:dyDescent="0.25">
      <c r="X7192" s="256"/>
    </row>
    <row r="7193" spans="24:24" x14ac:dyDescent="0.25">
      <c r="X7193" s="256"/>
    </row>
    <row r="7194" spans="24:24" x14ac:dyDescent="0.25">
      <c r="X7194" s="256"/>
    </row>
    <row r="7195" spans="24:24" x14ac:dyDescent="0.25">
      <c r="X7195" s="256"/>
    </row>
    <row r="7196" spans="24:24" x14ac:dyDescent="0.25">
      <c r="X7196" s="256"/>
    </row>
    <row r="7197" spans="24:24" x14ac:dyDescent="0.25">
      <c r="X7197" s="256"/>
    </row>
    <row r="7198" spans="24:24" x14ac:dyDescent="0.25">
      <c r="X7198" s="256"/>
    </row>
    <row r="7199" spans="24:24" x14ac:dyDescent="0.25">
      <c r="X7199" s="256"/>
    </row>
    <row r="7200" spans="24:24" x14ac:dyDescent="0.25">
      <c r="X7200" s="256"/>
    </row>
    <row r="7201" spans="24:24" x14ac:dyDescent="0.25">
      <c r="X7201" s="256"/>
    </row>
    <row r="7202" spans="24:24" x14ac:dyDescent="0.25">
      <c r="X7202" s="256"/>
    </row>
    <row r="7203" spans="24:24" x14ac:dyDescent="0.25">
      <c r="X7203" s="256"/>
    </row>
    <row r="7204" spans="24:24" x14ac:dyDescent="0.25">
      <c r="X7204" s="256"/>
    </row>
    <row r="7205" spans="24:24" x14ac:dyDescent="0.25">
      <c r="X7205" s="256"/>
    </row>
    <row r="7206" spans="24:24" x14ac:dyDescent="0.25">
      <c r="X7206" s="256"/>
    </row>
    <row r="7207" spans="24:24" x14ac:dyDescent="0.25">
      <c r="X7207" s="256"/>
    </row>
    <row r="7208" spans="24:24" x14ac:dyDescent="0.25">
      <c r="X7208" s="256"/>
    </row>
    <row r="7209" spans="24:24" x14ac:dyDescent="0.25">
      <c r="X7209" s="256"/>
    </row>
    <row r="7210" spans="24:24" x14ac:dyDescent="0.25">
      <c r="X7210" s="256"/>
    </row>
    <row r="7211" spans="24:24" x14ac:dyDescent="0.25">
      <c r="X7211" s="256"/>
    </row>
    <row r="7212" spans="24:24" x14ac:dyDescent="0.25">
      <c r="X7212" s="256"/>
    </row>
    <row r="7213" spans="24:24" x14ac:dyDescent="0.25">
      <c r="X7213" s="256"/>
    </row>
    <row r="7214" spans="24:24" x14ac:dyDescent="0.25">
      <c r="X7214" s="256"/>
    </row>
    <row r="7215" spans="24:24" x14ac:dyDescent="0.25">
      <c r="X7215" s="256"/>
    </row>
    <row r="7216" spans="24:24" x14ac:dyDescent="0.25">
      <c r="X7216" s="256"/>
    </row>
    <row r="7217" spans="24:24" x14ac:dyDescent="0.25">
      <c r="X7217" s="256"/>
    </row>
    <row r="7218" spans="24:24" x14ac:dyDescent="0.25">
      <c r="X7218" s="256"/>
    </row>
    <row r="7219" spans="24:24" x14ac:dyDescent="0.25">
      <c r="X7219" s="256"/>
    </row>
    <row r="7220" spans="24:24" x14ac:dyDescent="0.25">
      <c r="X7220" s="256"/>
    </row>
    <row r="7221" spans="24:24" x14ac:dyDescent="0.25">
      <c r="X7221" s="256"/>
    </row>
    <row r="7222" spans="24:24" x14ac:dyDescent="0.25">
      <c r="X7222" s="256"/>
    </row>
    <row r="7223" spans="24:24" x14ac:dyDescent="0.25">
      <c r="X7223" s="256"/>
    </row>
    <row r="7224" spans="24:24" x14ac:dyDescent="0.25">
      <c r="X7224" s="256"/>
    </row>
    <row r="7225" spans="24:24" x14ac:dyDescent="0.25">
      <c r="X7225" s="256"/>
    </row>
    <row r="7226" spans="24:24" x14ac:dyDescent="0.25">
      <c r="X7226" s="256"/>
    </row>
    <row r="7227" spans="24:24" x14ac:dyDescent="0.25">
      <c r="X7227" s="256"/>
    </row>
    <row r="7228" spans="24:24" x14ac:dyDescent="0.25">
      <c r="X7228" s="256"/>
    </row>
    <row r="7229" spans="24:24" x14ac:dyDescent="0.25">
      <c r="X7229" s="256"/>
    </row>
    <row r="7230" spans="24:24" x14ac:dyDescent="0.25">
      <c r="X7230" s="256"/>
    </row>
    <row r="7231" spans="24:24" x14ac:dyDescent="0.25">
      <c r="X7231" s="256"/>
    </row>
    <row r="7232" spans="24:24" x14ac:dyDescent="0.25">
      <c r="X7232" s="256"/>
    </row>
    <row r="7233" spans="24:24" x14ac:dyDescent="0.25">
      <c r="X7233" s="256"/>
    </row>
    <row r="7234" spans="24:24" x14ac:dyDescent="0.25">
      <c r="X7234" s="256"/>
    </row>
    <row r="7235" spans="24:24" x14ac:dyDescent="0.25">
      <c r="X7235" s="256"/>
    </row>
    <row r="7236" spans="24:24" x14ac:dyDescent="0.25">
      <c r="X7236" s="256"/>
    </row>
    <row r="7237" spans="24:24" x14ac:dyDescent="0.25">
      <c r="X7237" s="256"/>
    </row>
    <row r="7238" spans="24:24" x14ac:dyDescent="0.25">
      <c r="X7238" s="256"/>
    </row>
    <row r="7239" spans="24:24" x14ac:dyDescent="0.25">
      <c r="X7239" s="256"/>
    </row>
    <row r="7240" spans="24:24" x14ac:dyDescent="0.25">
      <c r="X7240" s="256"/>
    </row>
    <row r="7241" spans="24:24" x14ac:dyDescent="0.25">
      <c r="X7241" s="256"/>
    </row>
    <row r="7242" spans="24:24" x14ac:dyDescent="0.25">
      <c r="X7242" s="256"/>
    </row>
    <row r="7243" spans="24:24" x14ac:dyDescent="0.25">
      <c r="X7243" s="256"/>
    </row>
    <row r="7244" spans="24:24" x14ac:dyDescent="0.25">
      <c r="X7244" s="256"/>
    </row>
    <row r="7245" spans="24:24" x14ac:dyDescent="0.25">
      <c r="X7245" s="256"/>
    </row>
    <row r="7246" spans="24:24" x14ac:dyDescent="0.25">
      <c r="X7246" s="256"/>
    </row>
    <row r="7247" spans="24:24" x14ac:dyDescent="0.25">
      <c r="X7247" s="256"/>
    </row>
    <row r="7248" spans="24:24" x14ac:dyDescent="0.25">
      <c r="X7248" s="256"/>
    </row>
    <row r="7249" spans="24:24" x14ac:dyDescent="0.25">
      <c r="X7249" s="256"/>
    </row>
    <row r="7250" spans="24:24" x14ac:dyDescent="0.25">
      <c r="X7250" s="256"/>
    </row>
    <row r="7251" spans="24:24" x14ac:dyDescent="0.25">
      <c r="X7251" s="256"/>
    </row>
    <row r="7252" spans="24:24" x14ac:dyDescent="0.25">
      <c r="X7252" s="256"/>
    </row>
    <row r="7253" spans="24:24" x14ac:dyDescent="0.25">
      <c r="X7253" s="256"/>
    </row>
    <row r="7254" spans="24:24" x14ac:dyDescent="0.25">
      <c r="X7254" s="256"/>
    </row>
    <row r="7255" spans="24:24" x14ac:dyDescent="0.25">
      <c r="X7255" s="256"/>
    </row>
    <row r="7256" spans="24:24" x14ac:dyDescent="0.25">
      <c r="X7256" s="256"/>
    </row>
    <row r="7257" spans="24:24" x14ac:dyDescent="0.25">
      <c r="X7257" s="256"/>
    </row>
    <row r="7258" spans="24:24" x14ac:dyDescent="0.25">
      <c r="X7258" s="256"/>
    </row>
    <row r="7259" spans="24:24" x14ac:dyDescent="0.25">
      <c r="X7259" s="256"/>
    </row>
    <row r="7260" spans="24:24" x14ac:dyDescent="0.25">
      <c r="X7260" s="256"/>
    </row>
    <row r="7261" spans="24:24" x14ac:dyDescent="0.25">
      <c r="X7261" s="256"/>
    </row>
    <row r="7262" spans="24:24" x14ac:dyDescent="0.25">
      <c r="X7262" s="256"/>
    </row>
    <row r="7263" spans="24:24" x14ac:dyDescent="0.25">
      <c r="X7263" s="256"/>
    </row>
    <row r="7264" spans="24:24" x14ac:dyDescent="0.25">
      <c r="X7264" s="256"/>
    </row>
    <row r="7265" spans="24:24" x14ac:dyDescent="0.25">
      <c r="X7265" s="256"/>
    </row>
    <row r="7266" spans="24:24" x14ac:dyDescent="0.25">
      <c r="X7266" s="256"/>
    </row>
    <row r="7267" spans="24:24" x14ac:dyDescent="0.25">
      <c r="X7267" s="256"/>
    </row>
    <row r="7268" spans="24:24" x14ac:dyDescent="0.25">
      <c r="X7268" s="256"/>
    </row>
    <row r="7269" spans="24:24" x14ac:dyDescent="0.25">
      <c r="X7269" s="256"/>
    </row>
    <row r="7270" spans="24:24" x14ac:dyDescent="0.25">
      <c r="X7270" s="256"/>
    </row>
    <row r="7271" spans="24:24" x14ac:dyDescent="0.25">
      <c r="X7271" s="256"/>
    </row>
    <row r="7272" spans="24:24" x14ac:dyDescent="0.25">
      <c r="X7272" s="256"/>
    </row>
    <row r="7273" spans="24:24" x14ac:dyDescent="0.25">
      <c r="X7273" s="256"/>
    </row>
    <row r="7274" spans="24:24" x14ac:dyDescent="0.25">
      <c r="X7274" s="256"/>
    </row>
    <row r="7275" spans="24:24" x14ac:dyDescent="0.25">
      <c r="X7275" s="256"/>
    </row>
    <row r="7276" spans="24:24" x14ac:dyDescent="0.25">
      <c r="X7276" s="256"/>
    </row>
    <row r="7277" spans="24:24" x14ac:dyDescent="0.25">
      <c r="X7277" s="256"/>
    </row>
    <row r="7278" spans="24:24" x14ac:dyDescent="0.25">
      <c r="X7278" s="256"/>
    </row>
    <row r="7279" spans="24:24" x14ac:dyDescent="0.25">
      <c r="X7279" s="256"/>
    </row>
    <row r="7280" spans="24:24" x14ac:dyDescent="0.25">
      <c r="X7280" s="256"/>
    </row>
    <row r="7281" spans="24:24" x14ac:dyDescent="0.25">
      <c r="X7281" s="256"/>
    </row>
    <row r="7282" spans="24:24" x14ac:dyDescent="0.25">
      <c r="X7282" s="256"/>
    </row>
    <row r="7283" spans="24:24" x14ac:dyDescent="0.25">
      <c r="X7283" s="256"/>
    </row>
    <row r="7284" spans="24:24" x14ac:dyDescent="0.25">
      <c r="X7284" s="256"/>
    </row>
    <row r="7285" spans="24:24" x14ac:dyDescent="0.25">
      <c r="X7285" s="256"/>
    </row>
    <row r="7286" spans="24:24" x14ac:dyDescent="0.25">
      <c r="X7286" s="256"/>
    </row>
    <row r="7287" spans="24:24" x14ac:dyDescent="0.25">
      <c r="X7287" s="256"/>
    </row>
    <row r="7288" spans="24:24" x14ac:dyDescent="0.25">
      <c r="X7288" s="256"/>
    </row>
    <row r="7289" spans="24:24" x14ac:dyDescent="0.25">
      <c r="X7289" s="256"/>
    </row>
    <row r="7290" spans="24:24" x14ac:dyDescent="0.25">
      <c r="X7290" s="256"/>
    </row>
    <row r="7291" spans="24:24" x14ac:dyDescent="0.25">
      <c r="X7291" s="256"/>
    </row>
    <row r="7292" spans="24:24" x14ac:dyDescent="0.25">
      <c r="X7292" s="256"/>
    </row>
    <row r="7293" spans="24:24" x14ac:dyDescent="0.25">
      <c r="X7293" s="256"/>
    </row>
    <row r="7294" spans="24:24" x14ac:dyDescent="0.25">
      <c r="X7294" s="256"/>
    </row>
    <row r="7295" spans="24:24" x14ac:dyDescent="0.25">
      <c r="X7295" s="256"/>
    </row>
    <row r="7296" spans="24:24" x14ac:dyDescent="0.25">
      <c r="X7296" s="256"/>
    </row>
    <row r="7297" spans="24:24" x14ac:dyDescent="0.25">
      <c r="X7297" s="256"/>
    </row>
    <row r="7298" spans="24:24" x14ac:dyDescent="0.25">
      <c r="X7298" s="256"/>
    </row>
    <row r="7299" spans="24:24" x14ac:dyDescent="0.25">
      <c r="X7299" s="256"/>
    </row>
    <row r="7300" spans="24:24" x14ac:dyDescent="0.25">
      <c r="X7300" s="256"/>
    </row>
    <row r="7301" spans="24:24" x14ac:dyDescent="0.25">
      <c r="X7301" s="256"/>
    </row>
    <row r="7302" spans="24:24" x14ac:dyDescent="0.25">
      <c r="X7302" s="256"/>
    </row>
    <row r="7303" spans="24:24" x14ac:dyDescent="0.25">
      <c r="X7303" s="256"/>
    </row>
    <row r="7304" spans="24:24" x14ac:dyDescent="0.25">
      <c r="X7304" s="256"/>
    </row>
    <row r="7305" spans="24:24" x14ac:dyDescent="0.25">
      <c r="X7305" s="256"/>
    </row>
    <row r="7306" spans="24:24" x14ac:dyDescent="0.25">
      <c r="X7306" s="256"/>
    </row>
    <row r="7307" spans="24:24" x14ac:dyDescent="0.25">
      <c r="X7307" s="256"/>
    </row>
    <row r="7308" spans="24:24" x14ac:dyDescent="0.25">
      <c r="X7308" s="256"/>
    </row>
    <row r="7309" spans="24:24" x14ac:dyDescent="0.25">
      <c r="X7309" s="256"/>
    </row>
    <row r="7310" spans="24:24" x14ac:dyDescent="0.25">
      <c r="X7310" s="256"/>
    </row>
    <row r="7311" spans="24:24" x14ac:dyDescent="0.25">
      <c r="X7311" s="256"/>
    </row>
    <row r="7312" spans="24:24" x14ac:dyDescent="0.25">
      <c r="X7312" s="256"/>
    </row>
    <row r="7313" spans="24:24" x14ac:dyDescent="0.25">
      <c r="X7313" s="256"/>
    </row>
    <row r="7314" spans="24:24" x14ac:dyDescent="0.25">
      <c r="X7314" s="256"/>
    </row>
    <row r="7315" spans="24:24" x14ac:dyDescent="0.25">
      <c r="X7315" s="256"/>
    </row>
    <row r="7316" spans="24:24" x14ac:dyDescent="0.25">
      <c r="X7316" s="256"/>
    </row>
    <row r="7317" spans="24:24" x14ac:dyDescent="0.25">
      <c r="X7317" s="256"/>
    </row>
    <row r="7318" spans="24:24" x14ac:dyDescent="0.25">
      <c r="X7318" s="256"/>
    </row>
    <row r="7319" spans="24:24" x14ac:dyDescent="0.25">
      <c r="X7319" s="256"/>
    </row>
    <row r="7320" spans="24:24" x14ac:dyDescent="0.25">
      <c r="X7320" s="256"/>
    </row>
    <row r="7321" spans="24:24" x14ac:dyDescent="0.25">
      <c r="X7321" s="256"/>
    </row>
    <row r="7322" spans="24:24" x14ac:dyDescent="0.25">
      <c r="X7322" s="256"/>
    </row>
    <row r="7323" spans="24:24" x14ac:dyDescent="0.25">
      <c r="X7323" s="256"/>
    </row>
    <row r="7324" spans="24:24" x14ac:dyDescent="0.25">
      <c r="X7324" s="256"/>
    </row>
    <row r="7325" spans="24:24" x14ac:dyDescent="0.25">
      <c r="X7325" s="256"/>
    </row>
    <row r="7326" spans="24:24" x14ac:dyDescent="0.25">
      <c r="X7326" s="256"/>
    </row>
    <row r="7327" spans="24:24" x14ac:dyDescent="0.25">
      <c r="X7327" s="256"/>
    </row>
    <row r="7328" spans="24:24" x14ac:dyDescent="0.25">
      <c r="X7328" s="256"/>
    </row>
    <row r="7329" spans="24:24" x14ac:dyDescent="0.25">
      <c r="X7329" s="256"/>
    </row>
    <row r="7330" spans="24:24" x14ac:dyDescent="0.25">
      <c r="X7330" s="256"/>
    </row>
    <row r="7331" spans="24:24" x14ac:dyDescent="0.25">
      <c r="X7331" s="256"/>
    </row>
    <row r="7332" spans="24:24" x14ac:dyDescent="0.25">
      <c r="X7332" s="256"/>
    </row>
    <row r="7333" spans="24:24" x14ac:dyDescent="0.25">
      <c r="X7333" s="256"/>
    </row>
    <row r="7334" spans="24:24" x14ac:dyDescent="0.25">
      <c r="X7334" s="256"/>
    </row>
    <row r="7335" spans="24:24" x14ac:dyDescent="0.25">
      <c r="X7335" s="256"/>
    </row>
    <row r="7336" spans="24:24" x14ac:dyDescent="0.25">
      <c r="X7336" s="256"/>
    </row>
    <row r="7337" spans="24:24" x14ac:dyDescent="0.25">
      <c r="X7337" s="256"/>
    </row>
    <row r="7338" spans="24:24" x14ac:dyDescent="0.25">
      <c r="X7338" s="256"/>
    </row>
    <row r="7339" spans="24:24" x14ac:dyDescent="0.25">
      <c r="X7339" s="256"/>
    </row>
    <row r="7340" spans="24:24" x14ac:dyDescent="0.25">
      <c r="X7340" s="256"/>
    </row>
    <row r="7341" spans="24:24" x14ac:dyDescent="0.25">
      <c r="X7341" s="256"/>
    </row>
    <row r="7342" spans="24:24" x14ac:dyDescent="0.25">
      <c r="X7342" s="256"/>
    </row>
    <row r="7343" spans="24:24" x14ac:dyDescent="0.25">
      <c r="X7343" s="256"/>
    </row>
    <row r="7344" spans="24:24" x14ac:dyDescent="0.25">
      <c r="X7344" s="256"/>
    </row>
    <row r="7345" spans="24:24" x14ac:dyDescent="0.25">
      <c r="X7345" s="256"/>
    </row>
    <row r="7346" spans="24:24" x14ac:dyDescent="0.25">
      <c r="X7346" s="256"/>
    </row>
    <row r="7347" spans="24:24" x14ac:dyDescent="0.25">
      <c r="X7347" s="256"/>
    </row>
    <row r="7348" spans="24:24" x14ac:dyDescent="0.25">
      <c r="X7348" s="256"/>
    </row>
    <row r="7349" spans="24:24" x14ac:dyDescent="0.25">
      <c r="X7349" s="256"/>
    </row>
    <row r="7350" spans="24:24" x14ac:dyDescent="0.25">
      <c r="X7350" s="256"/>
    </row>
    <row r="7351" spans="24:24" x14ac:dyDescent="0.25">
      <c r="X7351" s="256"/>
    </row>
    <row r="7352" spans="24:24" x14ac:dyDescent="0.25">
      <c r="X7352" s="256"/>
    </row>
    <row r="7353" spans="24:24" x14ac:dyDescent="0.25">
      <c r="X7353" s="256"/>
    </row>
    <row r="7354" spans="24:24" x14ac:dyDescent="0.25">
      <c r="X7354" s="256"/>
    </row>
    <row r="7355" spans="24:24" x14ac:dyDescent="0.25">
      <c r="X7355" s="256"/>
    </row>
    <row r="7356" spans="24:24" x14ac:dyDescent="0.25">
      <c r="X7356" s="256"/>
    </row>
    <row r="7357" spans="24:24" x14ac:dyDescent="0.25">
      <c r="X7357" s="256"/>
    </row>
    <row r="7358" spans="24:24" x14ac:dyDescent="0.25">
      <c r="X7358" s="256"/>
    </row>
    <row r="7359" spans="24:24" x14ac:dyDescent="0.25">
      <c r="X7359" s="256"/>
    </row>
    <row r="7360" spans="24:24" x14ac:dyDescent="0.25">
      <c r="X7360" s="256"/>
    </row>
    <row r="7361" spans="24:24" x14ac:dyDescent="0.25">
      <c r="X7361" s="256"/>
    </row>
    <row r="7362" spans="24:24" x14ac:dyDescent="0.25">
      <c r="X7362" s="256"/>
    </row>
    <row r="7363" spans="24:24" x14ac:dyDescent="0.25">
      <c r="X7363" s="256"/>
    </row>
    <row r="7364" spans="24:24" x14ac:dyDescent="0.25">
      <c r="X7364" s="256"/>
    </row>
    <row r="7365" spans="24:24" x14ac:dyDescent="0.25">
      <c r="X7365" s="256"/>
    </row>
    <row r="7366" spans="24:24" x14ac:dyDescent="0.25">
      <c r="X7366" s="256"/>
    </row>
    <row r="7367" spans="24:24" x14ac:dyDescent="0.25">
      <c r="X7367" s="256"/>
    </row>
    <row r="7368" spans="24:24" x14ac:dyDescent="0.25">
      <c r="X7368" s="256"/>
    </row>
    <row r="7369" spans="24:24" x14ac:dyDescent="0.25">
      <c r="X7369" s="256"/>
    </row>
    <row r="7370" spans="24:24" x14ac:dyDescent="0.25">
      <c r="X7370" s="256"/>
    </row>
    <row r="7371" spans="24:24" x14ac:dyDescent="0.25">
      <c r="X7371" s="256"/>
    </row>
    <row r="7372" spans="24:24" x14ac:dyDescent="0.25">
      <c r="X7372" s="256"/>
    </row>
    <row r="7373" spans="24:24" x14ac:dyDescent="0.25">
      <c r="X7373" s="256"/>
    </row>
    <row r="7374" spans="24:24" x14ac:dyDescent="0.25">
      <c r="X7374" s="256"/>
    </row>
    <row r="7375" spans="24:24" x14ac:dyDescent="0.25">
      <c r="X7375" s="256"/>
    </row>
    <row r="7376" spans="24:24" x14ac:dyDescent="0.25">
      <c r="X7376" s="256"/>
    </row>
    <row r="7377" spans="24:24" x14ac:dyDescent="0.25">
      <c r="X7377" s="256"/>
    </row>
    <row r="7378" spans="24:24" x14ac:dyDescent="0.25">
      <c r="X7378" s="256"/>
    </row>
    <row r="7379" spans="24:24" x14ac:dyDescent="0.25">
      <c r="X7379" s="256"/>
    </row>
    <row r="7380" spans="24:24" x14ac:dyDescent="0.25">
      <c r="X7380" s="256"/>
    </row>
    <row r="7381" spans="24:24" x14ac:dyDescent="0.25">
      <c r="X7381" s="256"/>
    </row>
    <row r="7382" spans="24:24" x14ac:dyDescent="0.25">
      <c r="X7382" s="256"/>
    </row>
    <row r="7383" spans="24:24" x14ac:dyDescent="0.25">
      <c r="X7383" s="256"/>
    </row>
    <row r="7384" spans="24:24" x14ac:dyDescent="0.25">
      <c r="X7384" s="256"/>
    </row>
    <row r="7385" spans="24:24" x14ac:dyDescent="0.25">
      <c r="X7385" s="256"/>
    </row>
    <row r="7386" spans="24:24" x14ac:dyDescent="0.25">
      <c r="X7386" s="256"/>
    </row>
    <row r="7387" spans="24:24" x14ac:dyDescent="0.25">
      <c r="X7387" s="256"/>
    </row>
    <row r="7388" spans="24:24" x14ac:dyDescent="0.25">
      <c r="X7388" s="256"/>
    </row>
    <row r="7389" spans="24:24" x14ac:dyDescent="0.25">
      <c r="X7389" s="256"/>
    </row>
    <row r="7390" spans="24:24" x14ac:dyDescent="0.25">
      <c r="X7390" s="256"/>
    </row>
    <row r="7391" spans="24:24" x14ac:dyDescent="0.25">
      <c r="X7391" s="256"/>
    </row>
    <row r="7392" spans="24:24" x14ac:dyDescent="0.25">
      <c r="X7392" s="256"/>
    </row>
    <row r="7393" spans="24:24" x14ac:dyDescent="0.25">
      <c r="X7393" s="256"/>
    </row>
    <row r="7394" spans="24:24" x14ac:dyDescent="0.25">
      <c r="X7394" s="256"/>
    </row>
    <row r="7395" spans="24:24" x14ac:dyDescent="0.25">
      <c r="X7395" s="256"/>
    </row>
    <row r="7396" spans="24:24" x14ac:dyDescent="0.25">
      <c r="X7396" s="256"/>
    </row>
    <row r="7397" spans="24:24" x14ac:dyDescent="0.25">
      <c r="X7397" s="256"/>
    </row>
    <row r="7398" spans="24:24" x14ac:dyDescent="0.25">
      <c r="X7398" s="256"/>
    </row>
    <row r="7399" spans="24:24" x14ac:dyDescent="0.25">
      <c r="X7399" s="256"/>
    </row>
    <row r="7400" spans="24:24" x14ac:dyDescent="0.25">
      <c r="X7400" s="256"/>
    </row>
    <row r="7401" spans="24:24" x14ac:dyDescent="0.25">
      <c r="X7401" s="256"/>
    </row>
    <row r="7402" spans="24:24" x14ac:dyDescent="0.25">
      <c r="X7402" s="256"/>
    </row>
    <row r="7403" spans="24:24" x14ac:dyDescent="0.25">
      <c r="X7403" s="256"/>
    </row>
    <row r="7404" spans="24:24" x14ac:dyDescent="0.25">
      <c r="X7404" s="256"/>
    </row>
    <row r="7405" spans="24:24" x14ac:dyDescent="0.25">
      <c r="X7405" s="256"/>
    </row>
    <row r="7406" spans="24:24" x14ac:dyDescent="0.25">
      <c r="X7406" s="256"/>
    </row>
    <row r="7407" spans="24:24" x14ac:dyDescent="0.25">
      <c r="X7407" s="256"/>
    </row>
    <row r="7408" spans="24:24" x14ac:dyDescent="0.25">
      <c r="X7408" s="256"/>
    </row>
    <row r="7409" spans="24:24" x14ac:dyDescent="0.25">
      <c r="X7409" s="256"/>
    </row>
    <row r="7410" spans="24:24" x14ac:dyDescent="0.25">
      <c r="X7410" s="256"/>
    </row>
    <row r="7411" spans="24:24" x14ac:dyDescent="0.25">
      <c r="X7411" s="256"/>
    </row>
    <row r="7412" spans="24:24" x14ac:dyDescent="0.25">
      <c r="X7412" s="256"/>
    </row>
    <row r="7413" spans="24:24" x14ac:dyDescent="0.25">
      <c r="X7413" s="256"/>
    </row>
    <row r="7414" spans="24:24" x14ac:dyDescent="0.25">
      <c r="X7414" s="256"/>
    </row>
    <row r="7415" spans="24:24" x14ac:dyDescent="0.25">
      <c r="X7415" s="256"/>
    </row>
    <row r="7416" spans="24:24" x14ac:dyDescent="0.25">
      <c r="X7416" s="256"/>
    </row>
    <row r="7417" spans="24:24" x14ac:dyDescent="0.25">
      <c r="X7417" s="256"/>
    </row>
    <row r="7418" spans="24:24" x14ac:dyDescent="0.25">
      <c r="X7418" s="256"/>
    </row>
    <row r="7419" spans="24:24" x14ac:dyDescent="0.25">
      <c r="X7419" s="256"/>
    </row>
    <row r="7420" spans="24:24" x14ac:dyDescent="0.25">
      <c r="X7420" s="256"/>
    </row>
    <row r="7421" spans="24:24" x14ac:dyDescent="0.25">
      <c r="X7421" s="256"/>
    </row>
    <row r="7422" spans="24:24" x14ac:dyDescent="0.25">
      <c r="X7422" s="256"/>
    </row>
    <row r="7423" spans="24:24" x14ac:dyDescent="0.25">
      <c r="X7423" s="256"/>
    </row>
    <row r="7424" spans="24:24" x14ac:dyDescent="0.25">
      <c r="X7424" s="256"/>
    </row>
    <row r="7425" spans="24:24" x14ac:dyDescent="0.25">
      <c r="X7425" s="256"/>
    </row>
    <row r="7426" spans="24:24" x14ac:dyDescent="0.25">
      <c r="X7426" s="256"/>
    </row>
    <row r="7427" spans="24:24" x14ac:dyDescent="0.25">
      <c r="X7427" s="256"/>
    </row>
    <row r="7428" spans="24:24" x14ac:dyDescent="0.25">
      <c r="X7428" s="256"/>
    </row>
    <row r="7429" spans="24:24" x14ac:dyDescent="0.25">
      <c r="X7429" s="256"/>
    </row>
    <row r="7430" spans="24:24" x14ac:dyDescent="0.25">
      <c r="X7430" s="256"/>
    </row>
    <row r="7431" spans="24:24" x14ac:dyDescent="0.25">
      <c r="X7431" s="256"/>
    </row>
    <row r="7432" spans="24:24" x14ac:dyDescent="0.25">
      <c r="X7432" s="256"/>
    </row>
    <row r="7433" spans="24:24" x14ac:dyDescent="0.25">
      <c r="X7433" s="256"/>
    </row>
    <row r="7434" spans="24:24" x14ac:dyDescent="0.25">
      <c r="X7434" s="256"/>
    </row>
    <row r="7435" spans="24:24" x14ac:dyDescent="0.25">
      <c r="X7435" s="256"/>
    </row>
    <row r="7436" spans="24:24" x14ac:dyDescent="0.25">
      <c r="X7436" s="256"/>
    </row>
    <row r="7437" spans="24:24" x14ac:dyDescent="0.25">
      <c r="X7437" s="256"/>
    </row>
    <row r="7438" spans="24:24" x14ac:dyDescent="0.25">
      <c r="X7438" s="256"/>
    </row>
    <row r="7439" spans="24:24" x14ac:dyDescent="0.25">
      <c r="X7439" s="256"/>
    </row>
    <row r="7440" spans="24:24" x14ac:dyDescent="0.25">
      <c r="X7440" s="256"/>
    </row>
    <row r="7441" spans="24:24" x14ac:dyDescent="0.25">
      <c r="X7441" s="256"/>
    </row>
    <row r="7442" spans="24:24" x14ac:dyDescent="0.25">
      <c r="X7442" s="256"/>
    </row>
    <row r="7443" spans="24:24" x14ac:dyDescent="0.25">
      <c r="X7443" s="256"/>
    </row>
    <row r="7444" spans="24:24" x14ac:dyDescent="0.25">
      <c r="X7444" s="256"/>
    </row>
    <row r="7445" spans="24:24" x14ac:dyDescent="0.25">
      <c r="X7445" s="256"/>
    </row>
    <row r="7446" spans="24:24" x14ac:dyDescent="0.25">
      <c r="X7446" s="256"/>
    </row>
    <row r="7447" spans="24:24" x14ac:dyDescent="0.25">
      <c r="X7447" s="256"/>
    </row>
    <row r="7448" spans="24:24" x14ac:dyDescent="0.25">
      <c r="X7448" s="256"/>
    </row>
    <row r="7449" spans="24:24" x14ac:dyDescent="0.25">
      <c r="X7449" s="256"/>
    </row>
    <row r="7450" spans="24:24" x14ac:dyDescent="0.25">
      <c r="X7450" s="256"/>
    </row>
    <row r="7451" spans="24:24" x14ac:dyDescent="0.25">
      <c r="X7451" s="256"/>
    </row>
    <row r="7452" spans="24:24" x14ac:dyDescent="0.25">
      <c r="X7452" s="256"/>
    </row>
    <row r="7453" spans="24:24" x14ac:dyDescent="0.25">
      <c r="X7453" s="256"/>
    </row>
    <row r="7454" spans="24:24" x14ac:dyDescent="0.25">
      <c r="X7454" s="256"/>
    </row>
    <row r="7455" spans="24:24" x14ac:dyDescent="0.25">
      <c r="X7455" s="256"/>
    </row>
    <row r="7456" spans="24:24" x14ac:dyDescent="0.25">
      <c r="X7456" s="256"/>
    </row>
    <row r="7457" spans="24:24" x14ac:dyDescent="0.25">
      <c r="X7457" s="256"/>
    </row>
    <row r="7458" spans="24:24" x14ac:dyDescent="0.25">
      <c r="X7458" s="256"/>
    </row>
    <row r="7459" spans="24:24" x14ac:dyDescent="0.25">
      <c r="X7459" s="256"/>
    </row>
    <row r="7460" spans="24:24" x14ac:dyDescent="0.25">
      <c r="X7460" s="256"/>
    </row>
    <row r="7461" spans="24:24" x14ac:dyDescent="0.25">
      <c r="X7461" s="256"/>
    </row>
    <row r="7462" spans="24:24" x14ac:dyDescent="0.25">
      <c r="X7462" s="256"/>
    </row>
    <row r="7463" spans="24:24" x14ac:dyDescent="0.25">
      <c r="X7463" s="256"/>
    </row>
    <row r="7464" spans="24:24" x14ac:dyDescent="0.25">
      <c r="X7464" s="256"/>
    </row>
    <row r="7465" spans="24:24" x14ac:dyDescent="0.25">
      <c r="X7465" s="256"/>
    </row>
    <row r="7466" spans="24:24" x14ac:dyDescent="0.25">
      <c r="X7466" s="256"/>
    </row>
    <row r="7467" spans="24:24" x14ac:dyDescent="0.25">
      <c r="X7467" s="256"/>
    </row>
    <row r="7468" spans="24:24" x14ac:dyDescent="0.25">
      <c r="X7468" s="256"/>
    </row>
    <row r="7469" spans="24:24" x14ac:dyDescent="0.25">
      <c r="X7469" s="256"/>
    </row>
    <row r="7470" spans="24:24" x14ac:dyDescent="0.25">
      <c r="X7470" s="256"/>
    </row>
    <row r="7471" spans="24:24" x14ac:dyDescent="0.25">
      <c r="X7471" s="256"/>
    </row>
    <row r="7472" spans="24:24" x14ac:dyDescent="0.25">
      <c r="X7472" s="256"/>
    </row>
    <row r="7473" spans="24:24" x14ac:dyDescent="0.25">
      <c r="X7473" s="256"/>
    </row>
    <row r="7474" spans="24:24" x14ac:dyDescent="0.25">
      <c r="X7474" s="256"/>
    </row>
    <row r="7475" spans="24:24" x14ac:dyDescent="0.25">
      <c r="X7475" s="256"/>
    </row>
    <row r="7476" spans="24:24" x14ac:dyDescent="0.25">
      <c r="X7476" s="256"/>
    </row>
    <row r="7477" spans="24:24" x14ac:dyDescent="0.25">
      <c r="X7477" s="256"/>
    </row>
    <row r="7478" spans="24:24" x14ac:dyDescent="0.25">
      <c r="X7478" s="256"/>
    </row>
    <row r="7479" spans="24:24" x14ac:dyDescent="0.25">
      <c r="X7479" s="256"/>
    </row>
    <row r="7480" spans="24:24" x14ac:dyDescent="0.25">
      <c r="X7480" s="256"/>
    </row>
    <row r="7481" spans="24:24" x14ac:dyDescent="0.25">
      <c r="X7481" s="256"/>
    </row>
    <row r="7482" spans="24:24" x14ac:dyDescent="0.25">
      <c r="X7482" s="256"/>
    </row>
    <row r="7483" spans="24:24" x14ac:dyDescent="0.25">
      <c r="X7483" s="256"/>
    </row>
    <row r="7484" spans="24:24" x14ac:dyDescent="0.25">
      <c r="X7484" s="256"/>
    </row>
    <row r="7485" spans="24:24" x14ac:dyDescent="0.25">
      <c r="X7485" s="256"/>
    </row>
    <row r="7486" spans="24:24" x14ac:dyDescent="0.25">
      <c r="X7486" s="256"/>
    </row>
    <row r="7487" spans="24:24" x14ac:dyDescent="0.25">
      <c r="X7487" s="256"/>
    </row>
    <row r="7488" spans="24:24" x14ac:dyDescent="0.25">
      <c r="X7488" s="256"/>
    </row>
    <row r="7489" spans="24:24" x14ac:dyDescent="0.25">
      <c r="X7489" s="256"/>
    </row>
    <row r="7490" spans="24:24" x14ac:dyDescent="0.25">
      <c r="X7490" s="256"/>
    </row>
    <row r="7491" spans="24:24" x14ac:dyDescent="0.25">
      <c r="X7491" s="256"/>
    </row>
    <row r="7492" spans="24:24" x14ac:dyDescent="0.25">
      <c r="X7492" s="256"/>
    </row>
    <row r="7493" spans="24:24" x14ac:dyDescent="0.25">
      <c r="X7493" s="256"/>
    </row>
    <row r="7494" spans="24:24" x14ac:dyDescent="0.25">
      <c r="X7494" s="256"/>
    </row>
    <row r="7495" spans="24:24" x14ac:dyDescent="0.25">
      <c r="X7495" s="256"/>
    </row>
    <row r="7496" spans="24:24" x14ac:dyDescent="0.25">
      <c r="X7496" s="256"/>
    </row>
    <row r="7497" spans="24:24" x14ac:dyDescent="0.25">
      <c r="X7497" s="256"/>
    </row>
    <row r="7498" spans="24:24" x14ac:dyDescent="0.25">
      <c r="X7498" s="256"/>
    </row>
    <row r="7499" spans="24:24" x14ac:dyDescent="0.25">
      <c r="X7499" s="256"/>
    </row>
    <row r="7500" spans="24:24" x14ac:dyDescent="0.25">
      <c r="X7500" s="256"/>
    </row>
    <row r="7501" spans="24:24" x14ac:dyDescent="0.25">
      <c r="X7501" s="256"/>
    </row>
    <row r="7502" spans="24:24" x14ac:dyDescent="0.25">
      <c r="X7502" s="256"/>
    </row>
    <row r="7503" spans="24:24" x14ac:dyDescent="0.25">
      <c r="X7503" s="256"/>
    </row>
    <row r="7504" spans="24:24" x14ac:dyDescent="0.25">
      <c r="X7504" s="256"/>
    </row>
    <row r="7505" spans="24:24" x14ac:dyDescent="0.25">
      <c r="X7505" s="256"/>
    </row>
    <row r="7506" spans="24:24" x14ac:dyDescent="0.25">
      <c r="X7506" s="256"/>
    </row>
    <row r="7507" spans="24:24" x14ac:dyDescent="0.25">
      <c r="X7507" s="256"/>
    </row>
    <row r="7508" spans="24:24" x14ac:dyDescent="0.25">
      <c r="X7508" s="256"/>
    </row>
    <row r="7509" spans="24:24" x14ac:dyDescent="0.25">
      <c r="X7509" s="256"/>
    </row>
    <row r="7510" spans="24:24" x14ac:dyDescent="0.25">
      <c r="X7510" s="256"/>
    </row>
    <row r="7511" spans="24:24" x14ac:dyDescent="0.25">
      <c r="X7511" s="256"/>
    </row>
    <row r="7512" spans="24:24" x14ac:dyDescent="0.25">
      <c r="X7512" s="256"/>
    </row>
    <row r="7513" spans="24:24" x14ac:dyDescent="0.25">
      <c r="X7513" s="256"/>
    </row>
    <row r="7514" spans="24:24" x14ac:dyDescent="0.25">
      <c r="X7514" s="256"/>
    </row>
    <row r="7515" spans="24:24" x14ac:dyDescent="0.25">
      <c r="X7515" s="256"/>
    </row>
    <row r="7516" spans="24:24" x14ac:dyDescent="0.25">
      <c r="X7516" s="256"/>
    </row>
    <row r="7517" spans="24:24" x14ac:dyDescent="0.25">
      <c r="X7517" s="256"/>
    </row>
    <row r="7518" spans="24:24" x14ac:dyDescent="0.25">
      <c r="X7518" s="256"/>
    </row>
    <row r="7519" spans="24:24" x14ac:dyDescent="0.25">
      <c r="X7519" s="256"/>
    </row>
    <row r="7520" spans="24:24" x14ac:dyDescent="0.25">
      <c r="X7520" s="256"/>
    </row>
    <row r="7521" spans="24:24" x14ac:dyDescent="0.25">
      <c r="X7521" s="256"/>
    </row>
    <row r="7522" spans="24:24" x14ac:dyDescent="0.25">
      <c r="X7522" s="256"/>
    </row>
    <row r="7523" spans="24:24" x14ac:dyDescent="0.25">
      <c r="X7523" s="256"/>
    </row>
    <row r="7524" spans="24:24" x14ac:dyDescent="0.25">
      <c r="X7524" s="256"/>
    </row>
    <row r="7525" spans="24:24" x14ac:dyDescent="0.25">
      <c r="X7525" s="256"/>
    </row>
    <row r="7526" spans="24:24" x14ac:dyDescent="0.25">
      <c r="X7526" s="256"/>
    </row>
    <row r="7527" spans="24:24" x14ac:dyDescent="0.25">
      <c r="X7527" s="256"/>
    </row>
    <row r="7528" spans="24:24" x14ac:dyDescent="0.25">
      <c r="X7528" s="256"/>
    </row>
    <row r="7529" spans="24:24" x14ac:dyDescent="0.25">
      <c r="X7529" s="256"/>
    </row>
    <row r="7530" spans="24:24" x14ac:dyDescent="0.25">
      <c r="X7530" s="256"/>
    </row>
    <row r="7531" spans="24:24" x14ac:dyDescent="0.25">
      <c r="X7531" s="256"/>
    </row>
    <row r="7532" spans="24:24" x14ac:dyDescent="0.25">
      <c r="X7532" s="256"/>
    </row>
    <row r="7533" spans="24:24" x14ac:dyDescent="0.25">
      <c r="X7533" s="256"/>
    </row>
    <row r="7534" spans="24:24" x14ac:dyDescent="0.25">
      <c r="X7534" s="256"/>
    </row>
    <row r="7535" spans="24:24" x14ac:dyDescent="0.25">
      <c r="X7535" s="256"/>
    </row>
    <row r="7536" spans="24:24" x14ac:dyDescent="0.25">
      <c r="X7536" s="256"/>
    </row>
    <row r="7537" spans="24:24" x14ac:dyDescent="0.25">
      <c r="X7537" s="256"/>
    </row>
    <row r="7538" spans="24:24" x14ac:dyDescent="0.25">
      <c r="X7538" s="256"/>
    </row>
    <row r="7539" spans="24:24" x14ac:dyDescent="0.25">
      <c r="X7539" s="256"/>
    </row>
    <row r="7540" spans="24:24" x14ac:dyDescent="0.25">
      <c r="X7540" s="256"/>
    </row>
    <row r="7541" spans="24:24" x14ac:dyDescent="0.25">
      <c r="X7541" s="256"/>
    </row>
    <row r="7542" spans="24:24" x14ac:dyDescent="0.25">
      <c r="X7542" s="256"/>
    </row>
    <row r="7543" spans="24:24" x14ac:dyDescent="0.25">
      <c r="X7543" s="256"/>
    </row>
    <row r="7544" spans="24:24" x14ac:dyDescent="0.25">
      <c r="X7544" s="256"/>
    </row>
    <row r="7545" spans="24:24" x14ac:dyDescent="0.25">
      <c r="X7545" s="256"/>
    </row>
    <row r="7546" spans="24:24" x14ac:dyDescent="0.25">
      <c r="X7546" s="256"/>
    </row>
    <row r="7547" spans="24:24" x14ac:dyDescent="0.25">
      <c r="X7547" s="256"/>
    </row>
    <row r="7548" spans="24:24" x14ac:dyDescent="0.25">
      <c r="X7548" s="256"/>
    </row>
    <row r="7549" spans="24:24" x14ac:dyDescent="0.25">
      <c r="X7549" s="256"/>
    </row>
    <row r="7550" spans="24:24" x14ac:dyDescent="0.25">
      <c r="X7550" s="256"/>
    </row>
    <row r="7551" spans="24:24" x14ac:dyDescent="0.25">
      <c r="X7551" s="256"/>
    </row>
    <row r="7552" spans="24:24" x14ac:dyDescent="0.25">
      <c r="X7552" s="256"/>
    </row>
    <row r="7553" spans="24:24" x14ac:dyDescent="0.25">
      <c r="X7553" s="256"/>
    </row>
    <row r="7554" spans="24:24" x14ac:dyDescent="0.25">
      <c r="X7554" s="256"/>
    </row>
    <row r="7555" spans="24:24" x14ac:dyDescent="0.25">
      <c r="X7555" s="256"/>
    </row>
    <row r="7556" spans="24:24" x14ac:dyDescent="0.25">
      <c r="X7556" s="256"/>
    </row>
    <row r="7557" spans="24:24" x14ac:dyDescent="0.25">
      <c r="X7557" s="256"/>
    </row>
    <row r="7558" spans="24:24" x14ac:dyDescent="0.25">
      <c r="X7558" s="256"/>
    </row>
    <row r="7559" spans="24:24" x14ac:dyDescent="0.25">
      <c r="X7559" s="256"/>
    </row>
    <row r="7560" spans="24:24" x14ac:dyDescent="0.25">
      <c r="X7560" s="256"/>
    </row>
    <row r="7561" spans="24:24" x14ac:dyDescent="0.25">
      <c r="X7561" s="256"/>
    </row>
    <row r="7562" spans="24:24" x14ac:dyDescent="0.25">
      <c r="X7562" s="256"/>
    </row>
    <row r="7563" spans="24:24" x14ac:dyDescent="0.25">
      <c r="X7563" s="256"/>
    </row>
    <row r="7564" spans="24:24" x14ac:dyDescent="0.25">
      <c r="X7564" s="256"/>
    </row>
    <row r="7565" spans="24:24" x14ac:dyDescent="0.25">
      <c r="X7565" s="256"/>
    </row>
    <row r="7566" spans="24:24" x14ac:dyDescent="0.25">
      <c r="X7566" s="256"/>
    </row>
    <row r="7567" spans="24:24" x14ac:dyDescent="0.25">
      <c r="X7567" s="256"/>
    </row>
    <row r="7568" spans="24:24" x14ac:dyDescent="0.25">
      <c r="X7568" s="256"/>
    </row>
    <row r="7569" spans="24:24" x14ac:dyDescent="0.25">
      <c r="X7569" s="256"/>
    </row>
    <row r="7570" spans="24:24" x14ac:dyDescent="0.25">
      <c r="X7570" s="256"/>
    </row>
    <row r="7571" spans="24:24" x14ac:dyDescent="0.25">
      <c r="X7571" s="256"/>
    </row>
    <row r="7572" spans="24:24" x14ac:dyDescent="0.25">
      <c r="X7572" s="256"/>
    </row>
    <row r="7573" spans="24:24" x14ac:dyDescent="0.25">
      <c r="X7573" s="256"/>
    </row>
    <row r="7574" spans="24:24" x14ac:dyDescent="0.25">
      <c r="X7574" s="256"/>
    </row>
    <row r="7575" spans="24:24" x14ac:dyDescent="0.25">
      <c r="X7575" s="256"/>
    </row>
    <row r="7576" spans="24:24" x14ac:dyDescent="0.25">
      <c r="X7576" s="256"/>
    </row>
    <row r="7577" spans="24:24" x14ac:dyDescent="0.25">
      <c r="X7577" s="256"/>
    </row>
    <row r="7578" spans="24:24" x14ac:dyDescent="0.25">
      <c r="X7578" s="256"/>
    </row>
    <row r="7579" spans="24:24" x14ac:dyDescent="0.25">
      <c r="X7579" s="256"/>
    </row>
    <row r="7580" spans="24:24" x14ac:dyDescent="0.25">
      <c r="X7580" s="256"/>
    </row>
    <row r="7581" spans="24:24" x14ac:dyDescent="0.25">
      <c r="X7581" s="256"/>
    </row>
    <row r="7582" spans="24:24" x14ac:dyDescent="0.25">
      <c r="X7582" s="256"/>
    </row>
    <row r="7583" spans="24:24" x14ac:dyDescent="0.25">
      <c r="X7583" s="256"/>
    </row>
    <row r="7584" spans="24:24" x14ac:dyDescent="0.25">
      <c r="X7584" s="256"/>
    </row>
    <row r="7585" spans="24:24" x14ac:dyDescent="0.25">
      <c r="X7585" s="256"/>
    </row>
    <row r="7586" spans="24:24" x14ac:dyDescent="0.25">
      <c r="X7586" s="256"/>
    </row>
    <row r="7587" spans="24:24" x14ac:dyDescent="0.25">
      <c r="X7587" s="256"/>
    </row>
    <row r="7588" spans="24:24" x14ac:dyDescent="0.25">
      <c r="X7588" s="256"/>
    </row>
    <row r="7589" spans="24:24" x14ac:dyDescent="0.25">
      <c r="X7589" s="256"/>
    </row>
    <row r="7590" spans="24:24" x14ac:dyDescent="0.25">
      <c r="X7590" s="256"/>
    </row>
    <row r="7591" spans="24:24" x14ac:dyDescent="0.25">
      <c r="X7591" s="256"/>
    </row>
    <row r="7592" spans="24:24" x14ac:dyDescent="0.25">
      <c r="X7592" s="256"/>
    </row>
    <row r="7593" spans="24:24" x14ac:dyDescent="0.25">
      <c r="X7593" s="256"/>
    </row>
    <row r="7594" spans="24:24" x14ac:dyDescent="0.25">
      <c r="X7594" s="256"/>
    </row>
    <row r="7595" spans="24:24" x14ac:dyDescent="0.25">
      <c r="X7595" s="256"/>
    </row>
    <row r="7596" spans="24:24" x14ac:dyDescent="0.25">
      <c r="X7596" s="256"/>
    </row>
    <row r="7597" spans="24:24" x14ac:dyDescent="0.25">
      <c r="X7597" s="256"/>
    </row>
    <row r="7598" spans="24:24" x14ac:dyDescent="0.25">
      <c r="X7598" s="256"/>
    </row>
    <row r="7599" spans="24:24" x14ac:dyDescent="0.25">
      <c r="X7599" s="256"/>
    </row>
    <row r="7600" spans="24:24" x14ac:dyDescent="0.25">
      <c r="X7600" s="256"/>
    </row>
    <row r="7601" spans="24:24" x14ac:dyDescent="0.25">
      <c r="X7601" s="256"/>
    </row>
    <row r="7602" spans="24:24" x14ac:dyDescent="0.25">
      <c r="X7602" s="256"/>
    </row>
    <row r="7603" spans="24:24" x14ac:dyDescent="0.25">
      <c r="X7603" s="256"/>
    </row>
    <row r="7604" spans="24:24" x14ac:dyDescent="0.25">
      <c r="X7604" s="256"/>
    </row>
    <row r="7605" spans="24:24" x14ac:dyDescent="0.25">
      <c r="X7605" s="256"/>
    </row>
    <row r="7606" spans="24:24" x14ac:dyDescent="0.25">
      <c r="X7606" s="256"/>
    </row>
    <row r="7607" spans="24:24" x14ac:dyDescent="0.25">
      <c r="X7607" s="256"/>
    </row>
    <row r="7608" spans="24:24" x14ac:dyDescent="0.25">
      <c r="X7608" s="256"/>
    </row>
    <row r="7609" spans="24:24" x14ac:dyDescent="0.25">
      <c r="X7609" s="256"/>
    </row>
    <row r="7610" spans="24:24" x14ac:dyDescent="0.25">
      <c r="X7610" s="256"/>
    </row>
    <row r="7611" spans="24:24" x14ac:dyDescent="0.25">
      <c r="X7611" s="256"/>
    </row>
    <row r="7612" spans="24:24" x14ac:dyDescent="0.25">
      <c r="X7612" s="256"/>
    </row>
    <row r="7613" spans="24:24" x14ac:dyDescent="0.25">
      <c r="X7613" s="256"/>
    </row>
    <row r="7614" spans="24:24" x14ac:dyDescent="0.25">
      <c r="X7614" s="256"/>
    </row>
    <row r="7615" spans="24:24" x14ac:dyDescent="0.25">
      <c r="X7615" s="256"/>
    </row>
    <row r="7616" spans="24:24" x14ac:dyDescent="0.25">
      <c r="X7616" s="256"/>
    </row>
    <row r="7617" spans="24:24" x14ac:dyDescent="0.25">
      <c r="X7617" s="256"/>
    </row>
    <row r="7618" spans="24:24" x14ac:dyDescent="0.25">
      <c r="X7618" s="256"/>
    </row>
    <row r="7619" spans="24:24" x14ac:dyDescent="0.25">
      <c r="X7619" s="256"/>
    </row>
    <row r="7620" spans="24:24" x14ac:dyDescent="0.25">
      <c r="X7620" s="256"/>
    </row>
    <row r="7621" spans="24:24" x14ac:dyDescent="0.25">
      <c r="X7621" s="256"/>
    </row>
    <row r="7622" spans="24:24" x14ac:dyDescent="0.25">
      <c r="X7622" s="256"/>
    </row>
    <row r="7623" spans="24:24" x14ac:dyDescent="0.25">
      <c r="X7623" s="256"/>
    </row>
    <row r="7624" spans="24:24" x14ac:dyDescent="0.25">
      <c r="X7624" s="256"/>
    </row>
    <row r="7625" spans="24:24" x14ac:dyDescent="0.25">
      <c r="X7625" s="256"/>
    </row>
    <row r="7626" spans="24:24" x14ac:dyDescent="0.25">
      <c r="X7626" s="256"/>
    </row>
    <row r="7627" spans="24:24" x14ac:dyDescent="0.25">
      <c r="X7627" s="256"/>
    </row>
    <row r="7628" spans="24:24" x14ac:dyDescent="0.25">
      <c r="X7628" s="256"/>
    </row>
    <row r="7629" spans="24:24" x14ac:dyDescent="0.25">
      <c r="X7629" s="256"/>
    </row>
    <row r="7630" spans="24:24" x14ac:dyDescent="0.25">
      <c r="X7630" s="256"/>
    </row>
    <row r="7631" spans="24:24" x14ac:dyDescent="0.25">
      <c r="X7631" s="256"/>
    </row>
    <row r="7632" spans="24:24" x14ac:dyDescent="0.25">
      <c r="X7632" s="256"/>
    </row>
    <row r="7633" spans="24:24" x14ac:dyDescent="0.25">
      <c r="X7633" s="256"/>
    </row>
    <row r="7634" spans="24:24" x14ac:dyDescent="0.25">
      <c r="X7634" s="256"/>
    </row>
    <row r="7635" spans="24:24" x14ac:dyDescent="0.25">
      <c r="X7635" s="256"/>
    </row>
    <row r="7636" spans="24:24" x14ac:dyDescent="0.25">
      <c r="X7636" s="256"/>
    </row>
    <row r="7637" spans="24:24" x14ac:dyDescent="0.25">
      <c r="X7637" s="256"/>
    </row>
    <row r="7638" spans="24:24" x14ac:dyDescent="0.25">
      <c r="X7638" s="256"/>
    </row>
    <row r="7639" spans="24:24" x14ac:dyDescent="0.25">
      <c r="X7639" s="256"/>
    </row>
    <row r="7640" spans="24:24" x14ac:dyDescent="0.25">
      <c r="X7640" s="256"/>
    </row>
    <row r="7641" spans="24:24" x14ac:dyDescent="0.25">
      <c r="X7641" s="256"/>
    </row>
    <row r="7642" spans="24:24" x14ac:dyDescent="0.25">
      <c r="X7642" s="256"/>
    </row>
    <row r="7643" spans="24:24" x14ac:dyDescent="0.25">
      <c r="X7643" s="256"/>
    </row>
    <row r="7644" spans="24:24" x14ac:dyDescent="0.25">
      <c r="X7644" s="256"/>
    </row>
    <row r="7645" spans="24:24" x14ac:dyDescent="0.25">
      <c r="X7645" s="256"/>
    </row>
    <row r="7646" spans="24:24" x14ac:dyDescent="0.25">
      <c r="X7646" s="256"/>
    </row>
    <row r="7647" spans="24:24" x14ac:dyDescent="0.25">
      <c r="X7647" s="256"/>
    </row>
    <row r="7648" spans="24:24" x14ac:dyDescent="0.25">
      <c r="X7648" s="256"/>
    </row>
    <row r="7649" spans="24:24" x14ac:dyDescent="0.25">
      <c r="X7649" s="256"/>
    </row>
    <row r="7650" spans="24:24" x14ac:dyDescent="0.25">
      <c r="X7650" s="256"/>
    </row>
    <row r="7651" spans="24:24" x14ac:dyDescent="0.25">
      <c r="X7651" s="256"/>
    </row>
    <row r="7652" spans="24:24" x14ac:dyDescent="0.25">
      <c r="X7652" s="256"/>
    </row>
    <row r="7653" spans="24:24" x14ac:dyDescent="0.25">
      <c r="X7653" s="256"/>
    </row>
    <row r="7654" spans="24:24" x14ac:dyDescent="0.25">
      <c r="X7654" s="256"/>
    </row>
    <row r="7655" spans="24:24" x14ac:dyDescent="0.25">
      <c r="X7655" s="256"/>
    </row>
    <row r="7656" spans="24:24" x14ac:dyDescent="0.25">
      <c r="X7656" s="256"/>
    </row>
    <row r="7657" spans="24:24" x14ac:dyDescent="0.25">
      <c r="X7657" s="256"/>
    </row>
    <row r="7658" spans="24:24" x14ac:dyDescent="0.25">
      <c r="X7658" s="256"/>
    </row>
    <row r="7659" spans="24:24" x14ac:dyDescent="0.25">
      <c r="X7659" s="256"/>
    </row>
    <row r="7660" spans="24:24" x14ac:dyDescent="0.25">
      <c r="X7660" s="256"/>
    </row>
    <row r="7661" spans="24:24" x14ac:dyDescent="0.25">
      <c r="X7661" s="256"/>
    </row>
    <row r="7662" spans="24:24" x14ac:dyDescent="0.25">
      <c r="X7662" s="256"/>
    </row>
    <row r="7663" spans="24:24" x14ac:dyDescent="0.25">
      <c r="X7663" s="256"/>
    </row>
    <row r="7664" spans="24:24" x14ac:dyDescent="0.25">
      <c r="X7664" s="256"/>
    </row>
    <row r="7665" spans="24:24" x14ac:dyDescent="0.25">
      <c r="X7665" s="256"/>
    </row>
    <row r="7666" spans="24:24" x14ac:dyDescent="0.25">
      <c r="X7666" s="256"/>
    </row>
    <row r="7667" spans="24:24" x14ac:dyDescent="0.25">
      <c r="X7667" s="256"/>
    </row>
    <row r="7668" spans="24:24" x14ac:dyDescent="0.25">
      <c r="X7668" s="256"/>
    </row>
    <row r="7669" spans="24:24" x14ac:dyDescent="0.25">
      <c r="X7669" s="256"/>
    </row>
    <row r="7670" spans="24:24" x14ac:dyDescent="0.25">
      <c r="X7670" s="256"/>
    </row>
    <row r="7671" spans="24:24" x14ac:dyDescent="0.25">
      <c r="X7671" s="256"/>
    </row>
    <row r="7672" spans="24:24" x14ac:dyDescent="0.25">
      <c r="X7672" s="256"/>
    </row>
    <row r="7673" spans="24:24" x14ac:dyDescent="0.25">
      <c r="X7673" s="256"/>
    </row>
    <row r="7674" spans="24:24" x14ac:dyDescent="0.25">
      <c r="X7674" s="256"/>
    </row>
    <row r="7675" spans="24:24" x14ac:dyDescent="0.25">
      <c r="X7675" s="256"/>
    </row>
    <row r="7676" spans="24:24" x14ac:dyDescent="0.25">
      <c r="X7676" s="256"/>
    </row>
    <row r="7677" spans="24:24" x14ac:dyDescent="0.25">
      <c r="X7677" s="256"/>
    </row>
    <row r="7678" spans="24:24" x14ac:dyDescent="0.25">
      <c r="X7678" s="256"/>
    </row>
    <row r="7679" spans="24:24" x14ac:dyDescent="0.25">
      <c r="X7679" s="256"/>
    </row>
    <row r="7680" spans="24:24" x14ac:dyDescent="0.25">
      <c r="X7680" s="256"/>
    </row>
    <row r="7681" spans="24:24" x14ac:dyDescent="0.25">
      <c r="X7681" s="256"/>
    </row>
    <row r="7682" spans="24:24" x14ac:dyDescent="0.25">
      <c r="X7682" s="256"/>
    </row>
    <row r="7683" spans="24:24" x14ac:dyDescent="0.25">
      <c r="X7683" s="256"/>
    </row>
    <row r="7684" spans="24:24" x14ac:dyDescent="0.25">
      <c r="X7684" s="256"/>
    </row>
    <row r="7685" spans="24:24" x14ac:dyDescent="0.25">
      <c r="X7685" s="256"/>
    </row>
    <row r="7686" spans="24:24" x14ac:dyDescent="0.25">
      <c r="X7686" s="256"/>
    </row>
    <row r="7687" spans="24:24" x14ac:dyDescent="0.25">
      <c r="X7687" s="256"/>
    </row>
    <row r="7688" spans="24:24" x14ac:dyDescent="0.25">
      <c r="X7688" s="256"/>
    </row>
    <row r="7689" spans="24:24" x14ac:dyDescent="0.25">
      <c r="X7689" s="256"/>
    </row>
    <row r="7690" spans="24:24" x14ac:dyDescent="0.25">
      <c r="X7690" s="256"/>
    </row>
    <row r="7691" spans="24:24" x14ac:dyDescent="0.25">
      <c r="X7691" s="256"/>
    </row>
    <row r="7692" spans="24:24" x14ac:dyDescent="0.25">
      <c r="X7692" s="256"/>
    </row>
    <row r="7693" spans="24:24" x14ac:dyDescent="0.25">
      <c r="X7693" s="256"/>
    </row>
    <row r="7694" spans="24:24" x14ac:dyDescent="0.25">
      <c r="X7694" s="256"/>
    </row>
    <row r="7695" spans="24:24" x14ac:dyDescent="0.25">
      <c r="X7695" s="256"/>
    </row>
    <row r="7696" spans="24:24" x14ac:dyDescent="0.25">
      <c r="X7696" s="256"/>
    </row>
    <row r="7697" spans="24:24" x14ac:dyDescent="0.25">
      <c r="X7697" s="256"/>
    </row>
    <row r="7698" spans="24:24" x14ac:dyDescent="0.25">
      <c r="X7698" s="256"/>
    </row>
    <row r="7699" spans="24:24" x14ac:dyDescent="0.25">
      <c r="X7699" s="256"/>
    </row>
    <row r="7700" spans="24:24" x14ac:dyDescent="0.25">
      <c r="X7700" s="256"/>
    </row>
    <row r="7701" spans="24:24" x14ac:dyDescent="0.25">
      <c r="X7701" s="256"/>
    </row>
    <row r="7702" spans="24:24" x14ac:dyDescent="0.25">
      <c r="X7702" s="256"/>
    </row>
    <row r="7703" spans="24:24" x14ac:dyDescent="0.25">
      <c r="X7703" s="256"/>
    </row>
    <row r="7704" spans="24:24" x14ac:dyDescent="0.25">
      <c r="X7704" s="256"/>
    </row>
    <row r="7705" spans="24:24" x14ac:dyDescent="0.25">
      <c r="X7705" s="256"/>
    </row>
    <row r="7706" spans="24:24" x14ac:dyDescent="0.25">
      <c r="X7706" s="256"/>
    </row>
    <row r="7707" spans="24:24" x14ac:dyDescent="0.25">
      <c r="X7707" s="256"/>
    </row>
    <row r="7708" spans="24:24" x14ac:dyDescent="0.25">
      <c r="X7708" s="256"/>
    </row>
    <row r="7709" spans="24:24" x14ac:dyDescent="0.25">
      <c r="X7709" s="256"/>
    </row>
    <row r="7710" spans="24:24" x14ac:dyDescent="0.25">
      <c r="X7710" s="256"/>
    </row>
    <row r="7711" spans="24:24" x14ac:dyDescent="0.25">
      <c r="X7711" s="256"/>
    </row>
    <row r="7712" spans="24:24" x14ac:dyDescent="0.25">
      <c r="X7712" s="256"/>
    </row>
    <row r="7713" spans="24:24" x14ac:dyDescent="0.25">
      <c r="X7713" s="256"/>
    </row>
    <row r="7714" spans="24:24" x14ac:dyDescent="0.25">
      <c r="X7714" s="256"/>
    </row>
    <row r="7715" spans="24:24" x14ac:dyDescent="0.25">
      <c r="X7715" s="256"/>
    </row>
    <row r="7716" spans="24:24" x14ac:dyDescent="0.25">
      <c r="X7716" s="256"/>
    </row>
    <row r="7717" spans="24:24" x14ac:dyDescent="0.25">
      <c r="X7717" s="256"/>
    </row>
    <row r="7718" spans="24:24" x14ac:dyDescent="0.25">
      <c r="X7718" s="256"/>
    </row>
    <row r="7719" spans="24:24" x14ac:dyDescent="0.25">
      <c r="X7719" s="256"/>
    </row>
    <row r="7720" spans="24:24" x14ac:dyDescent="0.25">
      <c r="X7720" s="256"/>
    </row>
    <row r="7721" spans="24:24" x14ac:dyDescent="0.25">
      <c r="X7721" s="256"/>
    </row>
    <row r="7722" spans="24:24" x14ac:dyDescent="0.25">
      <c r="X7722" s="256"/>
    </row>
    <row r="7723" spans="24:24" x14ac:dyDescent="0.25">
      <c r="X7723" s="256"/>
    </row>
    <row r="7724" spans="24:24" x14ac:dyDescent="0.25">
      <c r="X7724" s="256"/>
    </row>
    <row r="7725" spans="24:24" x14ac:dyDescent="0.25">
      <c r="X7725" s="256"/>
    </row>
    <row r="7726" spans="24:24" x14ac:dyDescent="0.25">
      <c r="X7726" s="256"/>
    </row>
    <row r="7727" spans="24:24" x14ac:dyDescent="0.25">
      <c r="X7727" s="256"/>
    </row>
    <row r="7728" spans="24:24" x14ac:dyDescent="0.25">
      <c r="X7728" s="256"/>
    </row>
    <row r="7729" spans="24:24" x14ac:dyDescent="0.25">
      <c r="X7729" s="256"/>
    </row>
    <row r="7730" spans="24:24" x14ac:dyDescent="0.25">
      <c r="X7730" s="256"/>
    </row>
    <row r="7731" spans="24:24" x14ac:dyDescent="0.25">
      <c r="X7731" s="256"/>
    </row>
    <row r="7732" spans="24:24" x14ac:dyDescent="0.25">
      <c r="X7732" s="256"/>
    </row>
    <row r="7733" spans="24:24" x14ac:dyDescent="0.25">
      <c r="X7733" s="256"/>
    </row>
    <row r="7734" spans="24:24" x14ac:dyDescent="0.25">
      <c r="X7734" s="256"/>
    </row>
    <row r="7735" spans="24:24" x14ac:dyDescent="0.25">
      <c r="X7735" s="256"/>
    </row>
    <row r="7736" spans="24:24" x14ac:dyDescent="0.25">
      <c r="X7736" s="256"/>
    </row>
    <row r="7737" spans="24:24" x14ac:dyDescent="0.25">
      <c r="X7737" s="256"/>
    </row>
    <row r="7738" spans="24:24" x14ac:dyDescent="0.25">
      <c r="X7738" s="256"/>
    </row>
    <row r="7739" spans="24:24" x14ac:dyDescent="0.25">
      <c r="X7739" s="256"/>
    </row>
    <row r="7740" spans="24:24" x14ac:dyDescent="0.25">
      <c r="X7740" s="256"/>
    </row>
    <row r="7741" spans="24:24" x14ac:dyDescent="0.25">
      <c r="X7741" s="256"/>
    </row>
    <row r="7742" spans="24:24" x14ac:dyDescent="0.25">
      <c r="X7742" s="256"/>
    </row>
    <row r="7743" spans="24:24" x14ac:dyDescent="0.25">
      <c r="X7743" s="256"/>
    </row>
    <row r="7744" spans="24:24" x14ac:dyDescent="0.25">
      <c r="X7744" s="256"/>
    </row>
    <row r="7745" spans="24:24" x14ac:dyDescent="0.25">
      <c r="X7745" s="256"/>
    </row>
    <row r="7746" spans="24:24" x14ac:dyDescent="0.25">
      <c r="X7746" s="256"/>
    </row>
    <row r="7747" spans="24:24" x14ac:dyDescent="0.25">
      <c r="X7747" s="256"/>
    </row>
    <row r="7748" spans="24:24" x14ac:dyDescent="0.25">
      <c r="X7748" s="256"/>
    </row>
    <row r="7749" spans="24:24" x14ac:dyDescent="0.25">
      <c r="X7749" s="256"/>
    </row>
    <row r="7750" spans="24:24" x14ac:dyDescent="0.25">
      <c r="X7750" s="256"/>
    </row>
    <row r="7751" spans="24:24" x14ac:dyDescent="0.25">
      <c r="X7751" s="256"/>
    </row>
    <row r="7752" spans="24:24" x14ac:dyDescent="0.25">
      <c r="X7752" s="256"/>
    </row>
    <row r="7753" spans="24:24" x14ac:dyDescent="0.25">
      <c r="X7753" s="256"/>
    </row>
    <row r="7754" spans="24:24" x14ac:dyDescent="0.25">
      <c r="X7754" s="256"/>
    </row>
    <row r="7755" spans="24:24" x14ac:dyDescent="0.25">
      <c r="X7755" s="256"/>
    </row>
    <row r="7756" spans="24:24" x14ac:dyDescent="0.25">
      <c r="X7756" s="256"/>
    </row>
    <row r="7757" spans="24:24" x14ac:dyDescent="0.25">
      <c r="X7757" s="256"/>
    </row>
    <row r="7758" spans="24:24" x14ac:dyDescent="0.25">
      <c r="X7758" s="256"/>
    </row>
    <row r="7759" spans="24:24" x14ac:dyDescent="0.25">
      <c r="X7759" s="256"/>
    </row>
    <row r="7760" spans="24:24" x14ac:dyDescent="0.25">
      <c r="X7760" s="256"/>
    </row>
    <row r="7761" spans="24:24" x14ac:dyDescent="0.25">
      <c r="X7761" s="256"/>
    </row>
    <row r="7762" spans="24:24" x14ac:dyDescent="0.25">
      <c r="X7762" s="256"/>
    </row>
    <row r="7763" spans="24:24" x14ac:dyDescent="0.25">
      <c r="X7763" s="256"/>
    </row>
    <row r="7764" spans="24:24" x14ac:dyDescent="0.25">
      <c r="X7764" s="256"/>
    </row>
    <row r="7765" spans="24:24" x14ac:dyDescent="0.25">
      <c r="X7765" s="256"/>
    </row>
    <row r="7766" spans="24:24" x14ac:dyDescent="0.25">
      <c r="X7766" s="256"/>
    </row>
    <row r="7767" spans="24:24" x14ac:dyDescent="0.25">
      <c r="X7767" s="256"/>
    </row>
    <row r="7768" spans="24:24" x14ac:dyDescent="0.25">
      <c r="X7768" s="256"/>
    </row>
    <row r="7769" spans="24:24" x14ac:dyDescent="0.25">
      <c r="X7769" s="256"/>
    </row>
    <row r="7770" spans="24:24" x14ac:dyDescent="0.25">
      <c r="X7770" s="256"/>
    </row>
    <row r="7771" spans="24:24" x14ac:dyDescent="0.25">
      <c r="X7771" s="256"/>
    </row>
    <row r="7772" spans="24:24" x14ac:dyDescent="0.25">
      <c r="X7772" s="256"/>
    </row>
    <row r="7773" spans="24:24" x14ac:dyDescent="0.25">
      <c r="X7773" s="256"/>
    </row>
    <row r="7774" spans="24:24" x14ac:dyDescent="0.25">
      <c r="X7774" s="256"/>
    </row>
    <row r="7775" spans="24:24" x14ac:dyDescent="0.25">
      <c r="X7775" s="256"/>
    </row>
    <row r="7776" spans="24:24" x14ac:dyDescent="0.25">
      <c r="X7776" s="256"/>
    </row>
    <row r="7777" spans="24:24" x14ac:dyDescent="0.25">
      <c r="X7777" s="256"/>
    </row>
    <row r="7778" spans="24:24" x14ac:dyDescent="0.25">
      <c r="X7778" s="256"/>
    </row>
    <row r="7779" spans="24:24" x14ac:dyDescent="0.25">
      <c r="X7779" s="256"/>
    </row>
    <row r="7780" spans="24:24" x14ac:dyDescent="0.25">
      <c r="X7780" s="256"/>
    </row>
    <row r="7781" spans="24:24" x14ac:dyDescent="0.25">
      <c r="X7781" s="256"/>
    </row>
    <row r="7782" spans="24:24" x14ac:dyDescent="0.25">
      <c r="X7782" s="256"/>
    </row>
    <row r="7783" spans="24:24" x14ac:dyDescent="0.25">
      <c r="X7783" s="256"/>
    </row>
    <row r="7784" spans="24:24" x14ac:dyDescent="0.25">
      <c r="X7784" s="256"/>
    </row>
    <row r="7785" spans="24:24" x14ac:dyDescent="0.25">
      <c r="X7785" s="256"/>
    </row>
    <row r="7786" spans="24:24" x14ac:dyDescent="0.25">
      <c r="X7786" s="256"/>
    </row>
    <row r="7787" spans="24:24" x14ac:dyDescent="0.25">
      <c r="X7787" s="256"/>
    </row>
    <row r="7788" spans="24:24" x14ac:dyDescent="0.25">
      <c r="X7788" s="256"/>
    </row>
    <row r="7789" spans="24:24" x14ac:dyDescent="0.25">
      <c r="X7789" s="256"/>
    </row>
    <row r="7790" spans="24:24" x14ac:dyDescent="0.25">
      <c r="X7790" s="256"/>
    </row>
    <row r="7791" spans="24:24" x14ac:dyDescent="0.25">
      <c r="X7791" s="256"/>
    </row>
    <row r="7792" spans="24:24" x14ac:dyDescent="0.25">
      <c r="X7792" s="256"/>
    </row>
    <row r="7793" spans="24:24" x14ac:dyDescent="0.25">
      <c r="X7793" s="256"/>
    </row>
    <row r="7794" spans="24:24" x14ac:dyDescent="0.25">
      <c r="X7794" s="256"/>
    </row>
    <row r="7795" spans="24:24" x14ac:dyDescent="0.25">
      <c r="X7795" s="256"/>
    </row>
    <row r="7796" spans="24:24" x14ac:dyDescent="0.25">
      <c r="X7796" s="256"/>
    </row>
    <row r="7797" spans="24:24" x14ac:dyDescent="0.25">
      <c r="X7797" s="256"/>
    </row>
    <row r="7798" spans="24:24" x14ac:dyDescent="0.25">
      <c r="X7798" s="256"/>
    </row>
    <row r="7799" spans="24:24" x14ac:dyDescent="0.25">
      <c r="X7799" s="256"/>
    </row>
    <row r="7800" spans="24:24" x14ac:dyDescent="0.25">
      <c r="X7800" s="256"/>
    </row>
    <row r="7801" spans="24:24" x14ac:dyDescent="0.25">
      <c r="X7801" s="256"/>
    </row>
    <row r="7802" spans="24:24" x14ac:dyDescent="0.25">
      <c r="X7802" s="256"/>
    </row>
    <row r="7803" spans="24:24" x14ac:dyDescent="0.25">
      <c r="X7803" s="256"/>
    </row>
    <row r="7804" spans="24:24" x14ac:dyDescent="0.25">
      <c r="X7804" s="256"/>
    </row>
    <row r="7805" spans="24:24" x14ac:dyDescent="0.25">
      <c r="X7805" s="256"/>
    </row>
    <row r="7806" spans="24:24" x14ac:dyDescent="0.25">
      <c r="X7806" s="256"/>
    </row>
    <row r="7807" spans="24:24" x14ac:dyDescent="0.25">
      <c r="X7807" s="256"/>
    </row>
    <row r="7808" spans="24:24" x14ac:dyDescent="0.25">
      <c r="X7808" s="256"/>
    </row>
    <row r="7809" spans="24:24" x14ac:dyDescent="0.25">
      <c r="X7809" s="256"/>
    </row>
    <row r="7810" spans="24:24" x14ac:dyDescent="0.25">
      <c r="X7810" s="256"/>
    </row>
    <row r="7811" spans="24:24" x14ac:dyDescent="0.25">
      <c r="X7811" s="256"/>
    </row>
    <row r="7812" spans="24:24" x14ac:dyDescent="0.25">
      <c r="X7812" s="256"/>
    </row>
    <row r="7813" spans="24:24" x14ac:dyDescent="0.25">
      <c r="X7813" s="256"/>
    </row>
    <row r="7814" spans="24:24" x14ac:dyDescent="0.25">
      <c r="X7814" s="256"/>
    </row>
    <row r="7815" spans="24:24" x14ac:dyDescent="0.25">
      <c r="X7815" s="256"/>
    </row>
    <row r="7816" spans="24:24" x14ac:dyDescent="0.25">
      <c r="X7816" s="256"/>
    </row>
    <row r="7817" spans="24:24" x14ac:dyDescent="0.25">
      <c r="X7817" s="256"/>
    </row>
    <row r="7818" spans="24:24" x14ac:dyDescent="0.25">
      <c r="X7818" s="256"/>
    </row>
    <row r="7819" spans="24:24" x14ac:dyDescent="0.25">
      <c r="X7819" s="256"/>
    </row>
    <row r="7820" spans="24:24" x14ac:dyDescent="0.25">
      <c r="X7820" s="256"/>
    </row>
    <row r="7821" spans="24:24" x14ac:dyDescent="0.25">
      <c r="X7821" s="256"/>
    </row>
    <row r="7822" spans="24:24" x14ac:dyDescent="0.25">
      <c r="X7822" s="256"/>
    </row>
    <row r="7823" spans="24:24" x14ac:dyDescent="0.25">
      <c r="X7823" s="256"/>
    </row>
    <row r="7824" spans="24:24" x14ac:dyDescent="0.25">
      <c r="X7824" s="256"/>
    </row>
    <row r="7825" spans="24:24" x14ac:dyDescent="0.25">
      <c r="X7825" s="256"/>
    </row>
    <row r="7826" spans="24:24" x14ac:dyDescent="0.25">
      <c r="X7826" s="256"/>
    </row>
    <row r="7827" spans="24:24" x14ac:dyDescent="0.25">
      <c r="X7827" s="256"/>
    </row>
    <row r="7828" spans="24:24" x14ac:dyDescent="0.25">
      <c r="X7828" s="256"/>
    </row>
    <row r="7829" spans="24:24" x14ac:dyDescent="0.25">
      <c r="X7829" s="256"/>
    </row>
    <row r="7830" spans="24:24" x14ac:dyDescent="0.25">
      <c r="X7830" s="256"/>
    </row>
    <row r="7831" spans="24:24" x14ac:dyDescent="0.25">
      <c r="X7831" s="256"/>
    </row>
    <row r="7832" spans="24:24" x14ac:dyDescent="0.25">
      <c r="X7832" s="256"/>
    </row>
    <row r="7833" spans="24:24" x14ac:dyDescent="0.25">
      <c r="X7833" s="256"/>
    </row>
    <row r="7834" spans="24:24" x14ac:dyDescent="0.25">
      <c r="X7834" s="256"/>
    </row>
    <row r="7835" spans="24:24" x14ac:dyDescent="0.25">
      <c r="X7835" s="256"/>
    </row>
    <row r="7836" spans="24:24" x14ac:dyDescent="0.25">
      <c r="X7836" s="256"/>
    </row>
    <row r="7837" spans="24:24" x14ac:dyDescent="0.25">
      <c r="X7837" s="256"/>
    </row>
    <row r="7838" spans="24:24" x14ac:dyDescent="0.25">
      <c r="X7838" s="256"/>
    </row>
    <row r="7839" spans="24:24" x14ac:dyDescent="0.25">
      <c r="X7839" s="256"/>
    </row>
    <row r="7840" spans="24:24" x14ac:dyDescent="0.25">
      <c r="X7840" s="256"/>
    </row>
    <row r="7841" spans="24:24" x14ac:dyDescent="0.25">
      <c r="X7841" s="256"/>
    </row>
    <row r="7842" spans="24:24" x14ac:dyDescent="0.25">
      <c r="X7842" s="256"/>
    </row>
    <row r="7843" spans="24:24" x14ac:dyDescent="0.25">
      <c r="X7843" s="256"/>
    </row>
    <row r="7844" spans="24:24" x14ac:dyDescent="0.25">
      <c r="X7844" s="256"/>
    </row>
    <row r="7845" spans="24:24" x14ac:dyDescent="0.25">
      <c r="X7845" s="256"/>
    </row>
    <row r="7846" spans="24:24" x14ac:dyDescent="0.25">
      <c r="X7846" s="256"/>
    </row>
    <row r="7847" spans="24:24" x14ac:dyDescent="0.25">
      <c r="X7847" s="256"/>
    </row>
    <row r="7848" spans="24:24" x14ac:dyDescent="0.25">
      <c r="X7848" s="256"/>
    </row>
    <row r="7849" spans="24:24" x14ac:dyDescent="0.25">
      <c r="X7849" s="256"/>
    </row>
    <row r="7850" spans="24:24" x14ac:dyDescent="0.25">
      <c r="X7850" s="256"/>
    </row>
    <row r="7851" spans="24:24" x14ac:dyDescent="0.25">
      <c r="X7851" s="256"/>
    </row>
    <row r="7852" spans="24:24" x14ac:dyDescent="0.25">
      <c r="X7852" s="256"/>
    </row>
    <row r="7853" spans="24:24" x14ac:dyDescent="0.25">
      <c r="X7853" s="256"/>
    </row>
    <row r="7854" spans="24:24" x14ac:dyDescent="0.25">
      <c r="X7854" s="256"/>
    </row>
    <row r="7855" spans="24:24" x14ac:dyDescent="0.25">
      <c r="X7855" s="256"/>
    </row>
    <row r="7856" spans="24:24" x14ac:dyDescent="0.25">
      <c r="X7856" s="256"/>
    </row>
    <row r="7857" spans="24:24" x14ac:dyDescent="0.25">
      <c r="X7857" s="256"/>
    </row>
    <row r="7858" spans="24:24" x14ac:dyDescent="0.25">
      <c r="X7858" s="256"/>
    </row>
    <row r="7859" spans="24:24" x14ac:dyDescent="0.25">
      <c r="X7859" s="256"/>
    </row>
    <row r="7860" spans="24:24" x14ac:dyDescent="0.25">
      <c r="X7860" s="256"/>
    </row>
    <row r="7861" spans="24:24" x14ac:dyDescent="0.25">
      <c r="X7861" s="256"/>
    </row>
    <row r="7862" spans="24:24" x14ac:dyDescent="0.25">
      <c r="X7862" s="256"/>
    </row>
    <row r="7863" spans="24:24" x14ac:dyDescent="0.25">
      <c r="X7863" s="256"/>
    </row>
    <row r="7864" spans="24:24" x14ac:dyDescent="0.25">
      <c r="X7864" s="256"/>
    </row>
    <row r="7865" spans="24:24" x14ac:dyDescent="0.25">
      <c r="X7865" s="256"/>
    </row>
    <row r="7866" spans="24:24" x14ac:dyDescent="0.25">
      <c r="X7866" s="256"/>
    </row>
    <row r="7867" spans="24:24" x14ac:dyDescent="0.25">
      <c r="X7867" s="256"/>
    </row>
    <row r="7868" spans="24:24" x14ac:dyDescent="0.25">
      <c r="X7868" s="256"/>
    </row>
    <row r="7869" spans="24:24" x14ac:dyDescent="0.25">
      <c r="X7869" s="256"/>
    </row>
    <row r="7870" spans="24:24" x14ac:dyDescent="0.25">
      <c r="X7870" s="256"/>
    </row>
    <row r="7871" spans="24:24" x14ac:dyDescent="0.25">
      <c r="X7871" s="256"/>
    </row>
    <row r="7872" spans="24:24" x14ac:dyDescent="0.25">
      <c r="X7872" s="256"/>
    </row>
    <row r="7873" spans="24:24" x14ac:dyDescent="0.25">
      <c r="X7873" s="256"/>
    </row>
    <row r="7874" spans="24:24" x14ac:dyDescent="0.25">
      <c r="X7874" s="256"/>
    </row>
    <row r="7875" spans="24:24" x14ac:dyDescent="0.25">
      <c r="X7875" s="256"/>
    </row>
    <row r="7876" spans="24:24" x14ac:dyDescent="0.25">
      <c r="X7876" s="256"/>
    </row>
    <row r="7877" spans="24:24" x14ac:dyDescent="0.25">
      <c r="X7877" s="256"/>
    </row>
    <row r="7878" spans="24:24" x14ac:dyDescent="0.25">
      <c r="X7878" s="256"/>
    </row>
    <row r="7879" spans="24:24" x14ac:dyDescent="0.25">
      <c r="X7879" s="256"/>
    </row>
    <row r="7880" spans="24:24" x14ac:dyDescent="0.25">
      <c r="X7880" s="256"/>
    </row>
    <row r="7881" spans="24:24" x14ac:dyDescent="0.25">
      <c r="X7881" s="256"/>
    </row>
    <row r="7882" spans="24:24" x14ac:dyDescent="0.25">
      <c r="X7882" s="256"/>
    </row>
    <row r="7883" spans="24:24" x14ac:dyDescent="0.25">
      <c r="X7883" s="256"/>
    </row>
    <row r="7884" spans="24:24" x14ac:dyDescent="0.25">
      <c r="X7884" s="256"/>
    </row>
    <row r="7885" spans="24:24" x14ac:dyDescent="0.25">
      <c r="X7885" s="256"/>
    </row>
    <row r="7886" spans="24:24" x14ac:dyDescent="0.25">
      <c r="X7886" s="256"/>
    </row>
    <row r="7887" spans="24:24" x14ac:dyDescent="0.25">
      <c r="X7887" s="256"/>
    </row>
    <row r="7888" spans="24:24" x14ac:dyDescent="0.25">
      <c r="X7888" s="256"/>
    </row>
    <row r="7889" spans="24:24" x14ac:dyDescent="0.25">
      <c r="X7889" s="256"/>
    </row>
    <row r="7890" spans="24:24" x14ac:dyDescent="0.25">
      <c r="X7890" s="256"/>
    </row>
    <row r="7891" spans="24:24" x14ac:dyDescent="0.25">
      <c r="X7891" s="256"/>
    </row>
    <row r="7892" spans="24:24" x14ac:dyDescent="0.25">
      <c r="X7892" s="256"/>
    </row>
    <row r="7893" spans="24:24" x14ac:dyDescent="0.25">
      <c r="X7893" s="256"/>
    </row>
    <row r="7894" spans="24:24" x14ac:dyDescent="0.25">
      <c r="X7894" s="256"/>
    </row>
    <row r="7895" spans="24:24" x14ac:dyDescent="0.25">
      <c r="X7895" s="256"/>
    </row>
    <row r="7896" spans="24:24" x14ac:dyDescent="0.25">
      <c r="X7896" s="256"/>
    </row>
    <row r="7897" spans="24:24" x14ac:dyDescent="0.25">
      <c r="X7897" s="256"/>
    </row>
    <row r="7898" spans="24:24" x14ac:dyDescent="0.25">
      <c r="X7898" s="256"/>
    </row>
    <row r="7899" spans="24:24" x14ac:dyDescent="0.25">
      <c r="X7899" s="256"/>
    </row>
    <row r="7900" spans="24:24" x14ac:dyDescent="0.25">
      <c r="X7900" s="256"/>
    </row>
    <row r="7901" spans="24:24" x14ac:dyDescent="0.25">
      <c r="X7901" s="256"/>
    </row>
    <row r="7902" spans="24:24" x14ac:dyDescent="0.25">
      <c r="X7902" s="256"/>
    </row>
    <row r="7903" spans="24:24" x14ac:dyDescent="0.25">
      <c r="X7903" s="256"/>
    </row>
    <row r="7904" spans="24:24" x14ac:dyDescent="0.25">
      <c r="X7904" s="256"/>
    </row>
    <row r="7905" spans="24:24" x14ac:dyDescent="0.25">
      <c r="X7905" s="256"/>
    </row>
    <row r="7906" spans="24:24" x14ac:dyDescent="0.25">
      <c r="X7906" s="256"/>
    </row>
    <row r="7907" spans="24:24" x14ac:dyDescent="0.25">
      <c r="X7907" s="256"/>
    </row>
    <row r="7908" spans="24:24" x14ac:dyDescent="0.25">
      <c r="X7908" s="256"/>
    </row>
    <row r="7909" spans="24:24" x14ac:dyDescent="0.25">
      <c r="X7909" s="256"/>
    </row>
    <row r="7910" spans="24:24" x14ac:dyDescent="0.25">
      <c r="X7910" s="256"/>
    </row>
    <row r="7911" spans="24:24" x14ac:dyDescent="0.25">
      <c r="X7911" s="256"/>
    </row>
    <row r="7912" spans="24:24" x14ac:dyDescent="0.25">
      <c r="X7912" s="256"/>
    </row>
    <row r="7913" spans="24:24" x14ac:dyDescent="0.25">
      <c r="X7913" s="256"/>
    </row>
    <row r="7914" spans="24:24" x14ac:dyDescent="0.25">
      <c r="X7914" s="256"/>
    </row>
    <row r="7915" spans="24:24" x14ac:dyDescent="0.25">
      <c r="X7915" s="256"/>
    </row>
    <row r="7916" spans="24:24" x14ac:dyDescent="0.25">
      <c r="X7916" s="256"/>
    </row>
    <row r="7917" spans="24:24" x14ac:dyDescent="0.25">
      <c r="X7917" s="256"/>
    </row>
    <row r="7918" spans="24:24" x14ac:dyDescent="0.25">
      <c r="X7918" s="256"/>
    </row>
    <row r="7919" spans="24:24" x14ac:dyDescent="0.25">
      <c r="X7919" s="256"/>
    </row>
    <row r="7920" spans="24:24" x14ac:dyDescent="0.25">
      <c r="X7920" s="256"/>
    </row>
    <row r="7921" spans="24:24" x14ac:dyDescent="0.25">
      <c r="X7921" s="256"/>
    </row>
    <row r="7922" spans="24:24" x14ac:dyDescent="0.25">
      <c r="X7922" s="256"/>
    </row>
    <row r="7923" spans="24:24" x14ac:dyDescent="0.25">
      <c r="X7923" s="256"/>
    </row>
    <row r="7924" spans="24:24" x14ac:dyDescent="0.25">
      <c r="X7924" s="256"/>
    </row>
    <row r="7925" spans="24:24" x14ac:dyDescent="0.25">
      <c r="X7925" s="256"/>
    </row>
    <row r="7926" spans="24:24" x14ac:dyDescent="0.25">
      <c r="X7926" s="256"/>
    </row>
    <row r="7927" spans="24:24" x14ac:dyDescent="0.25">
      <c r="X7927" s="256"/>
    </row>
    <row r="7928" spans="24:24" x14ac:dyDescent="0.25">
      <c r="X7928" s="256"/>
    </row>
    <row r="7929" spans="24:24" x14ac:dyDescent="0.25">
      <c r="X7929" s="256"/>
    </row>
    <row r="7930" spans="24:24" x14ac:dyDescent="0.25">
      <c r="X7930" s="256"/>
    </row>
    <row r="7931" spans="24:24" x14ac:dyDescent="0.25">
      <c r="X7931" s="256"/>
    </row>
    <row r="7932" spans="24:24" x14ac:dyDescent="0.25">
      <c r="X7932" s="256"/>
    </row>
    <row r="7933" spans="24:24" x14ac:dyDescent="0.25">
      <c r="X7933" s="256"/>
    </row>
    <row r="7934" spans="24:24" x14ac:dyDescent="0.25">
      <c r="X7934" s="256"/>
    </row>
    <row r="7935" spans="24:24" x14ac:dyDescent="0.25">
      <c r="X7935" s="256"/>
    </row>
    <row r="7936" spans="24:24" x14ac:dyDescent="0.25">
      <c r="X7936" s="256"/>
    </row>
    <row r="7937" spans="24:24" x14ac:dyDescent="0.25">
      <c r="X7937" s="256"/>
    </row>
    <row r="7938" spans="24:24" x14ac:dyDescent="0.25">
      <c r="X7938" s="256"/>
    </row>
    <row r="7939" spans="24:24" x14ac:dyDescent="0.25">
      <c r="X7939" s="256"/>
    </row>
    <row r="7940" spans="24:24" x14ac:dyDescent="0.25">
      <c r="X7940" s="256"/>
    </row>
    <row r="7941" spans="24:24" x14ac:dyDescent="0.25">
      <c r="X7941" s="256"/>
    </row>
    <row r="7942" spans="24:24" x14ac:dyDescent="0.25">
      <c r="X7942" s="256"/>
    </row>
    <row r="7943" spans="24:24" x14ac:dyDescent="0.25">
      <c r="X7943" s="256"/>
    </row>
    <row r="7944" spans="24:24" x14ac:dyDescent="0.25">
      <c r="X7944" s="256"/>
    </row>
    <row r="7945" spans="24:24" x14ac:dyDescent="0.25">
      <c r="X7945" s="256"/>
    </row>
    <row r="7946" spans="24:24" x14ac:dyDescent="0.25">
      <c r="X7946" s="256"/>
    </row>
    <row r="7947" spans="24:24" x14ac:dyDescent="0.25">
      <c r="X7947" s="256"/>
    </row>
    <row r="7948" spans="24:24" x14ac:dyDescent="0.25">
      <c r="X7948" s="256"/>
    </row>
    <row r="7949" spans="24:24" x14ac:dyDescent="0.25">
      <c r="X7949" s="256"/>
    </row>
    <row r="7950" spans="24:24" x14ac:dyDescent="0.25">
      <c r="X7950" s="256"/>
    </row>
    <row r="7951" spans="24:24" x14ac:dyDescent="0.25">
      <c r="X7951" s="256"/>
    </row>
    <row r="7952" spans="24:24" x14ac:dyDescent="0.25">
      <c r="X7952" s="256"/>
    </row>
    <row r="7953" spans="24:24" x14ac:dyDescent="0.25">
      <c r="X7953" s="256"/>
    </row>
    <row r="7954" spans="24:24" x14ac:dyDescent="0.25">
      <c r="X7954" s="256"/>
    </row>
    <row r="7955" spans="24:24" x14ac:dyDescent="0.25">
      <c r="X7955" s="256"/>
    </row>
    <row r="7956" spans="24:24" x14ac:dyDescent="0.25">
      <c r="X7956" s="256"/>
    </row>
    <row r="7957" spans="24:24" x14ac:dyDescent="0.25">
      <c r="X7957" s="256"/>
    </row>
    <row r="7958" spans="24:24" x14ac:dyDescent="0.25">
      <c r="X7958" s="256"/>
    </row>
    <row r="7959" spans="24:24" x14ac:dyDescent="0.25">
      <c r="X7959" s="256"/>
    </row>
    <row r="7960" spans="24:24" x14ac:dyDescent="0.25">
      <c r="X7960" s="256"/>
    </row>
    <row r="7961" spans="24:24" x14ac:dyDescent="0.25">
      <c r="X7961" s="256"/>
    </row>
    <row r="7962" spans="24:24" x14ac:dyDescent="0.25">
      <c r="X7962" s="256"/>
    </row>
    <row r="7963" spans="24:24" x14ac:dyDescent="0.25">
      <c r="X7963" s="256"/>
    </row>
    <row r="7964" spans="24:24" x14ac:dyDescent="0.25">
      <c r="X7964" s="256"/>
    </row>
    <row r="7965" spans="24:24" x14ac:dyDescent="0.25">
      <c r="X7965" s="256"/>
    </row>
    <row r="7966" spans="24:24" x14ac:dyDescent="0.25">
      <c r="X7966" s="256"/>
    </row>
    <row r="7967" spans="24:24" x14ac:dyDescent="0.25">
      <c r="X7967" s="256"/>
    </row>
    <row r="7968" spans="24:24" x14ac:dyDescent="0.25">
      <c r="X7968" s="256"/>
    </row>
    <row r="7969" spans="24:24" x14ac:dyDescent="0.25">
      <c r="X7969" s="256"/>
    </row>
    <row r="7970" spans="24:24" x14ac:dyDescent="0.25">
      <c r="X7970" s="256"/>
    </row>
    <row r="7971" spans="24:24" x14ac:dyDescent="0.25">
      <c r="X7971" s="256"/>
    </row>
    <row r="7972" spans="24:24" x14ac:dyDescent="0.25">
      <c r="X7972" s="256"/>
    </row>
    <row r="7973" spans="24:24" x14ac:dyDescent="0.25">
      <c r="X7973" s="256"/>
    </row>
    <row r="7974" spans="24:24" x14ac:dyDescent="0.25">
      <c r="X7974" s="256"/>
    </row>
    <row r="7975" spans="24:24" x14ac:dyDescent="0.25">
      <c r="X7975" s="256"/>
    </row>
    <row r="7976" spans="24:24" x14ac:dyDescent="0.25">
      <c r="X7976" s="256"/>
    </row>
    <row r="7977" spans="24:24" x14ac:dyDescent="0.25">
      <c r="X7977" s="256"/>
    </row>
    <row r="7978" spans="24:24" x14ac:dyDescent="0.25">
      <c r="X7978" s="256"/>
    </row>
    <row r="7979" spans="24:24" x14ac:dyDescent="0.25">
      <c r="X7979" s="256"/>
    </row>
    <row r="7980" spans="24:24" x14ac:dyDescent="0.25">
      <c r="X7980" s="256"/>
    </row>
    <row r="7981" spans="24:24" x14ac:dyDescent="0.25">
      <c r="X7981" s="256"/>
    </row>
    <row r="7982" spans="24:24" x14ac:dyDescent="0.25">
      <c r="X7982" s="256"/>
    </row>
    <row r="7983" spans="24:24" x14ac:dyDescent="0.25">
      <c r="X7983" s="256"/>
    </row>
    <row r="7984" spans="24:24" x14ac:dyDescent="0.25">
      <c r="X7984" s="256"/>
    </row>
    <row r="7985" spans="24:24" x14ac:dyDescent="0.25">
      <c r="X7985" s="256"/>
    </row>
    <row r="7986" spans="24:24" x14ac:dyDescent="0.25">
      <c r="X7986" s="256"/>
    </row>
    <row r="7987" spans="24:24" x14ac:dyDescent="0.25">
      <c r="X7987" s="256"/>
    </row>
    <row r="7988" spans="24:24" x14ac:dyDescent="0.25">
      <c r="X7988" s="256"/>
    </row>
    <row r="7989" spans="24:24" x14ac:dyDescent="0.25">
      <c r="X7989" s="256"/>
    </row>
    <row r="7990" spans="24:24" x14ac:dyDescent="0.25">
      <c r="X7990" s="256"/>
    </row>
    <row r="7991" spans="24:24" x14ac:dyDescent="0.25">
      <c r="X7991" s="256"/>
    </row>
    <row r="7992" spans="24:24" x14ac:dyDescent="0.25">
      <c r="X7992" s="256"/>
    </row>
    <row r="7993" spans="24:24" x14ac:dyDescent="0.25">
      <c r="X7993" s="256"/>
    </row>
    <row r="7994" spans="24:24" x14ac:dyDescent="0.25">
      <c r="X7994" s="256"/>
    </row>
    <row r="7995" spans="24:24" x14ac:dyDescent="0.25">
      <c r="X7995" s="256"/>
    </row>
    <row r="7996" spans="24:24" x14ac:dyDescent="0.25">
      <c r="X7996" s="256"/>
    </row>
    <row r="7997" spans="24:24" x14ac:dyDescent="0.25">
      <c r="X7997" s="256"/>
    </row>
    <row r="7998" spans="24:24" x14ac:dyDescent="0.25">
      <c r="X7998" s="256"/>
    </row>
    <row r="7999" spans="24:24" x14ac:dyDescent="0.25">
      <c r="X7999" s="256"/>
    </row>
    <row r="8000" spans="24:24" x14ac:dyDescent="0.25">
      <c r="X8000" s="256"/>
    </row>
    <row r="8001" spans="24:24" x14ac:dyDescent="0.25">
      <c r="X8001" s="256"/>
    </row>
    <row r="8002" spans="24:24" x14ac:dyDescent="0.25">
      <c r="X8002" s="256"/>
    </row>
    <row r="8003" spans="24:24" x14ac:dyDescent="0.25">
      <c r="X8003" s="256"/>
    </row>
    <row r="8004" spans="24:24" x14ac:dyDescent="0.25">
      <c r="X8004" s="256"/>
    </row>
    <row r="8005" spans="24:24" x14ac:dyDescent="0.25">
      <c r="X8005" s="256"/>
    </row>
    <row r="8006" spans="24:24" x14ac:dyDescent="0.25">
      <c r="X8006" s="256"/>
    </row>
    <row r="8007" spans="24:24" x14ac:dyDescent="0.25">
      <c r="X8007" s="256"/>
    </row>
    <row r="8008" spans="24:24" x14ac:dyDescent="0.25">
      <c r="X8008" s="256"/>
    </row>
    <row r="8009" spans="24:24" x14ac:dyDescent="0.25">
      <c r="X8009" s="256"/>
    </row>
    <row r="8010" spans="24:24" x14ac:dyDescent="0.25">
      <c r="X8010" s="256"/>
    </row>
    <row r="8011" spans="24:24" x14ac:dyDescent="0.25">
      <c r="X8011" s="256"/>
    </row>
    <row r="8012" spans="24:24" x14ac:dyDescent="0.25">
      <c r="X8012" s="256"/>
    </row>
    <row r="8013" spans="24:24" x14ac:dyDescent="0.25">
      <c r="X8013" s="256"/>
    </row>
    <row r="8014" spans="24:24" x14ac:dyDescent="0.25">
      <c r="X8014" s="256"/>
    </row>
    <row r="8015" spans="24:24" x14ac:dyDescent="0.25">
      <c r="X8015" s="256"/>
    </row>
    <row r="8016" spans="24:24" x14ac:dyDescent="0.25">
      <c r="X8016" s="256"/>
    </row>
    <row r="8017" spans="24:24" x14ac:dyDescent="0.25">
      <c r="X8017" s="256"/>
    </row>
    <row r="8018" spans="24:24" x14ac:dyDescent="0.25">
      <c r="X8018" s="256"/>
    </row>
    <row r="8019" spans="24:24" x14ac:dyDescent="0.25">
      <c r="X8019" s="256"/>
    </row>
    <row r="8020" spans="24:24" x14ac:dyDescent="0.25">
      <c r="X8020" s="256"/>
    </row>
    <row r="8021" spans="24:24" x14ac:dyDescent="0.25">
      <c r="X8021" s="256"/>
    </row>
    <row r="8022" spans="24:24" x14ac:dyDescent="0.25">
      <c r="X8022" s="256"/>
    </row>
    <row r="8023" spans="24:24" x14ac:dyDescent="0.25">
      <c r="X8023" s="256"/>
    </row>
    <row r="8024" spans="24:24" x14ac:dyDescent="0.25">
      <c r="X8024" s="256"/>
    </row>
    <row r="8025" spans="24:24" x14ac:dyDescent="0.25">
      <c r="X8025" s="256"/>
    </row>
    <row r="8026" spans="24:24" x14ac:dyDescent="0.25">
      <c r="X8026" s="256"/>
    </row>
    <row r="8027" spans="24:24" x14ac:dyDescent="0.25">
      <c r="X8027" s="256"/>
    </row>
    <row r="8028" spans="24:24" x14ac:dyDescent="0.25">
      <c r="X8028" s="256"/>
    </row>
    <row r="8029" spans="24:24" x14ac:dyDescent="0.25">
      <c r="X8029" s="256"/>
    </row>
    <row r="8030" spans="24:24" x14ac:dyDescent="0.25">
      <c r="X8030" s="256"/>
    </row>
    <row r="8031" spans="24:24" x14ac:dyDescent="0.25">
      <c r="X8031" s="256"/>
    </row>
    <row r="8032" spans="24:24" x14ac:dyDescent="0.25">
      <c r="X8032" s="256"/>
    </row>
    <row r="8033" spans="24:24" x14ac:dyDescent="0.25">
      <c r="X8033" s="256"/>
    </row>
    <row r="8034" spans="24:24" x14ac:dyDescent="0.25">
      <c r="X8034" s="256"/>
    </row>
    <row r="8035" spans="24:24" x14ac:dyDescent="0.25">
      <c r="X8035" s="256"/>
    </row>
    <row r="8036" spans="24:24" x14ac:dyDescent="0.25">
      <c r="X8036" s="256"/>
    </row>
    <row r="8037" spans="24:24" x14ac:dyDescent="0.25">
      <c r="X8037" s="256"/>
    </row>
    <row r="8038" spans="24:24" x14ac:dyDescent="0.25">
      <c r="X8038" s="256"/>
    </row>
    <row r="8039" spans="24:24" x14ac:dyDescent="0.25">
      <c r="X8039" s="256"/>
    </row>
    <row r="8040" spans="24:24" x14ac:dyDescent="0.25">
      <c r="X8040" s="256"/>
    </row>
    <row r="8041" spans="24:24" x14ac:dyDescent="0.25">
      <c r="X8041" s="256"/>
    </row>
    <row r="8042" spans="24:24" x14ac:dyDescent="0.25">
      <c r="X8042" s="256"/>
    </row>
    <row r="8043" spans="24:24" x14ac:dyDescent="0.25">
      <c r="X8043" s="256"/>
    </row>
    <row r="8044" spans="24:24" x14ac:dyDescent="0.25">
      <c r="X8044" s="256"/>
    </row>
    <row r="8045" spans="24:24" x14ac:dyDescent="0.25">
      <c r="X8045" s="256"/>
    </row>
    <row r="8046" spans="24:24" x14ac:dyDescent="0.25">
      <c r="X8046" s="256"/>
    </row>
    <row r="8047" spans="24:24" x14ac:dyDescent="0.25">
      <c r="X8047" s="256"/>
    </row>
    <row r="8048" spans="24:24" x14ac:dyDescent="0.25">
      <c r="X8048" s="256"/>
    </row>
    <row r="8049" spans="24:24" x14ac:dyDescent="0.25">
      <c r="X8049" s="256"/>
    </row>
    <row r="8050" spans="24:24" x14ac:dyDescent="0.25">
      <c r="X8050" s="256"/>
    </row>
    <row r="8051" spans="24:24" x14ac:dyDescent="0.25">
      <c r="X8051" s="256"/>
    </row>
    <row r="8052" spans="24:24" x14ac:dyDescent="0.25">
      <c r="X8052" s="256"/>
    </row>
    <row r="8053" spans="24:24" x14ac:dyDescent="0.25">
      <c r="X8053" s="256"/>
    </row>
    <row r="8054" spans="24:24" x14ac:dyDescent="0.25">
      <c r="X8054" s="256"/>
    </row>
    <row r="8055" spans="24:24" x14ac:dyDescent="0.25">
      <c r="X8055" s="256"/>
    </row>
    <row r="8056" spans="24:24" x14ac:dyDescent="0.25">
      <c r="X8056" s="256"/>
    </row>
    <row r="8057" spans="24:24" x14ac:dyDescent="0.25">
      <c r="X8057" s="256"/>
    </row>
    <row r="8058" spans="24:24" x14ac:dyDescent="0.25">
      <c r="X8058" s="256"/>
    </row>
    <row r="8059" spans="24:24" x14ac:dyDescent="0.25">
      <c r="X8059" s="256"/>
    </row>
    <row r="8060" spans="24:24" x14ac:dyDescent="0.25">
      <c r="X8060" s="256"/>
    </row>
    <row r="8061" spans="24:24" x14ac:dyDescent="0.25">
      <c r="X8061" s="256"/>
    </row>
    <row r="8062" spans="24:24" x14ac:dyDescent="0.25">
      <c r="X8062" s="256"/>
    </row>
    <row r="8063" spans="24:24" x14ac:dyDescent="0.25">
      <c r="X8063" s="256"/>
    </row>
    <row r="8064" spans="24:24" x14ac:dyDescent="0.25">
      <c r="X8064" s="256"/>
    </row>
    <row r="8065" spans="24:24" x14ac:dyDescent="0.25">
      <c r="X8065" s="256"/>
    </row>
    <row r="8066" spans="24:24" x14ac:dyDescent="0.25">
      <c r="X8066" s="256"/>
    </row>
    <row r="8067" spans="24:24" x14ac:dyDescent="0.25">
      <c r="X8067" s="256"/>
    </row>
    <row r="8068" spans="24:24" x14ac:dyDescent="0.25">
      <c r="X8068" s="256"/>
    </row>
    <row r="8069" spans="24:24" x14ac:dyDescent="0.25">
      <c r="X8069" s="256"/>
    </row>
    <row r="8070" spans="24:24" x14ac:dyDescent="0.25">
      <c r="X8070" s="256"/>
    </row>
    <row r="8071" spans="24:24" x14ac:dyDescent="0.25">
      <c r="X8071" s="256"/>
    </row>
    <row r="8072" spans="24:24" x14ac:dyDescent="0.25">
      <c r="X8072" s="256"/>
    </row>
    <row r="8073" spans="24:24" x14ac:dyDescent="0.25">
      <c r="X8073" s="256"/>
    </row>
    <row r="8074" spans="24:24" x14ac:dyDescent="0.25">
      <c r="X8074" s="256"/>
    </row>
    <row r="8075" spans="24:24" x14ac:dyDescent="0.25">
      <c r="X8075" s="256"/>
    </row>
    <row r="8076" spans="24:24" x14ac:dyDescent="0.25">
      <c r="X8076" s="256"/>
    </row>
    <row r="8077" spans="24:24" x14ac:dyDescent="0.25">
      <c r="X8077" s="256"/>
    </row>
    <row r="8078" spans="24:24" x14ac:dyDescent="0.25">
      <c r="X8078" s="256"/>
    </row>
    <row r="8079" spans="24:24" x14ac:dyDescent="0.25">
      <c r="X8079" s="256"/>
    </row>
    <row r="8080" spans="24:24" x14ac:dyDescent="0.25">
      <c r="X8080" s="256"/>
    </row>
    <row r="8081" spans="24:24" x14ac:dyDescent="0.25">
      <c r="X8081" s="256"/>
    </row>
    <row r="8082" spans="24:24" x14ac:dyDescent="0.25">
      <c r="X8082" s="256"/>
    </row>
    <row r="8083" spans="24:24" x14ac:dyDescent="0.25">
      <c r="X8083" s="256"/>
    </row>
    <row r="8084" spans="24:24" x14ac:dyDescent="0.25">
      <c r="X8084" s="256"/>
    </row>
    <row r="8085" spans="24:24" x14ac:dyDescent="0.25">
      <c r="X8085" s="256"/>
    </row>
    <row r="8086" spans="24:24" x14ac:dyDescent="0.25">
      <c r="X8086" s="256"/>
    </row>
    <row r="8087" spans="24:24" x14ac:dyDescent="0.25">
      <c r="X8087" s="256"/>
    </row>
    <row r="8088" spans="24:24" x14ac:dyDescent="0.25">
      <c r="X8088" s="256"/>
    </row>
    <row r="8089" spans="24:24" x14ac:dyDescent="0.25">
      <c r="X8089" s="256"/>
    </row>
    <row r="8090" spans="24:24" x14ac:dyDescent="0.25">
      <c r="X8090" s="256"/>
    </row>
    <row r="8091" spans="24:24" x14ac:dyDescent="0.25">
      <c r="X8091" s="256"/>
    </row>
    <row r="8092" spans="24:24" x14ac:dyDescent="0.25">
      <c r="X8092" s="256"/>
    </row>
    <row r="8093" spans="24:24" x14ac:dyDescent="0.25">
      <c r="X8093" s="256"/>
    </row>
    <row r="8094" spans="24:24" x14ac:dyDescent="0.25">
      <c r="X8094" s="256"/>
    </row>
    <row r="8095" spans="24:24" x14ac:dyDescent="0.25">
      <c r="X8095" s="256"/>
    </row>
    <row r="8096" spans="24:24" x14ac:dyDescent="0.25">
      <c r="X8096" s="256"/>
    </row>
    <row r="8097" spans="24:24" x14ac:dyDescent="0.25">
      <c r="X8097" s="256"/>
    </row>
    <row r="8098" spans="24:24" x14ac:dyDescent="0.25">
      <c r="X8098" s="256"/>
    </row>
    <row r="8099" spans="24:24" x14ac:dyDescent="0.25">
      <c r="X8099" s="256"/>
    </row>
    <row r="8100" spans="24:24" x14ac:dyDescent="0.25">
      <c r="X8100" s="256"/>
    </row>
    <row r="8101" spans="24:24" x14ac:dyDescent="0.25">
      <c r="X8101" s="256"/>
    </row>
    <row r="8102" spans="24:24" x14ac:dyDescent="0.25">
      <c r="X8102" s="256"/>
    </row>
    <row r="8103" spans="24:24" x14ac:dyDescent="0.25">
      <c r="X8103" s="256"/>
    </row>
    <row r="8104" spans="24:24" x14ac:dyDescent="0.25">
      <c r="X8104" s="256"/>
    </row>
    <row r="8105" spans="24:24" x14ac:dyDescent="0.25">
      <c r="X8105" s="256"/>
    </row>
    <row r="8106" spans="24:24" x14ac:dyDescent="0.25">
      <c r="X8106" s="256"/>
    </row>
    <row r="8107" spans="24:24" x14ac:dyDescent="0.25">
      <c r="X8107" s="256"/>
    </row>
    <row r="8108" spans="24:24" x14ac:dyDescent="0.25">
      <c r="X8108" s="256"/>
    </row>
    <row r="8109" spans="24:24" x14ac:dyDescent="0.25">
      <c r="X8109" s="256"/>
    </row>
    <row r="8110" spans="24:24" x14ac:dyDescent="0.25">
      <c r="X8110" s="256"/>
    </row>
    <row r="8111" spans="24:24" x14ac:dyDescent="0.25">
      <c r="X8111" s="256"/>
    </row>
    <row r="8112" spans="24:24" x14ac:dyDescent="0.25">
      <c r="X8112" s="256"/>
    </row>
    <row r="8113" spans="24:24" x14ac:dyDescent="0.25">
      <c r="X8113" s="256"/>
    </row>
    <row r="8114" spans="24:24" x14ac:dyDescent="0.25">
      <c r="X8114" s="256"/>
    </row>
    <row r="8115" spans="24:24" x14ac:dyDescent="0.25">
      <c r="X8115" s="256"/>
    </row>
    <row r="8116" spans="24:24" x14ac:dyDescent="0.25">
      <c r="X8116" s="256"/>
    </row>
    <row r="8117" spans="24:24" x14ac:dyDescent="0.25">
      <c r="X8117" s="256"/>
    </row>
    <row r="8118" spans="24:24" x14ac:dyDescent="0.25">
      <c r="X8118" s="256"/>
    </row>
    <row r="8119" spans="24:24" x14ac:dyDescent="0.25">
      <c r="X8119" s="256"/>
    </row>
    <row r="8120" spans="24:24" x14ac:dyDescent="0.25">
      <c r="X8120" s="256"/>
    </row>
    <row r="8121" spans="24:24" x14ac:dyDescent="0.25">
      <c r="X8121" s="256"/>
    </row>
    <row r="8122" spans="24:24" x14ac:dyDescent="0.25">
      <c r="X8122" s="256"/>
    </row>
    <row r="8123" spans="24:24" x14ac:dyDescent="0.25">
      <c r="X8123" s="256"/>
    </row>
    <row r="8124" spans="24:24" x14ac:dyDescent="0.25">
      <c r="X8124" s="256"/>
    </row>
    <row r="8125" spans="24:24" x14ac:dyDescent="0.25">
      <c r="X8125" s="256"/>
    </row>
    <row r="8126" spans="24:24" x14ac:dyDescent="0.25">
      <c r="X8126" s="256"/>
    </row>
    <row r="8127" spans="24:24" x14ac:dyDescent="0.25">
      <c r="X8127" s="256"/>
    </row>
    <row r="8128" spans="24:24" x14ac:dyDescent="0.25">
      <c r="X8128" s="256"/>
    </row>
    <row r="8129" spans="24:24" x14ac:dyDescent="0.25">
      <c r="X8129" s="256"/>
    </row>
    <row r="8130" spans="24:24" x14ac:dyDescent="0.25">
      <c r="X8130" s="256"/>
    </row>
    <row r="8131" spans="24:24" x14ac:dyDescent="0.25">
      <c r="X8131" s="256"/>
    </row>
    <row r="8132" spans="24:24" x14ac:dyDescent="0.25">
      <c r="X8132" s="256"/>
    </row>
    <row r="8133" spans="24:24" x14ac:dyDescent="0.25">
      <c r="X8133" s="256"/>
    </row>
    <row r="8134" spans="24:24" x14ac:dyDescent="0.25">
      <c r="X8134" s="256"/>
    </row>
    <row r="8135" spans="24:24" x14ac:dyDescent="0.25">
      <c r="X8135" s="256"/>
    </row>
    <row r="8136" spans="24:24" x14ac:dyDescent="0.25">
      <c r="X8136" s="256"/>
    </row>
    <row r="8137" spans="24:24" x14ac:dyDescent="0.25">
      <c r="X8137" s="256"/>
    </row>
    <row r="8138" spans="24:24" x14ac:dyDescent="0.25">
      <c r="X8138" s="256"/>
    </row>
    <row r="8139" spans="24:24" x14ac:dyDescent="0.25">
      <c r="X8139" s="256"/>
    </row>
    <row r="8140" spans="24:24" x14ac:dyDescent="0.25">
      <c r="X8140" s="256"/>
    </row>
    <row r="8141" spans="24:24" x14ac:dyDescent="0.25">
      <c r="X8141" s="256"/>
    </row>
    <row r="8142" spans="24:24" x14ac:dyDescent="0.25">
      <c r="X8142" s="256"/>
    </row>
    <row r="8143" spans="24:24" x14ac:dyDescent="0.25">
      <c r="X8143" s="256"/>
    </row>
    <row r="8144" spans="24:24" x14ac:dyDescent="0.25">
      <c r="X8144" s="256"/>
    </row>
    <row r="8145" spans="24:24" x14ac:dyDescent="0.25">
      <c r="X8145" s="256"/>
    </row>
    <row r="8146" spans="24:24" x14ac:dyDescent="0.25">
      <c r="X8146" s="256"/>
    </row>
    <row r="8147" spans="24:24" x14ac:dyDescent="0.25">
      <c r="X8147" s="256"/>
    </row>
    <row r="8148" spans="24:24" x14ac:dyDescent="0.25">
      <c r="X8148" s="256"/>
    </row>
    <row r="8149" spans="24:24" x14ac:dyDescent="0.25">
      <c r="X8149" s="256"/>
    </row>
    <row r="8150" spans="24:24" x14ac:dyDescent="0.25">
      <c r="X8150" s="256"/>
    </row>
    <row r="8151" spans="24:24" x14ac:dyDescent="0.25">
      <c r="X8151" s="256"/>
    </row>
    <row r="8152" spans="24:24" x14ac:dyDescent="0.25">
      <c r="X8152" s="256"/>
    </row>
    <row r="8153" spans="24:24" x14ac:dyDescent="0.25">
      <c r="X8153" s="256"/>
    </row>
    <row r="8154" spans="24:24" x14ac:dyDescent="0.25">
      <c r="X8154" s="256"/>
    </row>
    <row r="8155" spans="24:24" x14ac:dyDescent="0.25">
      <c r="X8155" s="256"/>
    </row>
    <row r="8156" spans="24:24" x14ac:dyDescent="0.25">
      <c r="X8156" s="256"/>
    </row>
    <row r="8157" spans="24:24" x14ac:dyDescent="0.25">
      <c r="X8157" s="256"/>
    </row>
    <row r="8158" spans="24:24" x14ac:dyDescent="0.25">
      <c r="X8158" s="256"/>
    </row>
    <row r="8159" spans="24:24" x14ac:dyDescent="0.25">
      <c r="X8159" s="256"/>
    </row>
    <row r="8160" spans="24:24" x14ac:dyDescent="0.25">
      <c r="X8160" s="256"/>
    </row>
    <row r="8161" spans="24:24" x14ac:dyDescent="0.25">
      <c r="X8161" s="256"/>
    </row>
    <row r="8162" spans="24:24" x14ac:dyDescent="0.25">
      <c r="X8162" s="256"/>
    </row>
    <row r="8163" spans="24:24" x14ac:dyDescent="0.25">
      <c r="X8163" s="256"/>
    </row>
    <row r="8164" spans="24:24" x14ac:dyDescent="0.25">
      <c r="X8164" s="256"/>
    </row>
    <row r="8165" spans="24:24" x14ac:dyDescent="0.25">
      <c r="X8165" s="256"/>
    </row>
    <row r="8166" spans="24:24" x14ac:dyDescent="0.25">
      <c r="X8166" s="256"/>
    </row>
    <row r="8167" spans="24:24" x14ac:dyDescent="0.25">
      <c r="X8167" s="256"/>
    </row>
    <row r="8168" spans="24:24" x14ac:dyDescent="0.25">
      <c r="X8168" s="256"/>
    </row>
    <row r="8169" spans="24:24" x14ac:dyDescent="0.25">
      <c r="X8169" s="256"/>
    </row>
    <row r="8170" spans="24:24" x14ac:dyDescent="0.25">
      <c r="X8170" s="256"/>
    </row>
    <row r="8171" spans="24:24" x14ac:dyDescent="0.25">
      <c r="X8171" s="256"/>
    </row>
    <row r="8172" spans="24:24" x14ac:dyDescent="0.25">
      <c r="X8172" s="256"/>
    </row>
    <row r="8173" spans="24:24" x14ac:dyDescent="0.25">
      <c r="X8173" s="256"/>
    </row>
    <row r="8174" spans="24:24" x14ac:dyDescent="0.25">
      <c r="X8174" s="256"/>
    </row>
    <row r="8175" spans="24:24" x14ac:dyDescent="0.25">
      <c r="X8175" s="256"/>
    </row>
    <row r="8176" spans="24:24" x14ac:dyDescent="0.25">
      <c r="X8176" s="256"/>
    </row>
    <row r="8177" spans="24:24" x14ac:dyDescent="0.25">
      <c r="X8177" s="256"/>
    </row>
    <row r="8178" spans="24:24" x14ac:dyDescent="0.25">
      <c r="X8178" s="256"/>
    </row>
    <row r="8179" spans="24:24" x14ac:dyDescent="0.25">
      <c r="X8179" s="256"/>
    </row>
    <row r="8180" spans="24:24" x14ac:dyDescent="0.25">
      <c r="X8180" s="256"/>
    </row>
    <row r="8181" spans="24:24" x14ac:dyDescent="0.25">
      <c r="X8181" s="256"/>
    </row>
    <row r="8182" spans="24:24" x14ac:dyDescent="0.25">
      <c r="X8182" s="256"/>
    </row>
    <row r="8183" spans="24:24" x14ac:dyDescent="0.25">
      <c r="X8183" s="256"/>
    </row>
    <row r="8184" spans="24:24" x14ac:dyDescent="0.25">
      <c r="X8184" s="256"/>
    </row>
    <row r="8185" spans="24:24" x14ac:dyDescent="0.25">
      <c r="X8185" s="256"/>
    </row>
    <row r="8186" spans="24:24" x14ac:dyDescent="0.25">
      <c r="X8186" s="256"/>
    </row>
    <row r="8187" spans="24:24" x14ac:dyDescent="0.25">
      <c r="X8187" s="256"/>
    </row>
    <row r="8188" spans="24:24" x14ac:dyDescent="0.25">
      <c r="X8188" s="256"/>
    </row>
    <row r="8189" spans="24:24" x14ac:dyDescent="0.25">
      <c r="X8189" s="256"/>
    </row>
    <row r="8190" spans="24:24" x14ac:dyDescent="0.25">
      <c r="X8190" s="256"/>
    </row>
    <row r="8191" spans="24:24" x14ac:dyDescent="0.25">
      <c r="X8191" s="256"/>
    </row>
    <row r="8192" spans="24:24" x14ac:dyDescent="0.25">
      <c r="X8192" s="256"/>
    </row>
    <row r="8193" spans="24:24" x14ac:dyDescent="0.25">
      <c r="X8193" s="256"/>
    </row>
    <row r="8194" spans="24:24" x14ac:dyDescent="0.25">
      <c r="X8194" s="256"/>
    </row>
    <row r="8195" spans="24:24" x14ac:dyDescent="0.25">
      <c r="X8195" s="256"/>
    </row>
    <row r="8196" spans="24:24" x14ac:dyDescent="0.25">
      <c r="X8196" s="256"/>
    </row>
    <row r="8197" spans="24:24" x14ac:dyDescent="0.25">
      <c r="X8197" s="256"/>
    </row>
    <row r="8198" spans="24:24" x14ac:dyDescent="0.25">
      <c r="X8198" s="256"/>
    </row>
    <row r="8199" spans="24:24" x14ac:dyDescent="0.25">
      <c r="X8199" s="256"/>
    </row>
    <row r="8200" spans="24:24" x14ac:dyDescent="0.25">
      <c r="X8200" s="256"/>
    </row>
    <row r="8201" spans="24:24" x14ac:dyDescent="0.25">
      <c r="X8201" s="256"/>
    </row>
    <row r="8202" spans="24:24" x14ac:dyDescent="0.25">
      <c r="X8202" s="256"/>
    </row>
    <row r="8203" spans="24:24" x14ac:dyDescent="0.25">
      <c r="X8203" s="256"/>
    </row>
    <row r="8204" spans="24:24" x14ac:dyDescent="0.25">
      <c r="X8204" s="256"/>
    </row>
    <row r="8205" spans="24:24" x14ac:dyDescent="0.25">
      <c r="X8205" s="256"/>
    </row>
    <row r="8206" spans="24:24" x14ac:dyDescent="0.25">
      <c r="X8206" s="256"/>
    </row>
    <row r="8207" spans="24:24" x14ac:dyDescent="0.25">
      <c r="X8207" s="256"/>
    </row>
    <row r="8208" spans="24:24" x14ac:dyDescent="0.25">
      <c r="X8208" s="256"/>
    </row>
    <row r="8209" spans="24:24" x14ac:dyDescent="0.25">
      <c r="X8209" s="256"/>
    </row>
    <row r="8210" spans="24:24" x14ac:dyDescent="0.25">
      <c r="X8210" s="256"/>
    </row>
    <row r="8211" spans="24:24" x14ac:dyDescent="0.25">
      <c r="X8211" s="256"/>
    </row>
    <row r="8212" spans="24:24" x14ac:dyDescent="0.25">
      <c r="X8212" s="256"/>
    </row>
    <row r="8213" spans="24:24" x14ac:dyDescent="0.25">
      <c r="X8213" s="256"/>
    </row>
    <row r="8214" spans="24:24" x14ac:dyDescent="0.25">
      <c r="X8214" s="256"/>
    </row>
    <row r="8215" spans="24:24" x14ac:dyDescent="0.25">
      <c r="X8215" s="256"/>
    </row>
    <row r="8216" spans="24:24" x14ac:dyDescent="0.25">
      <c r="X8216" s="256"/>
    </row>
    <row r="8217" spans="24:24" x14ac:dyDescent="0.25">
      <c r="X8217" s="256"/>
    </row>
    <row r="8218" spans="24:24" x14ac:dyDescent="0.25">
      <c r="X8218" s="256"/>
    </row>
    <row r="8219" spans="24:24" x14ac:dyDescent="0.25">
      <c r="X8219" s="256"/>
    </row>
    <row r="8220" spans="24:24" x14ac:dyDescent="0.25">
      <c r="X8220" s="256"/>
    </row>
    <row r="8221" spans="24:24" x14ac:dyDescent="0.25">
      <c r="X8221" s="256"/>
    </row>
    <row r="8222" spans="24:24" x14ac:dyDescent="0.25">
      <c r="X8222" s="256"/>
    </row>
    <row r="8223" spans="24:24" x14ac:dyDescent="0.25">
      <c r="X8223" s="256"/>
    </row>
    <row r="8224" spans="24:24" x14ac:dyDescent="0.25">
      <c r="X8224" s="256"/>
    </row>
    <row r="8225" spans="24:24" x14ac:dyDescent="0.25">
      <c r="X8225" s="256"/>
    </row>
    <row r="8226" spans="24:24" x14ac:dyDescent="0.25">
      <c r="X8226" s="256"/>
    </row>
    <row r="8227" spans="24:24" x14ac:dyDescent="0.25">
      <c r="X8227" s="256"/>
    </row>
    <row r="8228" spans="24:24" x14ac:dyDescent="0.25">
      <c r="X8228" s="256"/>
    </row>
    <row r="8229" spans="24:24" x14ac:dyDescent="0.25">
      <c r="X8229" s="256"/>
    </row>
    <row r="8230" spans="24:24" x14ac:dyDescent="0.25">
      <c r="X8230" s="256"/>
    </row>
    <row r="8231" spans="24:24" x14ac:dyDescent="0.25">
      <c r="X8231" s="256"/>
    </row>
    <row r="8232" spans="24:24" x14ac:dyDescent="0.25">
      <c r="X8232" s="256"/>
    </row>
    <row r="8233" spans="24:24" x14ac:dyDescent="0.25">
      <c r="X8233" s="256"/>
    </row>
    <row r="8234" spans="24:24" x14ac:dyDescent="0.25">
      <c r="X8234" s="256"/>
    </row>
    <row r="8235" spans="24:24" x14ac:dyDescent="0.25">
      <c r="X8235" s="256"/>
    </row>
    <row r="8236" spans="24:24" x14ac:dyDescent="0.25">
      <c r="X8236" s="256"/>
    </row>
    <row r="8237" spans="24:24" x14ac:dyDescent="0.25">
      <c r="X8237" s="256"/>
    </row>
    <row r="8238" spans="24:24" x14ac:dyDescent="0.25">
      <c r="X8238" s="256"/>
    </row>
    <row r="8239" spans="24:24" x14ac:dyDescent="0.25">
      <c r="X8239" s="256"/>
    </row>
    <row r="8240" spans="24:24" x14ac:dyDescent="0.25">
      <c r="X8240" s="256"/>
    </row>
    <row r="8241" spans="24:24" x14ac:dyDescent="0.25">
      <c r="X8241" s="256"/>
    </row>
    <row r="8242" spans="24:24" x14ac:dyDescent="0.25">
      <c r="X8242" s="256"/>
    </row>
    <row r="8243" spans="24:24" x14ac:dyDescent="0.25">
      <c r="X8243" s="256"/>
    </row>
    <row r="8244" spans="24:24" x14ac:dyDescent="0.25">
      <c r="X8244" s="256"/>
    </row>
    <row r="8245" spans="24:24" x14ac:dyDescent="0.25">
      <c r="X8245" s="256"/>
    </row>
    <row r="8246" spans="24:24" x14ac:dyDescent="0.25">
      <c r="X8246" s="256"/>
    </row>
    <row r="8247" spans="24:24" x14ac:dyDescent="0.25">
      <c r="X8247" s="256"/>
    </row>
    <row r="8248" spans="24:24" x14ac:dyDescent="0.25">
      <c r="X8248" s="256"/>
    </row>
    <row r="8249" spans="24:24" x14ac:dyDescent="0.25">
      <c r="X8249" s="256"/>
    </row>
    <row r="8250" spans="24:24" x14ac:dyDescent="0.25">
      <c r="X8250" s="256"/>
    </row>
    <row r="8251" spans="24:24" x14ac:dyDescent="0.25">
      <c r="X8251" s="256"/>
    </row>
    <row r="8252" spans="24:24" x14ac:dyDescent="0.25">
      <c r="X8252" s="256"/>
    </row>
    <row r="8253" spans="24:24" x14ac:dyDescent="0.25">
      <c r="X8253" s="256"/>
    </row>
    <row r="8254" spans="24:24" x14ac:dyDescent="0.25">
      <c r="X8254" s="256"/>
    </row>
    <row r="8255" spans="24:24" x14ac:dyDescent="0.25">
      <c r="X8255" s="256"/>
    </row>
    <row r="8256" spans="24:24" x14ac:dyDescent="0.25">
      <c r="X8256" s="256"/>
    </row>
    <row r="8257" spans="24:24" x14ac:dyDescent="0.25">
      <c r="X8257" s="256"/>
    </row>
    <row r="8258" spans="24:24" x14ac:dyDescent="0.25">
      <c r="X8258" s="256"/>
    </row>
    <row r="8259" spans="24:24" x14ac:dyDescent="0.25">
      <c r="X8259" s="256"/>
    </row>
    <row r="8260" spans="24:24" x14ac:dyDescent="0.25">
      <c r="X8260" s="256"/>
    </row>
    <row r="8261" spans="24:24" x14ac:dyDescent="0.25">
      <c r="X8261" s="256"/>
    </row>
    <row r="8262" spans="24:24" x14ac:dyDescent="0.25">
      <c r="X8262" s="256"/>
    </row>
    <row r="8263" spans="24:24" x14ac:dyDescent="0.25">
      <c r="X8263" s="256"/>
    </row>
    <row r="8264" spans="24:24" x14ac:dyDescent="0.25">
      <c r="X8264" s="256"/>
    </row>
    <row r="8265" spans="24:24" x14ac:dyDescent="0.25">
      <c r="X8265" s="256"/>
    </row>
    <row r="8266" spans="24:24" x14ac:dyDescent="0.25">
      <c r="X8266" s="256"/>
    </row>
    <row r="8267" spans="24:24" x14ac:dyDescent="0.25">
      <c r="X8267" s="256"/>
    </row>
    <row r="8268" spans="24:24" x14ac:dyDescent="0.25">
      <c r="X8268" s="256"/>
    </row>
    <row r="8269" spans="24:24" x14ac:dyDescent="0.25">
      <c r="X8269" s="256"/>
    </row>
    <row r="8270" spans="24:24" x14ac:dyDescent="0.25">
      <c r="X8270" s="256"/>
    </row>
    <row r="8271" spans="24:24" x14ac:dyDescent="0.25">
      <c r="X8271" s="256"/>
    </row>
    <row r="8272" spans="24:24" x14ac:dyDescent="0.25">
      <c r="X8272" s="256"/>
    </row>
    <row r="8273" spans="24:24" x14ac:dyDescent="0.25">
      <c r="X8273" s="256"/>
    </row>
    <row r="8274" spans="24:24" x14ac:dyDescent="0.25">
      <c r="X8274" s="256"/>
    </row>
    <row r="8275" spans="24:24" x14ac:dyDescent="0.25">
      <c r="X8275" s="256"/>
    </row>
    <row r="8276" spans="24:24" x14ac:dyDescent="0.25">
      <c r="X8276" s="256"/>
    </row>
    <row r="8277" spans="24:24" x14ac:dyDescent="0.25">
      <c r="X8277" s="256"/>
    </row>
    <row r="8278" spans="24:24" x14ac:dyDescent="0.25">
      <c r="X8278" s="256"/>
    </row>
    <row r="8279" spans="24:24" x14ac:dyDescent="0.25">
      <c r="X8279" s="256"/>
    </row>
    <row r="8280" spans="24:24" x14ac:dyDescent="0.25">
      <c r="X8280" s="256"/>
    </row>
    <row r="8281" spans="24:24" x14ac:dyDescent="0.25">
      <c r="X8281" s="256"/>
    </row>
    <row r="8282" spans="24:24" x14ac:dyDescent="0.25">
      <c r="X8282" s="256"/>
    </row>
    <row r="8283" spans="24:24" x14ac:dyDescent="0.25">
      <c r="X8283" s="256"/>
    </row>
    <row r="8284" spans="24:24" x14ac:dyDescent="0.25">
      <c r="X8284" s="256"/>
    </row>
    <row r="8285" spans="24:24" x14ac:dyDescent="0.25">
      <c r="X8285" s="256"/>
    </row>
    <row r="8286" spans="24:24" x14ac:dyDescent="0.25">
      <c r="X8286" s="256"/>
    </row>
    <row r="8287" spans="24:24" x14ac:dyDescent="0.25">
      <c r="X8287" s="256"/>
    </row>
    <row r="8288" spans="24:24" x14ac:dyDescent="0.25">
      <c r="X8288" s="256"/>
    </row>
    <row r="8289" spans="24:24" x14ac:dyDescent="0.25">
      <c r="X8289" s="256"/>
    </row>
    <row r="8290" spans="24:24" x14ac:dyDescent="0.25">
      <c r="X8290" s="256"/>
    </row>
    <row r="8291" spans="24:24" x14ac:dyDescent="0.25">
      <c r="X8291" s="256"/>
    </row>
    <row r="8292" spans="24:24" x14ac:dyDescent="0.25">
      <c r="X8292" s="256"/>
    </row>
    <row r="8293" spans="24:24" x14ac:dyDescent="0.25">
      <c r="X8293" s="256"/>
    </row>
    <row r="8294" spans="24:24" x14ac:dyDescent="0.25">
      <c r="X8294" s="256"/>
    </row>
    <row r="8295" spans="24:24" x14ac:dyDescent="0.25">
      <c r="X8295" s="256"/>
    </row>
    <row r="8296" spans="24:24" x14ac:dyDescent="0.25">
      <c r="X8296" s="256"/>
    </row>
    <row r="8297" spans="24:24" x14ac:dyDescent="0.25">
      <c r="X8297" s="256"/>
    </row>
    <row r="8298" spans="24:24" x14ac:dyDescent="0.25">
      <c r="X8298" s="256"/>
    </row>
    <row r="8299" spans="24:24" x14ac:dyDescent="0.25">
      <c r="X8299" s="256"/>
    </row>
    <row r="8300" spans="24:24" x14ac:dyDescent="0.25">
      <c r="X8300" s="256"/>
    </row>
    <row r="8301" spans="24:24" x14ac:dyDescent="0.25">
      <c r="X8301" s="256"/>
    </row>
    <row r="8302" spans="24:24" x14ac:dyDescent="0.25">
      <c r="X8302" s="256"/>
    </row>
    <row r="8303" spans="24:24" x14ac:dyDescent="0.25">
      <c r="X8303" s="256"/>
    </row>
    <row r="8304" spans="24:24" x14ac:dyDescent="0.25">
      <c r="X8304" s="256"/>
    </row>
    <row r="8305" spans="24:24" x14ac:dyDescent="0.25">
      <c r="X8305" s="256"/>
    </row>
    <row r="8306" spans="24:24" x14ac:dyDescent="0.25">
      <c r="X8306" s="256"/>
    </row>
    <row r="8307" spans="24:24" x14ac:dyDescent="0.25">
      <c r="X8307" s="256"/>
    </row>
    <row r="8308" spans="24:24" x14ac:dyDescent="0.25">
      <c r="X8308" s="256"/>
    </row>
    <row r="8309" spans="24:24" x14ac:dyDescent="0.25">
      <c r="X8309" s="256"/>
    </row>
    <row r="8310" spans="24:24" x14ac:dyDescent="0.25">
      <c r="X8310" s="256"/>
    </row>
    <row r="8311" spans="24:24" x14ac:dyDescent="0.25">
      <c r="X8311" s="256"/>
    </row>
    <row r="8312" spans="24:24" x14ac:dyDescent="0.25">
      <c r="X8312" s="256"/>
    </row>
    <row r="8313" spans="24:24" x14ac:dyDescent="0.25">
      <c r="X8313" s="256"/>
    </row>
    <row r="8314" spans="24:24" x14ac:dyDescent="0.25">
      <c r="X8314" s="256"/>
    </row>
    <row r="8315" spans="24:24" x14ac:dyDescent="0.25">
      <c r="X8315" s="256"/>
    </row>
    <row r="8316" spans="24:24" x14ac:dyDescent="0.25">
      <c r="X8316" s="256"/>
    </row>
    <row r="8317" spans="24:24" x14ac:dyDescent="0.25">
      <c r="X8317" s="256"/>
    </row>
    <row r="8318" spans="24:24" x14ac:dyDescent="0.25">
      <c r="X8318" s="256"/>
    </row>
    <row r="8319" spans="24:24" x14ac:dyDescent="0.25">
      <c r="X8319" s="256"/>
    </row>
    <row r="8320" spans="24:24" x14ac:dyDescent="0.25">
      <c r="X8320" s="256"/>
    </row>
    <row r="8321" spans="24:24" x14ac:dyDescent="0.25">
      <c r="X8321" s="256"/>
    </row>
    <row r="8322" spans="24:24" x14ac:dyDescent="0.25">
      <c r="X8322" s="256"/>
    </row>
    <row r="8323" spans="24:24" x14ac:dyDescent="0.25">
      <c r="X8323" s="256"/>
    </row>
    <row r="8324" spans="24:24" x14ac:dyDescent="0.25">
      <c r="X8324" s="256"/>
    </row>
    <row r="8325" spans="24:24" x14ac:dyDescent="0.25">
      <c r="X8325" s="256"/>
    </row>
    <row r="8326" spans="24:24" x14ac:dyDescent="0.25">
      <c r="X8326" s="256"/>
    </row>
    <row r="8327" spans="24:24" x14ac:dyDescent="0.25">
      <c r="X8327" s="256"/>
    </row>
    <row r="8328" spans="24:24" x14ac:dyDescent="0.25">
      <c r="X8328" s="256"/>
    </row>
    <row r="8329" spans="24:24" x14ac:dyDescent="0.25">
      <c r="X8329" s="256"/>
    </row>
    <row r="8330" spans="24:24" x14ac:dyDescent="0.25">
      <c r="X8330" s="256"/>
    </row>
    <row r="8331" spans="24:24" x14ac:dyDescent="0.25">
      <c r="X8331" s="256"/>
    </row>
    <row r="8332" spans="24:24" x14ac:dyDescent="0.25">
      <c r="X8332" s="256"/>
    </row>
    <row r="8333" spans="24:24" x14ac:dyDescent="0.25">
      <c r="X8333" s="256"/>
    </row>
    <row r="8334" spans="24:24" x14ac:dyDescent="0.25">
      <c r="X8334" s="256"/>
    </row>
    <row r="8335" spans="24:24" x14ac:dyDescent="0.25">
      <c r="X8335" s="256"/>
    </row>
    <row r="8336" spans="24:24" x14ac:dyDescent="0.25">
      <c r="X8336" s="256"/>
    </row>
    <row r="8337" spans="24:24" x14ac:dyDescent="0.25">
      <c r="X8337" s="256"/>
    </row>
    <row r="8338" spans="24:24" x14ac:dyDescent="0.25">
      <c r="X8338" s="256"/>
    </row>
    <row r="8339" spans="24:24" x14ac:dyDescent="0.25">
      <c r="X8339" s="256"/>
    </row>
    <row r="8340" spans="24:24" x14ac:dyDescent="0.25">
      <c r="X8340" s="256"/>
    </row>
    <row r="8341" spans="24:24" x14ac:dyDescent="0.25">
      <c r="X8341" s="256"/>
    </row>
    <row r="8342" spans="24:24" x14ac:dyDescent="0.25">
      <c r="X8342" s="256"/>
    </row>
    <row r="8343" spans="24:24" x14ac:dyDescent="0.25">
      <c r="X8343" s="256"/>
    </row>
    <row r="8344" spans="24:24" x14ac:dyDescent="0.25">
      <c r="X8344" s="256"/>
    </row>
    <row r="8345" spans="24:24" x14ac:dyDescent="0.25">
      <c r="X8345" s="256"/>
    </row>
    <row r="8346" spans="24:24" x14ac:dyDescent="0.25">
      <c r="X8346" s="256"/>
    </row>
    <row r="8347" spans="24:24" x14ac:dyDescent="0.25">
      <c r="X8347" s="256"/>
    </row>
    <row r="8348" spans="24:24" x14ac:dyDescent="0.25">
      <c r="X8348" s="256"/>
    </row>
    <row r="8349" spans="24:24" x14ac:dyDescent="0.25">
      <c r="X8349" s="256"/>
    </row>
    <row r="8350" spans="24:24" x14ac:dyDescent="0.25">
      <c r="X8350" s="256"/>
    </row>
    <row r="8351" spans="24:24" x14ac:dyDescent="0.25">
      <c r="X8351" s="256"/>
    </row>
    <row r="8352" spans="24:24" x14ac:dyDescent="0.25">
      <c r="X8352" s="256"/>
    </row>
    <row r="8353" spans="24:24" x14ac:dyDescent="0.25">
      <c r="X8353" s="256"/>
    </row>
    <row r="8354" spans="24:24" x14ac:dyDescent="0.25">
      <c r="X8354" s="256"/>
    </row>
    <row r="8355" spans="24:24" x14ac:dyDescent="0.25">
      <c r="X8355" s="256"/>
    </row>
    <row r="8356" spans="24:24" x14ac:dyDescent="0.25">
      <c r="X8356" s="256"/>
    </row>
    <row r="8357" spans="24:24" x14ac:dyDescent="0.25">
      <c r="X8357" s="256"/>
    </row>
    <row r="8358" spans="24:24" x14ac:dyDescent="0.25">
      <c r="X8358" s="256"/>
    </row>
    <row r="8359" spans="24:24" x14ac:dyDescent="0.25">
      <c r="X8359" s="256"/>
    </row>
    <row r="8360" spans="24:24" x14ac:dyDescent="0.25">
      <c r="X8360" s="256"/>
    </row>
    <row r="8361" spans="24:24" x14ac:dyDescent="0.25">
      <c r="X8361" s="256"/>
    </row>
    <row r="8362" spans="24:24" x14ac:dyDescent="0.25">
      <c r="X8362" s="256"/>
    </row>
    <row r="8363" spans="24:24" x14ac:dyDescent="0.25">
      <c r="X8363" s="256"/>
    </row>
    <row r="8364" spans="24:24" x14ac:dyDescent="0.25">
      <c r="X8364" s="256"/>
    </row>
    <row r="8365" spans="24:24" x14ac:dyDescent="0.25">
      <c r="X8365" s="256"/>
    </row>
    <row r="8366" spans="24:24" x14ac:dyDescent="0.25">
      <c r="X8366" s="256"/>
    </row>
    <row r="8367" spans="24:24" x14ac:dyDescent="0.25">
      <c r="X8367" s="256"/>
    </row>
    <row r="8368" spans="24:24" x14ac:dyDescent="0.25">
      <c r="X8368" s="256"/>
    </row>
    <row r="8369" spans="24:24" x14ac:dyDescent="0.25">
      <c r="X8369" s="256"/>
    </row>
    <row r="8370" spans="24:24" x14ac:dyDescent="0.25">
      <c r="X8370" s="256"/>
    </row>
    <row r="8371" spans="24:24" x14ac:dyDescent="0.25">
      <c r="X8371" s="256"/>
    </row>
    <row r="8372" spans="24:24" x14ac:dyDescent="0.25">
      <c r="X8372" s="256"/>
    </row>
    <row r="8373" spans="24:24" x14ac:dyDescent="0.25">
      <c r="X8373" s="256"/>
    </row>
    <row r="8374" spans="24:24" x14ac:dyDescent="0.25">
      <c r="X8374" s="256"/>
    </row>
    <row r="8375" spans="24:24" x14ac:dyDescent="0.25">
      <c r="X8375" s="256"/>
    </row>
    <row r="8376" spans="24:24" x14ac:dyDescent="0.25">
      <c r="X8376" s="256"/>
    </row>
    <row r="8377" spans="24:24" x14ac:dyDescent="0.25">
      <c r="X8377" s="256"/>
    </row>
    <row r="8378" spans="24:24" x14ac:dyDescent="0.25">
      <c r="X8378" s="256"/>
    </row>
    <row r="8379" spans="24:24" x14ac:dyDescent="0.25">
      <c r="X8379" s="256"/>
    </row>
    <row r="8380" spans="24:24" x14ac:dyDescent="0.25">
      <c r="X8380" s="256"/>
    </row>
    <row r="8381" spans="24:24" x14ac:dyDescent="0.25">
      <c r="X8381" s="256"/>
    </row>
    <row r="8382" spans="24:24" x14ac:dyDescent="0.25">
      <c r="X8382" s="256"/>
    </row>
    <row r="8383" spans="24:24" x14ac:dyDescent="0.25">
      <c r="X8383" s="256"/>
    </row>
    <row r="8384" spans="24:24" x14ac:dyDescent="0.25">
      <c r="X8384" s="256"/>
    </row>
    <row r="8385" spans="24:24" x14ac:dyDescent="0.25">
      <c r="X8385" s="256"/>
    </row>
    <row r="8386" spans="24:24" x14ac:dyDescent="0.25">
      <c r="X8386" s="256"/>
    </row>
    <row r="8387" spans="24:24" x14ac:dyDescent="0.25">
      <c r="X8387" s="256"/>
    </row>
    <row r="8388" spans="24:24" x14ac:dyDescent="0.25">
      <c r="X8388" s="256"/>
    </row>
    <row r="8389" spans="24:24" x14ac:dyDescent="0.25">
      <c r="X8389" s="256"/>
    </row>
    <row r="8390" spans="24:24" x14ac:dyDescent="0.25">
      <c r="X8390" s="256"/>
    </row>
    <row r="8391" spans="24:24" x14ac:dyDescent="0.25">
      <c r="X8391" s="256"/>
    </row>
    <row r="8392" spans="24:24" x14ac:dyDescent="0.25">
      <c r="X8392" s="256"/>
    </row>
    <row r="8393" spans="24:24" x14ac:dyDescent="0.25">
      <c r="X8393" s="256"/>
    </row>
    <row r="8394" spans="24:24" x14ac:dyDescent="0.25">
      <c r="X8394" s="256"/>
    </row>
    <row r="8395" spans="24:24" x14ac:dyDescent="0.25">
      <c r="X8395" s="256"/>
    </row>
    <row r="8396" spans="24:24" x14ac:dyDescent="0.25">
      <c r="X8396" s="256"/>
    </row>
    <row r="8397" spans="24:24" x14ac:dyDescent="0.25">
      <c r="X8397" s="256"/>
    </row>
    <row r="8398" spans="24:24" x14ac:dyDescent="0.25">
      <c r="X8398" s="256"/>
    </row>
    <row r="8399" spans="24:24" x14ac:dyDescent="0.25">
      <c r="X8399" s="256"/>
    </row>
    <row r="8400" spans="24:24" x14ac:dyDescent="0.25">
      <c r="X8400" s="256"/>
    </row>
    <row r="8401" spans="24:24" x14ac:dyDescent="0.25">
      <c r="X8401" s="256"/>
    </row>
    <row r="8402" spans="24:24" x14ac:dyDescent="0.25">
      <c r="X8402" s="256"/>
    </row>
    <row r="8403" spans="24:24" x14ac:dyDescent="0.25">
      <c r="X8403" s="256"/>
    </row>
    <row r="8404" spans="24:24" x14ac:dyDescent="0.25">
      <c r="X8404" s="256"/>
    </row>
    <row r="8405" spans="24:24" x14ac:dyDescent="0.25">
      <c r="X8405" s="256"/>
    </row>
    <row r="8406" spans="24:24" x14ac:dyDescent="0.25">
      <c r="X8406" s="256"/>
    </row>
    <row r="8407" spans="24:24" x14ac:dyDescent="0.25">
      <c r="X8407" s="256"/>
    </row>
    <row r="8408" spans="24:24" x14ac:dyDescent="0.25">
      <c r="X8408" s="256"/>
    </row>
    <row r="8409" spans="24:24" x14ac:dyDescent="0.25">
      <c r="X8409" s="256"/>
    </row>
    <row r="8410" spans="24:24" x14ac:dyDescent="0.25">
      <c r="X8410" s="256"/>
    </row>
    <row r="8411" spans="24:24" x14ac:dyDescent="0.25">
      <c r="X8411" s="256"/>
    </row>
    <row r="8412" spans="24:24" x14ac:dyDescent="0.25">
      <c r="X8412" s="256"/>
    </row>
    <row r="8413" spans="24:24" x14ac:dyDescent="0.25">
      <c r="X8413" s="256"/>
    </row>
    <row r="8414" spans="24:24" x14ac:dyDescent="0.25">
      <c r="X8414" s="256"/>
    </row>
    <row r="8415" spans="24:24" x14ac:dyDescent="0.25">
      <c r="X8415" s="256"/>
    </row>
    <row r="8416" spans="24:24" x14ac:dyDescent="0.25">
      <c r="X8416" s="256"/>
    </row>
    <row r="8417" spans="24:24" x14ac:dyDescent="0.25">
      <c r="X8417" s="256"/>
    </row>
    <row r="8418" spans="24:24" x14ac:dyDescent="0.25">
      <c r="X8418" s="256"/>
    </row>
    <row r="8419" spans="24:24" x14ac:dyDescent="0.25">
      <c r="X8419" s="256"/>
    </row>
    <row r="8420" spans="24:24" x14ac:dyDescent="0.25">
      <c r="X8420" s="256"/>
    </row>
    <row r="8421" spans="24:24" x14ac:dyDescent="0.25">
      <c r="X8421" s="256"/>
    </row>
    <row r="8422" spans="24:24" x14ac:dyDescent="0.25">
      <c r="X8422" s="256"/>
    </row>
    <row r="8423" spans="24:24" x14ac:dyDescent="0.25">
      <c r="X8423" s="256"/>
    </row>
    <row r="8424" spans="24:24" x14ac:dyDescent="0.25">
      <c r="X8424" s="256"/>
    </row>
    <row r="8425" spans="24:24" x14ac:dyDescent="0.25">
      <c r="X8425" s="256"/>
    </row>
    <row r="8426" spans="24:24" x14ac:dyDescent="0.25">
      <c r="X8426" s="256"/>
    </row>
    <row r="8427" spans="24:24" x14ac:dyDescent="0.25">
      <c r="X8427" s="256"/>
    </row>
    <row r="8428" spans="24:24" x14ac:dyDescent="0.25">
      <c r="X8428" s="256"/>
    </row>
    <row r="8429" spans="24:24" x14ac:dyDescent="0.25">
      <c r="X8429" s="256"/>
    </row>
    <row r="8430" spans="24:24" x14ac:dyDescent="0.25">
      <c r="X8430" s="256"/>
    </row>
    <row r="8431" spans="24:24" x14ac:dyDescent="0.25">
      <c r="X8431" s="256"/>
    </row>
    <row r="8432" spans="24:24" x14ac:dyDescent="0.25">
      <c r="X8432" s="256"/>
    </row>
    <row r="8433" spans="24:24" x14ac:dyDescent="0.25">
      <c r="X8433" s="256"/>
    </row>
    <row r="8434" spans="24:24" x14ac:dyDescent="0.25">
      <c r="X8434" s="256"/>
    </row>
    <row r="8435" spans="24:24" x14ac:dyDescent="0.25">
      <c r="X8435" s="256"/>
    </row>
    <row r="8436" spans="24:24" x14ac:dyDescent="0.25">
      <c r="X8436" s="256"/>
    </row>
    <row r="8437" spans="24:24" x14ac:dyDescent="0.25">
      <c r="X8437" s="256"/>
    </row>
    <row r="8438" spans="24:24" x14ac:dyDescent="0.25">
      <c r="X8438" s="256"/>
    </row>
    <row r="8439" spans="24:24" x14ac:dyDescent="0.25">
      <c r="X8439" s="256"/>
    </row>
    <row r="8440" spans="24:24" x14ac:dyDescent="0.25">
      <c r="X8440" s="256"/>
    </row>
    <row r="8441" spans="24:24" x14ac:dyDescent="0.25">
      <c r="X8441" s="256"/>
    </row>
    <row r="8442" spans="24:24" x14ac:dyDescent="0.25">
      <c r="X8442" s="256"/>
    </row>
    <row r="8443" spans="24:24" x14ac:dyDescent="0.25">
      <c r="X8443" s="256"/>
    </row>
    <row r="8444" spans="24:24" x14ac:dyDescent="0.25">
      <c r="X8444" s="256"/>
    </row>
    <row r="8445" spans="24:24" x14ac:dyDescent="0.25">
      <c r="X8445" s="256"/>
    </row>
    <row r="8446" spans="24:24" x14ac:dyDescent="0.25">
      <c r="X8446" s="256"/>
    </row>
    <row r="8447" spans="24:24" x14ac:dyDescent="0.25">
      <c r="X8447" s="256"/>
    </row>
    <row r="8448" spans="24:24" x14ac:dyDescent="0.25">
      <c r="X8448" s="256"/>
    </row>
    <row r="8449" spans="24:24" x14ac:dyDescent="0.25">
      <c r="X8449" s="256"/>
    </row>
    <row r="8450" spans="24:24" x14ac:dyDescent="0.25">
      <c r="X8450" s="256"/>
    </row>
    <row r="8451" spans="24:24" x14ac:dyDescent="0.25">
      <c r="X8451" s="256"/>
    </row>
    <row r="8452" spans="24:24" x14ac:dyDescent="0.25">
      <c r="X8452" s="256"/>
    </row>
    <row r="8453" spans="24:24" x14ac:dyDescent="0.25">
      <c r="X8453" s="256"/>
    </row>
    <row r="8454" spans="24:24" x14ac:dyDescent="0.25">
      <c r="X8454" s="256"/>
    </row>
    <row r="8455" spans="24:24" x14ac:dyDescent="0.25">
      <c r="X8455" s="256"/>
    </row>
    <row r="8456" spans="24:24" x14ac:dyDescent="0.25">
      <c r="X8456" s="256"/>
    </row>
    <row r="8457" spans="24:24" x14ac:dyDescent="0.25">
      <c r="X8457" s="256"/>
    </row>
    <row r="8458" spans="24:24" x14ac:dyDescent="0.25">
      <c r="X8458" s="256"/>
    </row>
    <row r="8459" spans="24:24" x14ac:dyDescent="0.25">
      <c r="X8459" s="256"/>
    </row>
    <row r="8460" spans="24:24" x14ac:dyDescent="0.25">
      <c r="X8460" s="256"/>
    </row>
    <row r="8461" spans="24:24" x14ac:dyDescent="0.25">
      <c r="X8461" s="256"/>
    </row>
    <row r="8462" spans="24:24" x14ac:dyDescent="0.25">
      <c r="X8462" s="256"/>
    </row>
    <row r="8463" spans="24:24" x14ac:dyDescent="0.25">
      <c r="X8463" s="256"/>
    </row>
    <row r="8464" spans="24:24" x14ac:dyDescent="0.25">
      <c r="X8464" s="256"/>
    </row>
    <row r="8465" spans="24:24" x14ac:dyDescent="0.25">
      <c r="X8465" s="256"/>
    </row>
    <row r="8466" spans="24:24" x14ac:dyDescent="0.25">
      <c r="X8466" s="256"/>
    </row>
    <row r="8467" spans="24:24" x14ac:dyDescent="0.25">
      <c r="X8467" s="256"/>
    </row>
    <row r="8468" spans="24:24" x14ac:dyDescent="0.25">
      <c r="X8468" s="256"/>
    </row>
    <row r="8469" spans="24:24" x14ac:dyDescent="0.25">
      <c r="X8469" s="256"/>
    </row>
    <row r="8470" spans="24:24" x14ac:dyDescent="0.25">
      <c r="X8470" s="256"/>
    </row>
    <row r="8471" spans="24:24" x14ac:dyDescent="0.25">
      <c r="X8471" s="256"/>
    </row>
    <row r="8472" spans="24:24" x14ac:dyDescent="0.25">
      <c r="X8472" s="256"/>
    </row>
    <row r="8473" spans="24:24" x14ac:dyDescent="0.25">
      <c r="X8473" s="256"/>
    </row>
    <row r="8474" spans="24:24" x14ac:dyDescent="0.25">
      <c r="X8474" s="256"/>
    </row>
    <row r="8475" spans="24:24" x14ac:dyDescent="0.25">
      <c r="X8475" s="256"/>
    </row>
    <row r="8476" spans="24:24" x14ac:dyDescent="0.25">
      <c r="X8476" s="256"/>
    </row>
    <row r="8477" spans="24:24" x14ac:dyDescent="0.25">
      <c r="X8477" s="256"/>
    </row>
    <row r="8478" spans="24:24" x14ac:dyDescent="0.25">
      <c r="X8478" s="256"/>
    </row>
    <row r="8479" spans="24:24" x14ac:dyDescent="0.25">
      <c r="X8479" s="256"/>
    </row>
    <row r="8480" spans="24:24" x14ac:dyDescent="0.25">
      <c r="X8480" s="256"/>
    </row>
    <row r="8481" spans="24:24" x14ac:dyDescent="0.25">
      <c r="X8481" s="256"/>
    </row>
    <row r="8482" spans="24:24" x14ac:dyDescent="0.25">
      <c r="X8482" s="256"/>
    </row>
    <row r="8483" spans="24:24" x14ac:dyDescent="0.25">
      <c r="X8483" s="256"/>
    </row>
    <row r="8484" spans="24:24" x14ac:dyDescent="0.25">
      <c r="X8484" s="256"/>
    </row>
    <row r="8485" spans="24:24" x14ac:dyDescent="0.25">
      <c r="X8485" s="256"/>
    </row>
    <row r="8486" spans="24:24" x14ac:dyDescent="0.25">
      <c r="X8486" s="256"/>
    </row>
    <row r="8487" spans="24:24" x14ac:dyDescent="0.25">
      <c r="X8487" s="256"/>
    </row>
    <row r="8488" spans="24:24" x14ac:dyDescent="0.25">
      <c r="X8488" s="256"/>
    </row>
    <row r="8489" spans="24:24" x14ac:dyDescent="0.25">
      <c r="X8489" s="256"/>
    </row>
    <row r="8490" spans="24:24" x14ac:dyDescent="0.25">
      <c r="X8490" s="256"/>
    </row>
    <row r="8491" spans="24:24" x14ac:dyDescent="0.25">
      <c r="X8491" s="256"/>
    </row>
    <row r="8492" spans="24:24" x14ac:dyDescent="0.25">
      <c r="X8492" s="256"/>
    </row>
    <row r="8493" spans="24:24" x14ac:dyDescent="0.25">
      <c r="X8493" s="256"/>
    </row>
    <row r="8494" spans="24:24" x14ac:dyDescent="0.25">
      <c r="X8494" s="256"/>
    </row>
    <row r="8495" spans="24:24" x14ac:dyDescent="0.25">
      <c r="X8495" s="256"/>
    </row>
    <row r="8496" spans="24:24" x14ac:dyDescent="0.25">
      <c r="X8496" s="256"/>
    </row>
    <row r="8497" spans="24:24" x14ac:dyDescent="0.25">
      <c r="X8497" s="256"/>
    </row>
    <row r="8498" spans="24:24" x14ac:dyDescent="0.25">
      <c r="X8498" s="256"/>
    </row>
    <row r="8499" spans="24:24" x14ac:dyDescent="0.25">
      <c r="X8499" s="256"/>
    </row>
    <row r="8500" spans="24:24" x14ac:dyDescent="0.25">
      <c r="X8500" s="256"/>
    </row>
    <row r="8501" spans="24:24" x14ac:dyDescent="0.25">
      <c r="X8501" s="256"/>
    </row>
    <row r="8502" spans="24:24" x14ac:dyDescent="0.25">
      <c r="X8502" s="256"/>
    </row>
    <row r="8503" spans="24:24" x14ac:dyDescent="0.25">
      <c r="X8503" s="256"/>
    </row>
    <row r="8504" spans="24:24" x14ac:dyDescent="0.25">
      <c r="X8504" s="256"/>
    </row>
    <row r="8505" spans="24:24" x14ac:dyDescent="0.25">
      <c r="X8505" s="256"/>
    </row>
    <row r="8506" spans="24:24" x14ac:dyDescent="0.25">
      <c r="X8506" s="256"/>
    </row>
    <row r="8507" spans="24:24" x14ac:dyDescent="0.25">
      <c r="X8507" s="256"/>
    </row>
    <row r="8508" spans="24:24" x14ac:dyDescent="0.25">
      <c r="X8508" s="256"/>
    </row>
    <row r="8509" spans="24:24" x14ac:dyDescent="0.25">
      <c r="X8509" s="256"/>
    </row>
    <row r="8510" spans="24:24" x14ac:dyDescent="0.25">
      <c r="X8510" s="256"/>
    </row>
    <row r="8511" spans="24:24" x14ac:dyDescent="0.25">
      <c r="X8511" s="256"/>
    </row>
    <row r="8512" spans="24:24" x14ac:dyDescent="0.25">
      <c r="X8512" s="256"/>
    </row>
    <row r="8513" spans="24:24" x14ac:dyDescent="0.25">
      <c r="X8513" s="256"/>
    </row>
    <row r="8514" spans="24:24" x14ac:dyDescent="0.25">
      <c r="X8514" s="256"/>
    </row>
    <row r="8515" spans="24:24" x14ac:dyDescent="0.25">
      <c r="X8515" s="256"/>
    </row>
    <row r="8516" spans="24:24" x14ac:dyDescent="0.25">
      <c r="X8516" s="256"/>
    </row>
    <row r="8517" spans="24:24" x14ac:dyDescent="0.25">
      <c r="X8517" s="256"/>
    </row>
    <row r="8518" spans="24:24" x14ac:dyDescent="0.25">
      <c r="X8518" s="256"/>
    </row>
    <row r="8519" spans="24:24" x14ac:dyDescent="0.25">
      <c r="X8519" s="256"/>
    </row>
    <row r="8520" spans="24:24" x14ac:dyDescent="0.25">
      <c r="X8520" s="256"/>
    </row>
    <row r="8521" spans="24:24" x14ac:dyDescent="0.25">
      <c r="X8521" s="256"/>
    </row>
    <row r="8522" spans="24:24" x14ac:dyDescent="0.25">
      <c r="X8522" s="256"/>
    </row>
    <row r="8523" spans="24:24" x14ac:dyDescent="0.25">
      <c r="X8523" s="256"/>
    </row>
    <row r="8524" spans="24:24" x14ac:dyDescent="0.25">
      <c r="X8524" s="256"/>
    </row>
    <row r="8525" spans="24:24" x14ac:dyDescent="0.25">
      <c r="X8525" s="256"/>
    </row>
    <row r="8526" spans="24:24" x14ac:dyDescent="0.25">
      <c r="X8526" s="256"/>
    </row>
    <row r="8527" spans="24:24" x14ac:dyDescent="0.25">
      <c r="X8527" s="256"/>
    </row>
    <row r="8528" spans="24:24" x14ac:dyDescent="0.25">
      <c r="X8528" s="256"/>
    </row>
    <row r="8529" spans="24:24" x14ac:dyDescent="0.25">
      <c r="X8529" s="256"/>
    </row>
    <row r="8530" spans="24:24" x14ac:dyDescent="0.25">
      <c r="X8530" s="256"/>
    </row>
    <row r="8531" spans="24:24" x14ac:dyDescent="0.25">
      <c r="X8531" s="256"/>
    </row>
    <row r="8532" spans="24:24" x14ac:dyDescent="0.25">
      <c r="X8532" s="256"/>
    </row>
    <row r="8533" spans="24:24" x14ac:dyDescent="0.25">
      <c r="X8533" s="256"/>
    </row>
    <row r="8534" spans="24:24" x14ac:dyDescent="0.25">
      <c r="X8534" s="256"/>
    </row>
    <row r="8535" spans="24:24" x14ac:dyDescent="0.25">
      <c r="X8535" s="256"/>
    </row>
    <row r="8536" spans="24:24" x14ac:dyDescent="0.25">
      <c r="X8536" s="256"/>
    </row>
    <row r="8537" spans="24:24" x14ac:dyDescent="0.25">
      <c r="X8537" s="256"/>
    </row>
    <row r="8538" spans="24:24" x14ac:dyDescent="0.25">
      <c r="X8538" s="256"/>
    </row>
    <row r="8539" spans="24:24" x14ac:dyDescent="0.25">
      <c r="X8539" s="256"/>
    </row>
    <row r="8540" spans="24:24" x14ac:dyDescent="0.25">
      <c r="X8540" s="256"/>
    </row>
    <row r="8541" spans="24:24" x14ac:dyDescent="0.25">
      <c r="X8541" s="256"/>
    </row>
    <row r="8542" spans="24:24" x14ac:dyDescent="0.25">
      <c r="X8542" s="256"/>
    </row>
    <row r="8543" spans="24:24" x14ac:dyDescent="0.25">
      <c r="X8543" s="256"/>
    </row>
    <row r="8544" spans="24:24" x14ac:dyDescent="0.25">
      <c r="X8544" s="256"/>
    </row>
    <row r="8545" spans="24:24" x14ac:dyDescent="0.25">
      <c r="X8545" s="256"/>
    </row>
    <row r="8546" spans="24:24" x14ac:dyDescent="0.25">
      <c r="X8546" s="256"/>
    </row>
    <row r="8547" spans="24:24" x14ac:dyDescent="0.25">
      <c r="X8547" s="256"/>
    </row>
    <row r="8548" spans="24:24" x14ac:dyDescent="0.25">
      <c r="X8548" s="256"/>
    </row>
    <row r="8549" spans="24:24" x14ac:dyDescent="0.25">
      <c r="X8549" s="256"/>
    </row>
    <row r="8550" spans="24:24" x14ac:dyDescent="0.25">
      <c r="X8550" s="256"/>
    </row>
    <row r="8551" spans="24:24" x14ac:dyDescent="0.25">
      <c r="X8551" s="256"/>
    </row>
    <row r="8552" spans="24:24" x14ac:dyDescent="0.25">
      <c r="X8552" s="256"/>
    </row>
    <row r="8553" spans="24:24" x14ac:dyDescent="0.25">
      <c r="X8553" s="256"/>
    </row>
    <row r="8554" spans="24:24" x14ac:dyDescent="0.25">
      <c r="X8554" s="256"/>
    </row>
    <row r="8555" spans="24:24" x14ac:dyDescent="0.25">
      <c r="X8555" s="256"/>
    </row>
    <row r="8556" spans="24:24" x14ac:dyDescent="0.25">
      <c r="X8556" s="256"/>
    </row>
    <row r="8557" spans="24:24" x14ac:dyDescent="0.25">
      <c r="X8557" s="256"/>
    </row>
    <row r="8558" spans="24:24" x14ac:dyDescent="0.25">
      <c r="X8558" s="256"/>
    </row>
    <row r="8559" spans="24:24" x14ac:dyDescent="0.25">
      <c r="X8559" s="256"/>
    </row>
    <row r="8560" spans="24:24" x14ac:dyDescent="0.25">
      <c r="X8560" s="256"/>
    </row>
    <row r="8561" spans="24:24" x14ac:dyDescent="0.25">
      <c r="X8561" s="256"/>
    </row>
    <row r="8562" spans="24:24" x14ac:dyDescent="0.25">
      <c r="X8562" s="256"/>
    </row>
    <row r="8563" spans="24:24" x14ac:dyDescent="0.25">
      <c r="X8563" s="256"/>
    </row>
    <row r="8564" spans="24:24" x14ac:dyDescent="0.25">
      <c r="X8564" s="256"/>
    </row>
    <row r="8565" spans="24:24" x14ac:dyDescent="0.25">
      <c r="X8565" s="256"/>
    </row>
    <row r="8566" spans="24:24" x14ac:dyDescent="0.25">
      <c r="X8566" s="256"/>
    </row>
    <row r="8567" spans="24:24" x14ac:dyDescent="0.25">
      <c r="X8567" s="256"/>
    </row>
    <row r="8568" spans="24:24" x14ac:dyDescent="0.25">
      <c r="X8568" s="256"/>
    </row>
    <row r="8569" spans="24:24" x14ac:dyDescent="0.25">
      <c r="X8569" s="256"/>
    </row>
    <row r="8570" spans="24:24" x14ac:dyDescent="0.25">
      <c r="X8570" s="256"/>
    </row>
    <row r="8571" spans="24:24" x14ac:dyDescent="0.25">
      <c r="X8571" s="256"/>
    </row>
    <row r="8572" spans="24:24" x14ac:dyDescent="0.25">
      <c r="X8572" s="256"/>
    </row>
    <row r="8573" spans="24:24" x14ac:dyDescent="0.25">
      <c r="X8573" s="256"/>
    </row>
    <row r="8574" spans="24:24" x14ac:dyDescent="0.25">
      <c r="X8574" s="256"/>
    </row>
    <row r="8575" spans="24:24" x14ac:dyDescent="0.25">
      <c r="X8575" s="256"/>
    </row>
    <row r="8576" spans="24:24" x14ac:dyDescent="0.25">
      <c r="X8576" s="256"/>
    </row>
    <row r="8577" spans="24:24" x14ac:dyDescent="0.25">
      <c r="X8577" s="256"/>
    </row>
    <row r="8578" spans="24:24" x14ac:dyDescent="0.25">
      <c r="X8578" s="256"/>
    </row>
    <row r="8579" spans="24:24" x14ac:dyDescent="0.25">
      <c r="X8579" s="256"/>
    </row>
    <row r="8580" spans="24:24" x14ac:dyDescent="0.25">
      <c r="X8580" s="256"/>
    </row>
    <row r="8581" spans="24:24" x14ac:dyDescent="0.25">
      <c r="X8581" s="256"/>
    </row>
    <row r="8582" spans="24:24" x14ac:dyDescent="0.25">
      <c r="X8582" s="256"/>
    </row>
    <row r="8583" spans="24:24" x14ac:dyDescent="0.25">
      <c r="X8583" s="256"/>
    </row>
    <row r="8584" spans="24:24" x14ac:dyDescent="0.25">
      <c r="X8584" s="256"/>
    </row>
    <row r="8585" spans="24:24" x14ac:dyDescent="0.25">
      <c r="X8585" s="256"/>
    </row>
    <row r="8586" spans="24:24" x14ac:dyDescent="0.25">
      <c r="X8586" s="256"/>
    </row>
    <row r="8587" spans="24:24" x14ac:dyDescent="0.25">
      <c r="X8587" s="256"/>
    </row>
    <row r="8588" spans="24:24" x14ac:dyDescent="0.25">
      <c r="X8588" s="256"/>
    </row>
    <row r="8589" spans="24:24" x14ac:dyDescent="0.25">
      <c r="X8589" s="256"/>
    </row>
    <row r="8590" spans="24:24" x14ac:dyDescent="0.25">
      <c r="X8590" s="256"/>
    </row>
    <row r="8591" spans="24:24" x14ac:dyDescent="0.25">
      <c r="X8591" s="256"/>
    </row>
    <row r="8592" spans="24:24" x14ac:dyDescent="0.25">
      <c r="X8592" s="256"/>
    </row>
    <row r="8593" spans="24:24" x14ac:dyDescent="0.25">
      <c r="X8593" s="256"/>
    </row>
    <row r="8594" spans="24:24" x14ac:dyDescent="0.25">
      <c r="X8594" s="256"/>
    </row>
    <row r="8595" spans="24:24" x14ac:dyDescent="0.25">
      <c r="X8595" s="256"/>
    </row>
    <row r="8596" spans="24:24" x14ac:dyDescent="0.25">
      <c r="X8596" s="256"/>
    </row>
    <row r="8597" spans="24:24" x14ac:dyDescent="0.25">
      <c r="X8597" s="256"/>
    </row>
    <row r="8598" spans="24:24" x14ac:dyDescent="0.25">
      <c r="X8598" s="256"/>
    </row>
    <row r="8599" spans="24:24" x14ac:dyDescent="0.25">
      <c r="X8599" s="256"/>
    </row>
    <row r="8600" spans="24:24" x14ac:dyDescent="0.25">
      <c r="X8600" s="256"/>
    </row>
    <row r="8601" spans="24:24" x14ac:dyDescent="0.25">
      <c r="X8601" s="256"/>
    </row>
    <row r="8602" spans="24:24" x14ac:dyDescent="0.25">
      <c r="X8602" s="256"/>
    </row>
    <row r="8603" spans="24:24" x14ac:dyDescent="0.25">
      <c r="X8603" s="256"/>
    </row>
    <row r="8604" spans="24:24" x14ac:dyDescent="0.25">
      <c r="X8604" s="256"/>
    </row>
    <row r="8605" spans="24:24" x14ac:dyDescent="0.25">
      <c r="X8605" s="256"/>
    </row>
    <row r="8606" spans="24:24" x14ac:dyDescent="0.25">
      <c r="X8606" s="256"/>
    </row>
    <row r="8607" spans="24:24" x14ac:dyDescent="0.25">
      <c r="X8607" s="256"/>
    </row>
    <row r="8608" spans="24:24" x14ac:dyDescent="0.25">
      <c r="X8608" s="256"/>
    </row>
    <row r="8609" spans="24:24" x14ac:dyDescent="0.25">
      <c r="X8609" s="256"/>
    </row>
    <row r="8610" spans="24:24" x14ac:dyDescent="0.25">
      <c r="X8610" s="256"/>
    </row>
    <row r="8611" spans="24:24" x14ac:dyDescent="0.25">
      <c r="X8611" s="256"/>
    </row>
    <row r="8612" spans="24:24" x14ac:dyDescent="0.25">
      <c r="X8612" s="256"/>
    </row>
    <row r="8613" spans="24:24" x14ac:dyDescent="0.25">
      <c r="X8613" s="256"/>
    </row>
    <row r="8614" spans="24:24" x14ac:dyDescent="0.25">
      <c r="X8614" s="256"/>
    </row>
    <row r="8615" spans="24:24" x14ac:dyDescent="0.25">
      <c r="X8615" s="256"/>
    </row>
    <row r="8616" spans="24:24" x14ac:dyDescent="0.25">
      <c r="X8616" s="256"/>
    </row>
    <row r="8617" spans="24:24" x14ac:dyDescent="0.25">
      <c r="X8617" s="256"/>
    </row>
    <row r="8618" spans="24:24" x14ac:dyDescent="0.25">
      <c r="X8618" s="256"/>
    </row>
    <row r="8619" spans="24:24" x14ac:dyDescent="0.25">
      <c r="X8619" s="256"/>
    </row>
    <row r="8620" spans="24:24" x14ac:dyDescent="0.25">
      <c r="X8620" s="256"/>
    </row>
    <row r="8621" spans="24:24" x14ac:dyDescent="0.25">
      <c r="X8621" s="256"/>
    </row>
    <row r="8622" spans="24:24" x14ac:dyDescent="0.25">
      <c r="X8622" s="256"/>
    </row>
    <row r="8623" spans="24:24" x14ac:dyDescent="0.25">
      <c r="X8623" s="256"/>
    </row>
    <row r="8624" spans="24:24" x14ac:dyDescent="0.25">
      <c r="X8624" s="256"/>
    </row>
    <row r="8625" spans="24:24" x14ac:dyDescent="0.25">
      <c r="X8625" s="256"/>
    </row>
    <row r="8626" spans="24:24" x14ac:dyDescent="0.25">
      <c r="X8626" s="256"/>
    </row>
    <row r="8627" spans="24:24" x14ac:dyDescent="0.25">
      <c r="X8627" s="256"/>
    </row>
    <row r="8628" spans="24:24" x14ac:dyDescent="0.25">
      <c r="X8628" s="256"/>
    </row>
    <row r="8629" spans="24:24" x14ac:dyDescent="0.25">
      <c r="X8629" s="256"/>
    </row>
    <row r="8630" spans="24:24" x14ac:dyDescent="0.25">
      <c r="X8630" s="256"/>
    </row>
    <row r="8631" spans="24:24" x14ac:dyDescent="0.25">
      <c r="X8631" s="256"/>
    </row>
    <row r="8632" spans="24:24" x14ac:dyDescent="0.25">
      <c r="X8632" s="256"/>
    </row>
    <row r="8633" spans="24:24" x14ac:dyDescent="0.25">
      <c r="X8633" s="256"/>
    </row>
    <row r="8634" spans="24:24" x14ac:dyDescent="0.25">
      <c r="X8634" s="256"/>
    </row>
    <row r="8635" spans="24:24" x14ac:dyDescent="0.25">
      <c r="X8635" s="256"/>
    </row>
    <row r="8636" spans="24:24" x14ac:dyDescent="0.25">
      <c r="X8636" s="256"/>
    </row>
    <row r="8637" spans="24:24" x14ac:dyDescent="0.25">
      <c r="X8637" s="256"/>
    </row>
    <row r="8638" spans="24:24" x14ac:dyDescent="0.25">
      <c r="X8638" s="256"/>
    </row>
    <row r="8639" spans="24:24" x14ac:dyDescent="0.25">
      <c r="X8639" s="256"/>
    </row>
    <row r="8640" spans="24:24" x14ac:dyDescent="0.25">
      <c r="X8640" s="256"/>
    </row>
    <row r="8641" spans="24:24" x14ac:dyDescent="0.25">
      <c r="X8641" s="256"/>
    </row>
    <row r="8642" spans="24:24" x14ac:dyDescent="0.25">
      <c r="X8642" s="256"/>
    </row>
    <row r="8643" spans="24:24" x14ac:dyDescent="0.25">
      <c r="X8643" s="256"/>
    </row>
    <row r="8644" spans="24:24" x14ac:dyDescent="0.25">
      <c r="X8644" s="256"/>
    </row>
    <row r="8645" spans="24:24" x14ac:dyDescent="0.25">
      <c r="X8645" s="256"/>
    </row>
    <row r="8646" spans="24:24" x14ac:dyDescent="0.25">
      <c r="X8646" s="256"/>
    </row>
    <row r="8647" spans="24:24" x14ac:dyDescent="0.25">
      <c r="X8647" s="256"/>
    </row>
    <row r="8648" spans="24:24" x14ac:dyDescent="0.25">
      <c r="X8648" s="256"/>
    </row>
    <row r="8649" spans="24:24" x14ac:dyDescent="0.25">
      <c r="X8649" s="256"/>
    </row>
    <row r="8650" spans="24:24" x14ac:dyDescent="0.25">
      <c r="X8650" s="256"/>
    </row>
    <row r="8651" spans="24:24" x14ac:dyDescent="0.25">
      <c r="X8651" s="256"/>
    </row>
    <row r="8652" spans="24:24" x14ac:dyDescent="0.25">
      <c r="X8652" s="256"/>
    </row>
    <row r="8653" spans="24:24" x14ac:dyDescent="0.25">
      <c r="X8653" s="256"/>
    </row>
    <row r="8654" spans="24:24" x14ac:dyDescent="0.25">
      <c r="X8654" s="256"/>
    </row>
    <row r="8655" spans="24:24" x14ac:dyDescent="0.25">
      <c r="X8655" s="256"/>
    </row>
    <row r="8656" spans="24:24" x14ac:dyDescent="0.25">
      <c r="X8656" s="256"/>
    </row>
    <row r="8657" spans="24:24" x14ac:dyDescent="0.25">
      <c r="X8657" s="256"/>
    </row>
    <row r="8658" spans="24:24" x14ac:dyDescent="0.25">
      <c r="X8658" s="256"/>
    </row>
    <row r="8659" spans="24:24" x14ac:dyDescent="0.25">
      <c r="X8659" s="256"/>
    </row>
    <row r="8660" spans="24:24" x14ac:dyDescent="0.25">
      <c r="X8660" s="256"/>
    </row>
    <row r="8661" spans="24:24" x14ac:dyDescent="0.25">
      <c r="X8661" s="256"/>
    </row>
    <row r="8662" spans="24:24" x14ac:dyDescent="0.25">
      <c r="X8662" s="256"/>
    </row>
    <row r="8663" spans="24:24" x14ac:dyDescent="0.25">
      <c r="X8663" s="256"/>
    </row>
    <row r="8664" spans="24:24" x14ac:dyDescent="0.25">
      <c r="X8664" s="256"/>
    </row>
    <row r="8665" spans="24:24" x14ac:dyDescent="0.25">
      <c r="X8665" s="256"/>
    </row>
    <row r="8666" spans="24:24" x14ac:dyDescent="0.25">
      <c r="X8666" s="256"/>
    </row>
    <row r="8667" spans="24:24" x14ac:dyDescent="0.25">
      <c r="X8667" s="256"/>
    </row>
    <row r="8668" spans="24:24" x14ac:dyDescent="0.25">
      <c r="X8668" s="256"/>
    </row>
    <row r="8669" spans="24:24" x14ac:dyDescent="0.25">
      <c r="X8669" s="256"/>
    </row>
    <row r="8670" spans="24:24" x14ac:dyDescent="0.25">
      <c r="X8670" s="256"/>
    </row>
    <row r="8671" spans="24:24" x14ac:dyDescent="0.25">
      <c r="X8671" s="256"/>
    </row>
    <row r="8672" spans="24:24" x14ac:dyDescent="0.25">
      <c r="X8672" s="256"/>
    </row>
    <row r="8673" spans="24:24" x14ac:dyDescent="0.25">
      <c r="X8673" s="256"/>
    </row>
    <row r="8674" spans="24:24" x14ac:dyDescent="0.25">
      <c r="X8674" s="256"/>
    </row>
    <row r="8675" spans="24:24" x14ac:dyDescent="0.25">
      <c r="X8675" s="256"/>
    </row>
    <row r="8676" spans="24:24" x14ac:dyDescent="0.25">
      <c r="X8676" s="256"/>
    </row>
    <row r="8677" spans="24:24" x14ac:dyDescent="0.25">
      <c r="X8677" s="256"/>
    </row>
    <row r="8678" spans="24:24" x14ac:dyDescent="0.25">
      <c r="X8678" s="256"/>
    </row>
    <row r="8679" spans="24:24" x14ac:dyDescent="0.25">
      <c r="X8679" s="256"/>
    </row>
    <row r="8680" spans="24:24" x14ac:dyDescent="0.25">
      <c r="X8680" s="256"/>
    </row>
    <row r="8681" spans="24:24" x14ac:dyDescent="0.25">
      <c r="X8681" s="256"/>
    </row>
    <row r="8682" spans="24:24" x14ac:dyDescent="0.25">
      <c r="X8682" s="256"/>
    </row>
    <row r="8683" spans="24:24" x14ac:dyDescent="0.25">
      <c r="X8683" s="256"/>
    </row>
    <row r="8684" spans="24:24" x14ac:dyDescent="0.25">
      <c r="X8684" s="256"/>
    </row>
    <row r="8685" spans="24:24" x14ac:dyDescent="0.25">
      <c r="X8685" s="256"/>
    </row>
    <row r="8686" spans="24:24" x14ac:dyDescent="0.25">
      <c r="X8686" s="256"/>
    </row>
    <row r="8687" spans="24:24" x14ac:dyDescent="0.25">
      <c r="X8687" s="256"/>
    </row>
    <row r="8688" spans="24:24" x14ac:dyDescent="0.25">
      <c r="X8688" s="256"/>
    </row>
    <row r="8689" spans="24:24" x14ac:dyDescent="0.25">
      <c r="X8689" s="256"/>
    </row>
    <row r="8690" spans="24:24" x14ac:dyDescent="0.25">
      <c r="X8690" s="256"/>
    </row>
    <row r="8691" spans="24:24" x14ac:dyDescent="0.25">
      <c r="X8691" s="256"/>
    </row>
    <row r="8692" spans="24:24" x14ac:dyDescent="0.25">
      <c r="X8692" s="256"/>
    </row>
    <row r="8693" spans="24:24" x14ac:dyDescent="0.25">
      <c r="X8693" s="256"/>
    </row>
    <row r="8694" spans="24:24" x14ac:dyDescent="0.25">
      <c r="X8694" s="256"/>
    </row>
    <row r="8695" spans="24:24" x14ac:dyDescent="0.25">
      <c r="X8695" s="256"/>
    </row>
    <row r="8696" spans="24:24" x14ac:dyDescent="0.25">
      <c r="X8696" s="256"/>
    </row>
    <row r="8697" spans="24:24" x14ac:dyDescent="0.25">
      <c r="X8697" s="256"/>
    </row>
    <row r="8698" spans="24:24" x14ac:dyDescent="0.25">
      <c r="X8698" s="256"/>
    </row>
    <row r="8699" spans="24:24" x14ac:dyDescent="0.25">
      <c r="X8699" s="256"/>
    </row>
    <row r="8700" spans="24:24" x14ac:dyDescent="0.25">
      <c r="X8700" s="256"/>
    </row>
    <row r="8701" spans="24:24" x14ac:dyDescent="0.25">
      <c r="X8701" s="256"/>
    </row>
    <row r="8702" spans="24:24" x14ac:dyDescent="0.25">
      <c r="X8702" s="256"/>
    </row>
    <row r="8703" spans="24:24" x14ac:dyDescent="0.25">
      <c r="X8703" s="256"/>
    </row>
    <row r="8704" spans="24:24" x14ac:dyDescent="0.25">
      <c r="X8704" s="256"/>
    </row>
    <row r="8705" spans="24:24" x14ac:dyDescent="0.25">
      <c r="X8705" s="256"/>
    </row>
    <row r="8706" spans="24:24" x14ac:dyDescent="0.25">
      <c r="X8706" s="256"/>
    </row>
    <row r="8707" spans="24:24" x14ac:dyDescent="0.25">
      <c r="X8707" s="256"/>
    </row>
    <row r="8708" spans="24:24" x14ac:dyDescent="0.25">
      <c r="X8708" s="256"/>
    </row>
    <row r="8709" spans="24:24" x14ac:dyDescent="0.25">
      <c r="X8709" s="256"/>
    </row>
    <row r="8710" spans="24:24" x14ac:dyDescent="0.25">
      <c r="X8710" s="256"/>
    </row>
    <row r="8711" spans="24:24" x14ac:dyDescent="0.25">
      <c r="X8711" s="256"/>
    </row>
    <row r="8712" spans="24:24" x14ac:dyDescent="0.25">
      <c r="X8712" s="256"/>
    </row>
    <row r="8713" spans="24:24" x14ac:dyDescent="0.25">
      <c r="X8713" s="256"/>
    </row>
    <row r="8714" spans="24:24" x14ac:dyDescent="0.25">
      <c r="X8714" s="256"/>
    </row>
    <row r="8715" spans="24:24" x14ac:dyDescent="0.25">
      <c r="X8715" s="256"/>
    </row>
    <row r="8716" spans="24:24" x14ac:dyDescent="0.25">
      <c r="X8716" s="256"/>
    </row>
    <row r="8717" spans="24:24" x14ac:dyDescent="0.25">
      <c r="X8717" s="256"/>
    </row>
    <row r="8718" spans="24:24" x14ac:dyDescent="0.25">
      <c r="X8718" s="256"/>
    </row>
    <row r="8719" spans="24:24" x14ac:dyDescent="0.25">
      <c r="X8719" s="256"/>
    </row>
    <row r="8720" spans="24:24" x14ac:dyDescent="0.25">
      <c r="X8720" s="256"/>
    </row>
    <row r="8721" spans="24:24" x14ac:dyDescent="0.25">
      <c r="X8721" s="256"/>
    </row>
    <row r="8722" spans="24:24" x14ac:dyDescent="0.25">
      <c r="X8722" s="256"/>
    </row>
    <row r="8723" spans="24:24" x14ac:dyDescent="0.25">
      <c r="X8723" s="256"/>
    </row>
    <row r="8724" spans="24:24" x14ac:dyDescent="0.25">
      <c r="X8724" s="256"/>
    </row>
    <row r="8725" spans="24:24" x14ac:dyDescent="0.25">
      <c r="X8725" s="256"/>
    </row>
    <row r="8726" spans="24:24" x14ac:dyDescent="0.25">
      <c r="X8726" s="256"/>
    </row>
    <row r="8727" spans="24:24" x14ac:dyDescent="0.25">
      <c r="X8727" s="256"/>
    </row>
    <row r="8728" spans="24:24" x14ac:dyDescent="0.25">
      <c r="X8728" s="256"/>
    </row>
    <row r="8729" spans="24:24" x14ac:dyDescent="0.25">
      <c r="X8729" s="256"/>
    </row>
    <row r="8730" spans="24:24" x14ac:dyDescent="0.25">
      <c r="X8730" s="256"/>
    </row>
    <row r="8731" spans="24:24" x14ac:dyDescent="0.25">
      <c r="X8731" s="256"/>
    </row>
    <row r="8732" spans="24:24" x14ac:dyDescent="0.25">
      <c r="X8732" s="256"/>
    </row>
    <row r="8733" spans="24:24" x14ac:dyDescent="0.25">
      <c r="X8733" s="256"/>
    </row>
    <row r="8734" spans="24:24" x14ac:dyDescent="0.25">
      <c r="X8734" s="256"/>
    </row>
    <row r="8735" spans="24:24" x14ac:dyDescent="0.25">
      <c r="X8735" s="256"/>
    </row>
    <row r="8736" spans="24:24" x14ac:dyDescent="0.25">
      <c r="X8736" s="256"/>
    </row>
    <row r="8737" spans="24:24" x14ac:dyDescent="0.25">
      <c r="X8737" s="256"/>
    </row>
    <row r="8738" spans="24:24" x14ac:dyDescent="0.25">
      <c r="X8738" s="256"/>
    </row>
    <row r="8739" spans="24:24" x14ac:dyDescent="0.25">
      <c r="X8739" s="256"/>
    </row>
    <row r="8740" spans="24:24" x14ac:dyDescent="0.25">
      <c r="X8740" s="256"/>
    </row>
    <row r="8741" spans="24:24" x14ac:dyDescent="0.25">
      <c r="X8741" s="256"/>
    </row>
    <row r="8742" spans="24:24" x14ac:dyDescent="0.25">
      <c r="X8742" s="256"/>
    </row>
    <row r="8743" spans="24:24" x14ac:dyDescent="0.25">
      <c r="X8743" s="256"/>
    </row>
    <row r="8744" spans="24:24" x14ac:dyDescent="0.25">
      <c r="X8744" s="256"/>
    </row>
    <row r="8745" spans="24:24" x14ac:dyDescent="0.25">
      <c r="X8745" s="256"/>
    </row>
    <row r="8746" spans="24:24" x14ac:dyDescent="0.25">
      <c r="X8746" s="256"/>
    </row>
    <row r="8747" spans="24:24" x14ac:dyDescent="0.25">
      <c r="X8747" s="256"/>
    </row>
    <row r="8748" spans="24:24" x14ac:dyDescent="0.25">
      <c r="X8748" s="256"/>
    </row>
    <row r="8749" spans="24:24" x14ac:dyDescent="0.25">
      <c r="X8749" s="256"/>
    </row>
    <row r="8750" spans="24:24" x14ac:dyDescent="0.25">
      <c r="X8750" s="256"/>
    </row>
    <row r="8751" spans="24:24" x14ac:dyDescent="0.25">
      <c r="X8751" s="256"/>
    </row>
    <row r="8752" spans="24:24" x14ac:dyDescent="0.25">
      <c r="X8752" s="256"/>
    </row>
    <row r="8753" spans="24:24" x14ac:dyDescent="0.25">
      <c r="X8753" s="256"/>
    </row>
    <row r="8754" spans="24:24" x14ac:dyDescent="0.25">
      <c r="X8754" s="256"/>
    </row>
    <row r="8755" spans="24:24" x14ac:dyDescent="0.25">
      <c r="X8755" s="256"/>
    </row>
    <row r="8756" spans="24:24" x14ac:dyDescent="0.25">
      <c r="X8756" s="256"/>
    </row>
    <row r="8757" spans="24:24" x14ac:dyDescent="0.25">
      <c r="X8757" s="256"/>
    </row>
    <row r="8758" spans="24:24" x14ac:dyDescent="0.25">
      <c r="X8758" s="256"/>
    </row>
    <row r="8759" spans="24:24" x14ac:dyDescent="0.25">
      <c r="X8759" s="256"/>
    </row>
    <row r="8760" spans="24:24" x14ac:dyDescent="0.25">
      <c r="X8760" s="256"/>
    </row>
    <row r="8761" spans="24:24" x14ac:dyDescent="0.25">
      <c r="X8761" s="256"/>
    </row>
    <row r="8762" spans="24:24" x14ac:dyDescent="0.25">
      <c r="X8762" s="256"/>
    </row>
    <row r="8763" spans="24:24" x14ac:dyDescent="0.25">
      <c r="X8763" s="256"/>
    </row>
    <row r="8764" spans="24:24" x14ac:dyDescent="0.25">
      <c r="X8764" s="256"/>
    </row>
    <row r="8765" spans="24:24" x14ac:dyDescent="0.25">
      <c r="X8765" s="256"/>
    </row>
    <row r="8766" spans="24:24" x14ac:dyDescent="0.25">
      <c r="X8766" s="256"/>
    </row>
    <row r="8767" spans="24:24" x14ac:dyDescent="0.25">
      <c r="X8767" s="256"/>
    </row>
    <row r="8768" spans="24:24" x14ac:dyDescent="0.25">
      <c r="X8768" s="256"/>
    </row>
    <row r="8769" spans="24:24" x14ac:dyDescent="0.25">
      <c r="X8769" s="256"/>
    </row>
    <row r="8770" spans="24:24" x14ac:dyDescent="0.25">
      <c r="X8770" s="256"/>
    </row>
    <row r="8771" spans="24:24" x14ac:dyDescent="0.25">
      <c r="X8771" s="256"/>
    </row>
    <row r="8772" spans="24:24" x14ac:dyDescent="0.25">
      <c r="X8772" s="256"/>
    </row>
    <row r="8773" spans="24:24" x14ac:dyDescent="0.25">
      <c r="X8773" s="256"/>
    </row>
    <row r="8774" spans="24:24" x14ac:dyDescent="0.25">
      <c r="X8774" s="256"/>
    </row>
    <row r="8775" spans="24:24" x14ac:dyDescent="0.25">
      <c r="X8775" s="256"/>
    </row>
    <row r="8776" spans="24:24" x14ac:dyDescent="0.25">
      <c r="X8776" s="256"/>
    </row>
    <row r="8777" spans="24:24" x14ac:dyDescent="0.25">
      <c r="X8777" s="256"/>
    </row>
    <row r="8778" spans="24:24" x14ac:dyDescent="0.25">
      <c r="X8778" s="256"/>
    </row>
    <row r="8779" spans="24:24" x14ac:dyDescent="0.25">
      <c r="X8779" s="256"/>
    </row>
    <row r="8780" spans="24:24" x14ac:dyDescent="0.25">
      <c r="X8780" s="256"/>
    </row>
    <row r="8781" spans="24:24" x14ac:dyDescent="0.25">
      <c r="X8781" s="256"/>
    </row>
    <row r="8782" spans="24:24" x14ac:dyDescent="0.25">
      <c r="X8782" s="256"/>
    </row>
    <row r="8783" spans="24:24" x14ac:dyDescent="0.25">
      <c r="X8783" s="256"/>
    </row>
    <row r="8784" spans="24:24" x14ac:dyDescent="0.25">
      <c r="X8784" s="256"/>
    </row>
    <row r="8785" spans="24:24" x14ac:dyDescent="0.25">
      <c r="X8785" s="256"/>
    </row>
    <row r="8786" spans="24:24" x14ac:dyDescent="0.25">
      <c r="X8786" s="256"/>
    </row>
    <row r="8787" spans="24:24" x14ac:dyDescent="0.25">
      <c r="X8787" s="256"/>
    </row>
    <row r="8788" spans="24:24" x14ac:dyDescent="0.25">
      <c r="X8788" s="256"/>
    </row>
    <row r="8789" spans="24:24" x14ac:dyDescent="0.25">
      <c r="X8789" s="256"/>
    </row>
    <row r="8790" spans="24:24" x14ac:dyDescent="0.25">
      <c r="X8790" s="256"/>
    </row>
    <row r="8791" spans="24:24" x14ac:dyDescent="0.25">
      <c r="X8791" s="256"/>
    </row>
    <row r="8792" spans="24:24" x14ac:dyDescent="0.25">
      <c r="X8792" s="256"/>
    </row>
    <row r="8793" spans="24:24" x14ac:dyDescent="0.25">
      <c r="X8793" s="256"/>
    </row>
    <row r="8794" spans="24:24" x14ac:dyDescent="0.25">
      <c r="X8794" s="256"/>
    </row>
    <row r="8795" spans="24:24" x14ac:dyDescent="0.25">
      <c r="X8795" s="256"/>
    </row>
    <row r="8796" spans="24:24" x14ac:dyDescent="0.25">
      <c r="X8796" s="256"/>
    </row>
    <row r="8797" spans="24:24" x14ac:dyDescent="0.25">
      <c r="X8797" s="256"/>
    </row>
    <row r="8798" spans="24:24" x14ac:dyDescent="0.25">
      <c r="X8798" s="256"/>
    </row>
    <row r="8799" spans="24:24" x14ac:dyDescent="0.25">
      <c r="X8799" s="256"/>
    </row>
    <row r="8800" spans="24:24" x14ac:dyDescent="0.25">
      <c r="X8800" s="256"/>
    </row>
    <row r="8801" spans="24:24" x14ac:dyDescent="0.25">
      <c r="X8801" s="256"/>
    </row>
    <row r="8802" spans="24:24" x14ac:dyDescent="0.25">
      <c r="X8802" s="256"/>
    </row>
    <row r="8803" spans="24:24" x14ac:dyDescent="0.25">
      <c r="X8803" s="256"/>
    </row>
    <row r="8804" spans="24:24" x14ac:dyDescent="0.25">
      <c r="X8804" s="256"/>
    </row>
    <row r="8805" spans="24:24" x14ac:dyDescent="0.25">
      <c r="X8805" s="256"/>
    </row>
    <row r="8806" spans="24:24" x14ac:dyDescent="0.25">
      <c r="X8806" s="256"/>
    </row>
    <row r="8807" spans="24:24" x14ac:dyDescent="0.25">
      <c r="X8807" s="256"/>
    </row>
    <row r="8808" spans="24:24" x14ac:dyDescent="0.25">
      <c r="X8808" s="256"/>
    </row>
    <row r="8809" spans="24:24" x14ac:dyDescent="0.25">
      <c r="X8809" s="256"/>
    </row>
    <row r="8810" spans="24:24" x14ac:dyDescent="0.25">
      <c r="X8810" s="256"/>
    </row>
    <row r="8811" spans="24:24" x14ac:dyDescent="0.25">
      <c r="X8811" s="256"/>
    </row>
    <row r="8812" spans="24:24" x14ac:dyDescent="0.25">
      <c r="X8812" s="256"/>
    </row>
    <row r="8813" spans="24:24" x14ac:dyDescent="0.25">
      <c r="X8813" s="256"/>
    </row>
    <row r="8814" spans="24:24" x14ac:dyDescent="0.25">
      <c r="X8814" s="256"/>
    </row>
    <row r="8815" spans="24:24" x14ac:dyDescent="0.25">
      <c r="X8815" s="256"/>
    </row>
    <row r="8816" spans="24:24" x14ac:dyDescent="0.25">
      <c r="X8816" s="256"/>
    </row>
    <row r="8817" spans="24:24" x14ac:dyDescent="0.25">
      <c r="X8817" s="256"/>
    </row>
    <row r="8818" spans="24:24" x14ac:dyDescent="0.25">
      <c r="X8818" s="256"/>
    </row>
    <row r="8819" spans="24:24" x14ac:dyDescent="0.25">
      <c r="X8819" s="256"/>
    </row>
    <row r="8820" spans="24:24" x14ac:dyDescent="0.25">
      <c r="X8820" s="256"/>
    </row>
    <row r="8821" spans="24:24" x14ac:dyDescent="0.25">
      <c r="X8821" s="256"/>
    </row>
    <row r="8822" spans="24:24" x14ac:dyDescent="0.25">
      <c r="X8822" s="256"/>
    </row>
    <row r="8823" spans="24:24" x14ac:dyDescent="0.25">
      <c r="X8823" s="256"/>
    </row>
    <row r="8824" spans="24:24" x14ac:dyDescent="0.25">
      <c r="X8824" s="256"/>
    </row>
    <row r="8825" spans="24:24" x14ac:dyDescent="0.25">
      <c r="X8825" s="256"/>
    </row>
    <row r="8826" spans="24:24" x14ac:dyDescent="0.25">
      <c r="X8826" s="256"/>
    </row>
    <row r="8827" spans="24:24" x14ac:dyDescent="0.25">
      <c r="X8827" s="256"/>
    </row>
    <row r="8828" spans="24:24" x14ac:dyDescent="0.25">
      <c r="X8828" s="256"/>
    </row>
    <row r="8829" spans="24:24" x14ac:dyDescent="0.25">
      <c r="X8829" s="256"/>
    </row>
    <row r="8830" spans="24:24" x14ac:dyDescent="0.25">
      <c r="X8830" s="256"/>
    </row>
    <row r="8831" spans="24:24" x14ac:dyDescent="0.25">
      <c r="X8831" s="256"/>
    </row>
    <row r="8832" spans="24:24" x14ac:dyDescent="0.25">
      <c r="X8832" s="256"/>
    </row>
    <row r="8833" spans="24:24" x14ac:dyDescent="0.25">
      <c r="X8833" s="256"/>
    </row>
    <row r="8834" spans="24:24" x14ac:dyDescent="0.25">
      <c r="X8834" s="256"/>
    </row>
    <row r="8835" spans="24:24" x14ac:dyDescent="0.25">
      <c r="X8835" s="256"/>
    </row>
    <row r="8836" spans="24:24" x14ac:dyDescent="0.25">
      <c r="X8836" s="256"/>
    </row>
    <row r="8837" spans="24:24" x14ac:dyDescent="0.25">
      <c r="X8837" s="256"/>
    </row>
    <row r="8838" spans="24:24" x14ac:dyDescent="0.25">
      <c r="X8838" s="256"/>
    </row>
    <row r="8839" spans="24:24" x14ac:dyDescent="0.25">
      <c r="X8839" s="256"/>
    </row>
    <row r="8840" spans="24:24" x14ac:dyDescent="0.25">
      <c r="X8840" s="256"/>
    </row>
    <row r="8841" spans="24:24" x14ac:dyDescent="0.25">
      <c r="X8841" s="256"/>
    </row>
    <row r="8842" spans="24:24" x14ac:dyDescent="0.25">
      <c r="X8842" s="256"/>
    </row>
    <row r="8843" spans="24:24" x14ac:dyDescent="0.25">
      <c r="X8843" s="256"/>
    </row>
    <row r="8844" spans="24:24" x14ac:dyDescent="0.25">
      <c r="X8844" s="256"/>
    </row>
    <row r="8845" spans="24:24" x14ac:dyDescent="0.25">
      <c r="X8845" s="256"/>
    </row>
    <row r="8846" spans="24:24" x14ac:dyDescent="0.25">
      <c r="X8846" s="256"/>
    </row>
    <row r="8847" spans="24:24" x14ac:dyDescent="0.25">
      <c r="X8847" s="256"/>
    </row>
    <row r="8848" spans="24:24" x14ac:dyDescent="0.25">
      <c r="X8848" s="256"/>
    </row>
    <row r="8849" spans="24:24" x14ac:dyDescent="0.25">
      <c r="X8849" s="256"/>
    </row>
    <row r="8850" spans="24:24" x14ac:dyDescent="0.25">
      <c r="X8850" s="256"/>
    </row>
    <row r="8851" spans="24:24" x14ac:dyDescent="0.25">
      <c r="X8851" s="256"/>
    </row>
    <row r="8852" spans="24:24" x14ac:dyDescent="0.25">
      <c r="X8852" s="256"/>
    </row>
    <row r="8853" spans="24:24" x14ac:dyDescent="0.25">
      <c r="X8853" s="256"/>
    </row>
    <row r="8854" spans="24:24" x14ac:dyDescent="0.25">
      <c r="X8854" s="256"/>
    </row>
    <row r="8855" spans="24:24" x14ac:dyDescent="0.25">
      <c r="X8855" s="256"/>
    </row>
    <row r="8856" spans="24:24" x14ac:dyDescent="0.25">
      <c r="X8856" s="256"/>
    </row>
    <row r="8857" spans="24:24" x14ac:dyDescent="0.25">
      <c r="X8857" s="256"/>
    </row>
    <row r="8858" spans="24:24" x14ac:dyDescent="0.25">
      <c r="X8858" s="256"/>
    </row>
    <row r="8859" spans="24:24" x14ac:dyDescent="0.25">
      <c r="X8859" s="256"/>
    </row>
    <row r="8860" spans="24:24" x14ac:dyDescent="0.25">
      <c r="X8860" s="256"/>
    </row>
    <row r="8861" spans="24:24" x14ac:dyDescent="0.25">
      <c r="X8861" s="256"/>
    </row>
    <row r="8862" spans="24:24" x14ac:dyDescent="0.25">
      <c r="X8862" s="256"/>
    </row>
    <row r="8863" spans="24:24" x14ac:dyDescent="0.25">
      <c r="X8863" s="256"/>
    </row>
    <row r="8864" spans="24:24" x14ac:dyDescent="0.25">
      <c r="X8864" s="256"/>
    </row>
    <row r="8865" spans="24:24" x14ac:dyDescent="0.25">
      <c r="X8865" s="256"/>
    </row>
    <row r="8866" spans="24:24" x14ac:dyDescent="0.25">
      <c r="X8866" s="256"/>
    </row>
    <row r="8867" spans="24:24" x14ac:dyDescent="0.25">
      <c r="X8867" s="256"/>
    </row>
    <row r="8868" spans="24:24" x14ac:dyDescent="0.25">
      <c r="X8868" s="256"/>
    </row>
    <row r="8869" spans="24:24" x14ac:dyDescent="0.25">
      <c r="X8869" s="256"/>
    </row>
    <row r="8870" spans="24:24" x14ac:dyDescent="0.25">
      <c r="X8870" s="256"/>
    </row>
    <row r="8871" spans="24:24" x14ac:dyDescent="0.25">
      <c r="X8871" s="256"/>
    </row>
    <row r="8872" spans="24:24" x14ac:dyDescent="0.25">
      <c r="X8872" s="256"/>
    </row>
    <row r="8873" spans="24:24" x14ac:dyDescent="0.25">
      <c r="X8873" s="256"/>
    </row>
    <row r="8874" spans="24:24" x14ac:dyDescent="0.25">
      <c r="X8874" s="256"/>
    </row>
    <row r="8875" spans="24:24" x14ac:dyDescent="0.25">
      <c r="X8875" s="256"/>
    </row>
    <row r="8876" spans="24:24" x14ac:dyDescent="0.25">
      <c r="X8876" s="256"/>
    </row>
    <row r="8877" spans="24:24" x14ac:dyDescent="0.25">
      <c r="X8877" s="256"/>
    </row>
    <row r="8878" spans="24:24" x14ac:dyDescent="0.25">
      <c r="X8878" s="256"/>
    </row>
    <row r="8879" spans="24:24" x14ac:dyDescent="0.25">
      <c r="X8879" s="256"/>
    </row>
    <row r="8880" spans="24:24" x14ac:dyDescent="0.25">
      <c r="X8880" s="256"/>
    </row>
    <row r="8881" spans="24:24" x14ac:dyDescent="0.25">
      <c r="X8881" s="256"/>
    </row>
    <row r="8882" spans="24:24" x14ac:dyDescent="0.25">
      <c r="X8882" s="256"/>
    </row>
    <row r="8883" spans="24:24" x14ac:dyDescent="0.25">
      <c r="X8883" s="256"/>
    </row>
    <row r="8884" spans="24:24" x14ac:dyDescent="0.25">
      <c r="X8884" s="256"/>
    </row>
    <row r="8885" spans="24:24" x14ac:dyDescent="0.25">
      <c r="X8885" s="256"/>
    </row>
    <row r="8886" spans="24:24" x14ac:dyDescent="0.25">
      <c r="X8886" s="256"/>
    </row>
    <row r="8887" spans="24:24" x14ac:dyDescent="0.25">
      <c r="X8887" s="256"/>
    </row>
    <row r="8888" spans="24:24" x14ac:dyDescent="0.25">
      <c r="X8888" s="256"/>
    </row>
    <row r="8889" spans="24:24" x14ac:dyDescent="0.25">
      <c r="X8889" s="256"/>
    </row>
    <row r="8890" spans="24:24" x14ac:dyDescent="0.25">
      <c r="X8890" s="256"/>
    </row>
    <row r="8891" spans="24:24" x14ac:dyDescent="0.25">
      <c r="X8891" s="256"/>
    </row>
    <row r="8892" spans="24:24" x14ac:dyDescent="0.25">
      <c r="X8892" s="256"/>
    </row>
    <row r="8893" spans="24:24" x14ac:dyDescent="0.25">
      <c r="X8893" s="256"/>
    </row>
    <row r="8894" spans="24:24" x14ac:dyDescent="0.25">
      <c r="X8894" s="256"/>
    </row>
    <row r="8895" spans="24:24" x14ac:dyDescent="0.25">
      <c r="X8895" s="256"/>
    </row>
    <row r="8896" spans="24:24" x14ac:dyDescent="0.25">
      <c r="X8896" s="256"/>
    </row>
    <row r="8897" spans="24:24" x14ac:dyDescent="0.25">
      <c r="X8897" s="256"/>
    </row>
    <row r="8898" spans="24:24" x14ac:dyDescent="0.25">
      <c r="X8898" s="256"/>
    </row>
    <row r="8899" spans="24:24" x14ac:dyDescent="0.25">
      <c r="X8899" s="256"/>
    </row>
    <row r="8900" spans="24:24" x14ac:dyDescent="0.25">
      <c r="X8900" s="256"/>
    </row>
    <row r="8901" spans="24:24" x14ac:dyDescent="0.25">
      <c r="X8901" s="256"/>
    </row>
    <row r="8902" spans="24:24" x14ac:dyDescent="0.25">
      <c r="X8902" s="256"/>
    </row>
    <row r="8903" spans="24:24" x14ac:dyDescent="0.25">
      <c r="X8903" s="256"/>
    </row>
    <row r="8904" spans="24:24" x14ac:dyDescent="0.25">
      <c r="X8904" s="256"/>
    </row>
    <row r="8905" spans="24:24" x14ac:dyDescent="0.25">
      <c r="X8905" s="256"/>
    </row>
    <row r="8906" spans="24:24" x14ac:dyDescent="0.25">
      <c r="X8906" s="256"/>
    </row>
    <row r="8907" spans="24:24" x14ac:dyDescent="0.25">
      <c r="X8907" s="256"/>
    </row>
    <row r="8908" spans="24:24" x14ac:dyDescent="0.25">
      <c r="X8908" s="256"/>
    </row>
    <row r="8909" spans="24:24" x14ac:dyDescent="0.25">
      <c r="X8909" s="256"/>
    </row>
    <row r="8910" spans="24:24" x14ac:dyDescent="0.25">
      <c r="X8910" s="256"/>
    </row>
    <row r="8911" spans="24:24" x14ac:dyDescent="0.25">
      <c r="X8911" s="256"/>
    </row>
    <row r="8912" spans="24:24" x14ac:dyDescent="0.25">
      <c r="X8912" s="256"/>
    </row>
    <row r="8913" spans="24:24" x14ac:dyDescent="0.25">
      <c r="X8913" s="256"/>
    </row>
    <row r="8914" spans="24:24" x14ac:dyDescent="0.25">
      <c r="X8914" s="256"/>
    </row>
    <row r="8915" spans="24:24" x14ac:dyDescent="0.25">
      <c r="X8915" s="256"/>
    </row>
    <row r="8916" spans="24:24" x14ac:dyDescent="0.25">
      <c r="X8916" s="256"/>
    </row>
    <row r="8917" spans="24:24" x14ac:dyDescent="0.25">
      <c r="X8917" s="256"/>
    </row>
    <row r="8918" spans="24:24" x14ac:dyDescent="0.25">
      <c r="X8918" s="256"/>
    </row>
    <row r="8919" spans="24:24" x14ac:dyDescent="0.25">
      <c r="X8919" s="256"/>
    </row>
    <row r="8920" spans="24:24" x14ac:dyDescent="0.25">
      <c r="X8920" s="256"/>
    </row>
    <row r="8921" spans="24:24" x14ac:dyDescent="0.25">
      <c r="X8921" s="256"/>
    </row>
    <row r="8922" spans="24:24" x14ac:dyDescent="0.25">
      <c r="X8922" s="256"/>
    </row>
    <row r="8923" spans="24:24" x14ac:dyDescent="0.25">
      <c r="X8923" s="256"/>
    </row>
    <row r="8924" spans="24:24" x14ac:dyDescent="0.25">
      <c r="X8924" s="256"/>
    </row>
    <row r="8925" spans="24:24" x14ac:dyDescent="0.25">
      <c r="X8925" s="256"/>
    </row>
    <row r="8926" spans="24:24" x14ac:dyDescent="0.25">
      <c r="X8926" s="256"/>
    </row>
    <row r="8927" spans="24:24" x14ac:dyDescent="0.25">
      <c r="X8927" s="256"/>
    </row>
    <row r="8928" spans="24:24" x14ac:dyDescent="0.25">
      <c r="X8928" s="256"/>
    </row>
    <row r="8929" spans="24:24" x14ac:dyDescent="0.25">
      <c r="X8929" s="256"/>
    </row>
    <row r="8930" spans="24:24" x14ac:dyDescent="0.25">
      <c r="X8930" s="256"/>
    </row>
    <row r="8931" spans="24:24" x14ac:dyDescent="0.25">
      <c r="X8931" s="256"/>
    </row>
    <row r="8932" spans="24:24" x14ac:dyDescent="0.25">
      <c r="X8932" s="256"/>
    </row>
    <row r="8933" spans="24:24" x14ac:dyDescent="0.25">
      <c r="X8933" s="256"/>
    </row>
    <row r="8934" spans="24:24" x14ac:dyDescent="0.25">
      <c r="X8934" s="256"/>
    </row>
    <row r="8935" spans="24:24" x14ac:dyDescent="0.25">
      <c r="X8935" s="256"/>
    </row>
    <row r="8936" spans="24:24" x14ac:dyDescent="0.25">
      <c r="X8936" s="256"/>
    </row>
    <row r="8937" spans="24:24" x14ac:dyDescent="0.25">
      <c r="X8937" s="256"/>
    </row>
    <row r="8938" spans="24:24" x14ac:dyDescent="0.25">
      <c r="X8938" s="256"/>
    </row>
    <row r="8939" spans="24:24" x14ac:dyDescent="0.25">
      <c r="X8939" s="256"/>
    </row>
    <row r="8940" spans="24:24" x14ac:dyDescent="0.25">
      <c r="X8940" s="256"/>
    </row>
    <row r="8941" spans="24:24" x14ac:dyDescent="0.25">
      <c r="X8941" s="256"/>
    </row>
    <row r="8942" spans="24:24" x14ac:dyDescent="0.25">
      <c r="X8942" s="256"/>
    </row>
    <row r="8943" spans="24:24" x14ac:dyDescent="0.25">
      <c r="X8943" s="256"/>
    </row>
    <row r="8944" spans="24:24" x14ac:dyDescent="0.25">
      <c r="X8944" s="256"/>
    </row>
    <row r="8945" spans="24:24" x14ac:dyDescent="0.25">
      <c r="X8945" s="256"/>
    </row>
    <row r="8946" spans="24:24" x14ac:dyDescent="0.25">
      <c r="X8946" s="256"/>
    </row>
    <row r="8947" spans="24:24" x14ac:dyDescent="0.25">
      <c r="X8947" s="256"/>
    </row>
    <row r="8948" spans="24:24" x14ac:dyDescent="0.25">
      <c r="X8948" s="256"/>
    </row>
    <row r="8949" spans="24:24" x14ac:dyDescent="0.25">
      <c r="X8949" s="256"/>
    </row>
    <row r="8950" spans="24:24" x14ac:dyDescent="0.25">
      <c r="X8950" s="256"/>
    </row>
    <row r="8951" spans="24:24" x14ac:dyDescent="0.25">
      <c r="X8951" s="256"/>
    </row>
    <row r="8952" spans="24:24" x14ac:dyDescent="0.25">
      <c r="X8952" s="256"/>
    </row>
    <row r="8953" spans="24:24" x14ac:dyDescent="0.25">
      <c r="X8953" s="256"/>
    </row>
    <row r="8954" spans="24:24" x14ac:dyDescent="0.25">
      <c r="X8954" s="256"/>
    </row>
    <row r="8955" spans="24:24" x14ac:dyDescent="0.25">
      <c r="X8955" s="256"/>
    </row>
    <row r="8956" spans="24:24" x14ac:dyDescent="0.25">
      <c r="X8956" s="256"/>
    </row>
    <row r="8957" spans="24:24" x14ac:dyDescent="0.25">
      <c r="X8957" s="256"/>
    </row>
    <row r="8958" spans="24:24" x14ac:dyDescent="0.25">
      <c r="X8958" s="256"/>
    </row>
    <row r="8959" spans="24:24" x14ac:dyDescent="0.25">
      <c r="X8959" s="256"/>
    </row>
    <row r="8960" spans="24:24" x14ac:dyDescent="0.25">
      <c r="X8960" s="256"/>
    </row>
    <row r="8961" spans="24:24" x14ac:dyDescent="0.25">
      <c r="X8961" s="256"/>
    </row>
    <row r="8962" spans="24:24" x14ac:dyDescent="0.25">
      <c r="X8962" s="256"/>
    </row>
    <row r="8963" spans="24:24" x14ac:dyDescent="0.25">
      <c r="X8963" s="256"/>
    </row>
    <row r="8964" spans="24:24" x14ac:dyDescent="0.25">
      <c r="X8964" s="256"/>
    </row>
    <row r="8965" spans="24:24" x14ac:dyDescent="0.25">
      <c r="X8965" s="256"/>
    </row>
    <row r="8966" spans="24:24" x14ac:dyDescent="0.25">
      <c r="X8966" s="256"/>
    </row>
    <row r="8967" spans="24:24" x14ac:dyDescent="0.25">
      <c r="X8967" s="256"/>
    </row>
    <row r="8968" spans="24:24" x14ac:dyDescent="0.25">
      <c r="X8968" s="256"/>
    </row>
    <row r="8969" spans="24:24" x14ac:dyDescent="0.25">
      <c r="X8969" s="256"/>
    </row>
    <row r="8970" spans="24:24" x14ac:dyDescent="0.25">
      <c r="X8970" s="256"/>
    </row>
    <row r="8971" spans="24:24" x14ac:dyDescent="0.25">
      <c r="X8971" s="256"/>
    </row>
    <row r="8972" spans="24:24" x14ac:dyDescent="0.25">
      <c r="X8972" s="256"/>
    </row>
    <row r="8973" spans="24:24" x14ac:dyDescent="0.25">
      <c r="X8973" s="256"/>
    </row>
    <row r="8974" spans="24:24" x14ac:dyDescent="0.25">
      <c r="X8974" s="256"/>
    </row>
    <row r="8975" spans="24:24" x14ac:dyDescent="0.25">
      <c r="X8975" s="256"/>
    </row>
    <row r="8976" spans="24:24" x14ac:dyDescent="0.25">
      <c r="X8976" s="256"/>
    </row>
    <row r="8977" spans="24:24" x14ac:dyDescent="0.25">
      <c r="X8977" s="256"/>
    </row>
    <row r="8978" spans="24:24" x14ac:dyDescent="0.25">
      <c r="X8978" s="256"/>
    </row>
    <row r="8979" spans="24:24" x14ac:dyDescent="0.25">
      <c r="X8979" s="256"/>
    </row>
    <row r="8980" spans="24:24" x14ac:dyDescent="0.25">
      <c r="X8980" s="256"/>
    </row>
    <row r="8981" spans="24:24" x14ac:dyDescent="0.25">
      <c r="X8981" s="256"/>
    </row>
    <row r="8982" spans="24:24" x14ac:dyDescent="0.25">
      <c r="X8982" s="256"/>
    </row>
    <row r="8983" spans="24:24" x14ac:dyDescent="0.25">
      <c r="X8983" s="256"/>
    </row>
    <row r="8984" spans="24:24" x14ac:dyDescent="0.25">
      <c r="X8984" s="256"/>
    </row>
    <row r="8985" spans="24:24" x14ac:dyDescent="0.25">
      <c r="X8985" s="256"/>
    </row>
    <row r="8986" spans="24:24" x14ac:dyDescent="0.25">
      <c r="X8986" s="256"/>
    </row>
    <row r="8987" spans="24:24" x14ac:dyDescent="0.25">
      <c r="X8987" s="256"/>
    </row>
    <row r="8988" spans="24:24" x14ac:dyDescent="0.25">
      <c r="X8988" s="256"/>
    </row>
    <row r="8989" spans="24:24" x14ac:dyDescent="0.25">
      <c r="X8989" s="256"/>
    </row>
    <row r="8990" spans="24:24" x14ac:dyDescent="0.25">
      <c r="X8990" s="256"/>
    </row>
    <row r="8991" spans="24:24" x14ac:dyDescent="0.25">
      <c r="X8991" s="256"/>
    </row>
    <row r="8992" spans="24:24" x14ac:dyDescent="0.25">
      <c r="X8992" s="256"/>
    </row>
    <row r="8993" spans="24:24" x14ac:dyDescent="0.25">
      <c r="X8993" s="256"/>
    </row>
    <row r="8994" spans="24:24" x14ac:dyDescent="0.25">
      <c r="X8994" s="256"/>
    </row>
    <row r="8995" spans="24:24" x14ac:dyDescent="0.25">
      <c r="X8995" s="256"/>
    </row>
    <row r="8996" spans="24:24" x14ac:dyDescent="0.25">
      <c r="X8996" s="256"/>
    </row>
    <row r="8997" spans="24:24" x14ac:dyDescent="0.25">
      <c r="X8997" s="256"/>
    </row>
    <row r="8998" spans="24:24" x14ac:dyDescent="0.25">
      <c r="X8998" s="256"/>
    </row>
    <row r="8999" spans="24:24" x14ac:dyDescent="0.25">
      <c r="X8999" s="256"/>
    </row>
    <row r="9000" spans="24:24" x14ac:dyDescent="0.25">
      <c r="X9000" s="256"/>
    </row>
    <row r="9001" spans="24:24" x14ac:dyDescent="0.25">
      <c r="X9001" s="256"/>
    </row>
    <row r="9002" spans="24:24" x14ac:dyDescent="0.25">
      <c r="X9002" s="256"/>
    </row>
    <row r="9003" spans="24:24" x14ac:dyDescent="0.25">
      <c r="X9003" s="256"/>
    </row>
    <row r="9004" spans="24:24" x14ac:dyDescent="0.25">
      <c r="X9004" s="256"/>
    </row>
    <row r="9005" spans="24:24" x14ac:dyDescent="0.25">
      <c r="X9005" s="256"/>
    </row>
    <row r="9006" spans="24:24" x14ac:dyDescent="0.25">
      <c r="X9006" s="256"/>
    </row>
    <row r="9007" spans="24:24" x14ac:dyDescent="0.25">
      <c r="X9007" s="256"/>
    </row>
    <row r="9008" spans="24:24" x14ac:dyDescent="0.25">
      <c r="X9008" s="256"/>
    </row>
    <row r="9009" spans="24:24" x14ac:dyDescent="0.25">
      <c r="X9009" s="256"/>
    </row>
    <row r="9010" spans="24:24" x14ac:dyDescent="0.25">
      <c r="X9010" s="256"/>
    </row>
    <row r="9011" spans="24:24" x14ac:dyDescent="0.25">
      <c r="X9011" s="256"/>
    </row>
    <row r="9012" spans="24:24" x14ac:dyDescent="0.25">
      <c r="X9012" s="256"/>
    </row>
    <row r="9013" spans="24:24" x14ac:dyDescent="0.25">
      <c r="X9013" s="256"/>
    </row>
    <row r="9014" spans="24:24" x14ac:dyDescent="0.25">
      <c r="X9014" s="256"/>
    </row>
    <row r="9015" spans="24:24" x14ac:dyDescent="0.25">
      <c r="X9015" s="256"/>
    </row>
    <row r="9016" spans="24:24" x14ac:dyDescent="0.25">
      <c r="X9016" s="256"/>
    </row>
    <row r="9017" spans="24:24" x14ac:dyDescent="0.25">
      <c r="X9017" s="256"/>
    </row>
    <row r="9018" spans="24:24" x14ac:dyDescent="0.25">
      <c r="X9018" s="256"/>
    </row>
    <row r="9019" spans="24:24" x14ac:dyDescent="0.25">
      <c r="X9019" s="256"/>
    </row>
    <row r="9020" spans="24:24" x14ac:dyDescent="0.25">
      <c r="X9020" s="256"/>
    </row>
    <row r="9021" spans="24:24" x14ac:dyDescent="0.25">
      <c r="X9021" s="256"/>
    </row>
    <row r="9022" spans="24:24" x14ac:dyDescent="0.25">
      <c r="X9022" s="256"/>
    </row>
    <row r="9023" spans="24:24" x14ac:dyDescent="0.25">
      <c r="X9023" s="256"/>
    </row>
    <row r="9024" spans="24:24" x14ac:dyDescent="0.25">
      <c r="X9024" s="256"/>
    </row>
    <row r="9025" spans="24:24" x14ac:dyDescent="0.25">
      <c r="X9025" s="256"/>
    </row>
    <row r="9026" spans="24:24" x14ac:dyDescent="0.25">
      <c r="X9026" s="256"/>
    </row>
    <row r="9027" spans="24:24" x14ac:dyDescent="0.25">
      <c r="X9027" s="256"/>
    </row>
    <row r="9028" spans="24:24" x14ac:dyDescent="0.25">
      <c r="X9028" s="256"/>
    </row>
    <row r="9029" spans="24:24" x14ac:dyDescent="0.25">
      <c r="X9029" s="256"/>
    </row>
    <row r="9030" spans="24:24" x14ac:dyDescent="0.25">
      <c r="X9030" s="256"/>
    </row>
    <row r="9031" spans="24:24" x14ac:dyDescent="0.25">
      <c r="X9031" s="256"/>
    </row>
    <row r="9032" spans="24:24" x14ac:dyDescent="0.25">
      <c r="X9032" s="256"/>
    </row>
    <row r="9033" spans="24:24" x14ac:dyDescent="0.25">
      <c r="X9033" s="256"/>
    </row>
    <row r="9034" spans="24:24" x14ac:dyDescent="0.25">
      <c r="X9034" s="256"/>
    </row>
    <row r="9035" spans="24:24" x14ac:dyDescent="0.25">
      <c r="X9035" s="256"/>
    </row>
    <row r="9036" spans="24:24" x14ac:dyDescent="0.25">
      <c r="X9036" s="256"/>
    </row>
    <row r="9037" spans="24:24" x14ac:dyDescent="0.25">
      <c r="X9037" s="256"/>
    </row>
    <row r="9038" spans="24:24" x14ac:dyDescent="0.25">
      <c r="X9038" s="256"/>
    </row>
    <row r="9039" spans="24:24" x14ac:dyDescent="0.25">
      <c r="X9039" s="256"/>
    </row>
    <row r="9040" spans="24:24" x14ac:dyDescent="0.25">
      <c r="X9040" s="256"/>
    </row>
    <row r="9041" spans="24:24" x14ac:dyDescent="0.25">
      <c r="X9041" s="256"/>
    </row>
    <row r="9042" spans="24:24" x14ac:dyDescent="0.25">
      <c r="X9042" s="256"/>
    </row>
    <row r="9043" spans="24:24" x14ac:dyDescent="0.25">
      <c r="X9043" s="256"/>
    </row>
    <row r="9044" spans="24:24" x14ac:dyDescent="0.25">
      <c r="X9044" s="256"/>
    </row>
    <row r="9045" spans="24:24" x14ac:dyDescent="0.25">
      <c r="X9045" s="256"/>
    </row>
    <row r="9046" spans="24:24" x14ac:dyDescent="0.25">
      <c r="X9046" s="256"/>
    </row>
    <row r="9047" spans="24:24" x14ac:dyDescent="0.25">
      <c r="X9047" s="256"/>
    </row>
    <row r="9048" spans="24:24" x14ac:dyDescent="0.25">
      <c r="X9048" s="256"/>
    </row>
    <row r="9049" spans="24:24" x14ac:dyDescent="0.25">
      <c r="X9049" s="256"/>
    </row>
    <row r="9050" spans="24:24" x14ac:dyDescent="0.25">
      <c r="X9050" s="256"/>
    </row>
    <row r="9051" spans="24:24" x14ac:dyDescent="0.25">
      <c r="X9051" s="256"/>
    </row>
    <row r="9052" spans="24:24" x14ac:dyDescent="0.25">
      <c r="X9052" s="256"/>
    </row>
    <row r="9053" spans="24:24" x14ac:dyDescent="0.25">
      <c r="X9053" s="256"/>
    </row>
    <row r="9054" spans="24:24" x14ac:dyDescent="0.25">
      <c r="X9054" s="256"/>
    </row>
    <row r="9055" spans="24:24" x14ac:dyDescent="0.25">
      <c r="X9055" s="256"/>
    </row>
    <row r="9056" spans="24:24" x14ac:dyDescent="0.25">
      <c r="X9056" s="256"/>
    </row>
    <row r="9057" spans="24:24" x14ac:dyDescent="0.25">
      <c r="X9057" s="256"/>
    </row>
    <row r="9058" spans="24:24" x14ac:dyDescent="0.25">
      <c r="X9058" s="256"/>
    </row>
    <row r="9059" spans="24:24" x14ac:dyDescent="0.25">
      <c r="X9059" s="256"/>
    </row>
    <row r="9060" spans="24:24" x14ac:dyDescent="0.25">
      <c r="X9060" s="256"/>
    </row>
    <row r="9061" spans="24:24" x14ac:dyDescent="0.25">
      <c r="X9061" s="256"/>
    </row>
    <row r="9062" spans="24:24" x14ac:dyDescent="0.25">
      <c r="X9062" s="256"/>
    </row>
    <row r="9063" spans="24:24" x14ac:dyDescent="0.25">
      <c r="X9063" s="256"/>
    </row>
    <row r="9064" spans="24:24" x14ac:dyDescent="0.25">
      <c r="X9064" s="256"/>
    </row>
    <row r="9065" spans="24:24" x14ac:dyDescent="0.25">
      <c r="X9065" s="256"/>
    </row>
    <row r="9066" spans="24:24" x14ac:dyDescent="0.25">
      <c r="X9066" s="256"/>
    </row>
    <row r="9067" spans="24:24" x14ac:dyDescent="0.25">
      <c r="X9067" s="256"/>
    </row>
    <row r="9068" spans="24:24" x14ac:dyDescent="0.25">
      <c r="X9068" s="256"/>
    </row>
    <row r="9069" spans="24:24" x14ac:dyDescent="0.25">
      <c r="X9069" s="256"/>
    </row>
    <row r="9070" spans="24:24" x14ac:dyDescent="0.25">
      <c r="X9070" s="256"/>
    </row>
    <row r="9071" spans="24:24" x14ac:dyDescent="0.25">
      <c r="X9071" s="256"/>
    </row>
    <row r="9072" spans="24:24" x14ac:dyDescent="0.25">
      <c r="X9072" s="256"/>
    </row>
    <row r="9073" spans="24:24" x14ac:dyDescent="0.25">
      <c r="X9073" s="256"/>
    </row>
    <row r="9074" spans="24:24" x14ac:dyDescent="0.25">
      <c r="X9074" s="256"/>
    </row>
    <row r="9075" spans="24:24" x14ac:dyDescent="0.25">
      <c r="X9075" s="256"/>
    </row>
    <row r="9076" spans="24:24" x14ac:dyDescent="0.25">
      <c r="X9076" s="256"/>
    </row>
    <row r="9077" spans="24:24" x14ac:dyDescent="0.25">
      <c r="X9077" s="256"/>
    </row>
    <row r="9078" spans="24:24" x14ac:dyDescent="0.25">
      <c r="X9078" s="256"/>
    </row>
    <row r="9079" spans="24:24" x14ac:dyDescent="0.25">
      <c r="X9079" s="256"/>
    </row>
    <row r="9080" spans="24:24" x14ac:dyDescent="0.25">
      <c r="X9080" s="256"/>
    </row>
    <row r="9081" spans="24:24" x14ac:dyDescent="0.25">
      <c r="X9081" s="256"/>
    </row>
    <row r="9082" spans="24:24" x14ac:dyDescent="0.25">
      <c r="X9082" s="256"/>
    </row>
    <row r="9083" spans="24:24" x14ac:dyDescent="0.25">
      <c r="X9083" s="256"/>
    </row>
    <row r="9084" spans="24:24" x14ac:dyDescent="0.25">
      <c r="X9084" s="256"/>
    </row>
    <row r="9085" spans="24:24" x14ac:dyDescent="0.25">
      <c r="X9085" s="256"/>
    </row>
    <row r="9086" spans="24:24" x14ac:dyDescent="0.25">
      <c r="X9086" s="256"/>
    </row>
    <row r="9087" spans="24:24" x14ac:dyDescent="0.25">
      <c r="X9087" s="256"/>
    </row>
    <row r="9088" spans="24:24" x14ac:dyDescent="0.25">
      <c r="X9088" s="256"/>
    </row>
    <row r="9089" spans="24:24" x14ac:dyDescent="0.25">
      <c r="X9089" s="256"/>
    </row>
    <row r="9090" spans="24:24" x14ac:dyDescent="0.25">
      <c r="X9090" s="256"/>
    </row>
    <row r="9091" spans="24:24" x14ac:dyDescent="0.25">
      <c r="X9091" s="256"/>
    </row>
    <row r="9092" spans="24:24" x14ac:dyDescent="0.25">
      <c r="X9092" s="256"/>
    </row>
    <row r="9093" spans="24:24" x14ac:dyDescent="0.25">
      <c r="X9093" s="256"/>
    </row>
    <row r="9094" spans="24:24" x14ac:dyDescent="0.25">
      <c r="X9094" s="256"/>
    </row>
    <row r="9095" spans="24:24" x14ac:dyDescent="0.25">
      <c r="X9095" s="256"/>
    </row>
    <row r="9096" spans="24:24" x14ac:dyDescent="0.25">
      <c r="X9096" s="256"/>
    </row>
    <row r="9097" spans="24:24" x14ac:dyDescent="0.25">
      <c r="X9097" s="256"/>
    </row>
    <row r="9098" spans="24:24" x14ac:dyDescent="0.25">
      <c r="X9098" s="256"/>
    </row>
    <row r="9099" spans="24:24" x14ac:dyDescent="0.25">
      <c r="X9099" s="256"/>
    </row>
    <row r="9100" spans="24:24" x14ac:dyDescent="0.25">
      <c r="X9100" s="256"/>
    </row>
    <row r="9101" spans="24:24" x14ac:dyDescent="0.25">
      <c r="X9101" s="256"/>
    </row>
    <row r="9102" spans="24:24" x14ac:dyDescent="0.25">
      <c r="X9102" s="256"/>
    </row>
    <row r="9103" spans="24:24" x14ac:dyDescent="0.25">
      <c r="X9103" s="256"/>
    </row>
    <row r="9104" spans="24:24" x14ac:dyDescent="0.25">
      <c r="X9104" s="256"/>
    </row>
    <row r="9105" spans="24:24" x14ac:dyDescent="0.25">
      <c r="X9105" s="256"/>
    </row>
    <row r="9106" spans="24:24" x14ac:dyDescent="0.25">
      <c r="X9106" s="256"/>
    </row>
    <row r="9107" spans="24:24" x14ac:dyDescent="0.25">
      <c r="X9107" s="256"/>
    </row>
    <row r="9108" spans="24:24" x14ac:dyDescent="0.25">
      <c r="X9108" s="256"/>
    </row>
    <row r="9109" spans="24:24" x14ac:dyDescent="0.25">
      <c r="X9109" s="256"/>
    </row>
    <row r="9110" spans="24:24" x14ac:dyDescent="0.25">
      <c r="X9110" s="256"/>
    </row>
    <row r="9111" spans="24:24" x14ac:dyDescent="0.25">
      <c r="X9111" s="256"/>
    </row>
    <row r="9112" spans="24:24" x14ac:dyDescent="0.25">
      <c r="X9112" s="256"/>
    </row>
    <row r="9113" spans="24:24" x14ac:dyDescent="0.25">
      <c r="X9113" s="256"/>
    </row>
    <row r="9114" spans="24:24" x14ac:dyDescent="0.25">
      <c r="X9114" s="256"/>
    </row>
    <row r="9115" spans="24:24" x14ac:dyDescent="0.25">
      <c r="X9115" s="256"/>
    </row>
    <row r="9116" spans="24:24" x14ac:dyDescent="0.25">
      <c r="X9116" s="256"/>
    </row>
    <row r="9117" spans="24:24" x14ac:dyDescent="0.25">
      <c r="X9117" s="256"/>
    </row>
    <row r="9118" spans="24:24" x14ac:dyDescent="0.25">
      <c r="X9118" s="256"/>
    </row>
    <row r="9119" spans="24:24" x14ac:dyDescent="0.25">
      <c r="X9119" s="256"/>
    </row>
    <row r="9120" spans="24:24" x14ac:dyDescent="0.25">
      <c r="X9120" s="256"/>
    </row>
    <row r="9121" spans="24:24" x14ac:dyDescent="0.25">
      <c r="X9121" s="256"/>
    </row>
    <row r="9122" spans="24:24" x14ac:dyDescent="0.25">
      <c r="X9122" s="256"/>
    </row>
    <row r="9123" spans="24:24" x14ac:dyDescent="0.25">
      <c r="X9123" s="256"/>
    </row>
    <row r="9124" spans="24:24" x14ac:dyDescent="0.25">
      <c r="X9124" s="256"/>
    </row>
    <row r="9125" spans="24:24" x14ac:dyDescent="0.25">
      <c r="X9125" s="256"/>
    </row>
    <row r="9126" spans="24:24" x14ac:dyDescent="0.25">
      <c r="X9126" s="256"/>
    </row>
    <row r="9127" spans="24:24" x14ac:dyDescent="0.25">
      <c r="X9127" s="256"/>
    </row>
    <row r="9128" spans="24:24" x14ac:dyDescent="0.25">
      <c r="X9128" s="256"/>
    </row>
    <row r="9129" spans="24:24" x14ac:dyDescent="0.25">
      <c r="X9129" s="256"/>
    </row>
    <row r="9130" spans="24:24" x14ac:dyDescent="0.25">
      <c r="X9130" s="256"/>
    </row>
    <row r="9131" spans="24:24" x14ac:dyDescent="0.25">
      <c r="X9131" s="256"/>
    </row>
    <row r="9132" spans="24:24" x14ac:dyDescent="0.25">
      <c r="X9132" s="256"/>
    </row>
    <row r="9133" spans="24:24" x14ac:dyDescent="0.25">
      <c r="X9133" s="256"/>
    </row>
    <row r="9134" spans="24:24" x14ac:dyDescent="0.25">
      <c r="X9134" s="256"/>
    </row>
    <row r="9135" spans="24:24" x14ac:dyDescent="0.25">
      <c r="X9135" s="256"/>
    </row>
    <row r="9136" spans="24:24" x14ac:dyDescent="0.25">
      <c r="X9136" s="256"/>
    </row>
    <row r="9137" spans="24:24" x14ac:dyDescent="0.25">
      <c r="X9137" s="256"/>
    </row>
    <row r="9138" spans="24:24" x14ac:dyDescent="0.25">
      <c r="X9138" s="256"/>
    </row>
    <row r="9139" spans="24:24" x14ac:dyDescent="0.25">
      <c r="X9139" s="256"/>
    </row>
    <row r="9140" spans="24:24" x14ac:dyDescent="0.25">
      <c r="X9140" s="256"/>
    </row>
    <row r="9141" spans="24:24" x14ac:dyDescent="0.25">
      <c r="X9141" s="256"/>
    </row>
    <row r="9142" spans="24:24" x14ac:dyDescent="0.25">
      <c r="X9142" s="256"/>
    </row>
    <row r="9143" spans="24:24" x14ac:dyDescent="0.25">
      <c r="X9143" s="256"/>
    </row>
    <row r="9144" spans="24:24" x14ac:dyDescent="0.25">
      <c r="X9144" s="256"/>
    </row>
    <row r="9145" spans="24:24" x14ac:dyDescent="0.25">
      <c r="X9145" s="256"/>
    </row>
    <row r="9146" spans="24:24" x14ac:dyDescent="0.25">
      <c r="X9146" s="256"/>
    </row>
    <row r="9147" spans="24:24" x14ac:dyDescent="0.25">
      <c r="X9147" s="256"/>
    </row>
    <row r="9148" spans="24:24" x14ac:dyDescent="0.25">
      <c r="X9148" s="256"/>
    </row>
    <row r="9149" spans="24:24" x14ac:dyDescent="0.25">
      <c r="X9149" s="256"/>
    </row>
    <row r="9150" spans="24:24" x14ac:dyDescent="0.25">
      <c r="X9150" s="256"/>
    </row>
    <row r="9151" spans="24:24" x14ac:dyDescent="0.25">
      <c r="X9151" s="256"/>
    </row>
    <row r="9152" spans="24:24" x14ac:dyDescent="0.25">
      <c r="X9152" s="256"/>
    </row>
    <row r="9153" spans="24:24" x14ac:dyDescent="0.25">
      <c r="X9153" s="256"/>
    </row>
    <row r="9154" spans="24:24" x14ac:dyDescent="0.25">
      <c r="X9154" s="256"/>
    </row>
    <row r="9155" spans="24:24" x14ac:dyDescent="0.25">
      <c r="X9155" s="256"/>
    </row>
    <row r="9156" spans="24:24" x14ac:dyDescent="0.25">
      <c r="X9156" s="256"/>
    </row>
    <row r="9157" spans="24:24" x14ac:dyDescent="0.25">
      <c r="X9157" s="256"/>
    </row>
    <row r="9158" spans="24:24" x14ac:dyDescent="0.25">
      <c r="X9158" s="256"/>
    </row>
    <row r="9159" spans="24:24" x14ac:dyDescent="0.25">
      <c r="X9159" s="256"/>
    </row>
    <row r="9160" spans="24:24" x14ac:dyDescent="0.25">
      <c r="X9160" s="256"/>
    </row>
    <row r="9161" spans="24:24" x14ac:dyDescent="0.25">
      <c r="X9161" s="256"/>
    </row>
    <row r="9162" spans="24:24" x14ac:dyDescent="0.25">
      <c r="X9162" s="256"/>
    </row>
    <row r="9163" spans="24:24" x14ac:dyDescent="0.25">
      <c r="X9163" s="256"/>
    </row>
    <row r="9164" spans="24:24" x14ac:dyDescent="0.25">
      <c r="X9164" s="256"/>
    </row>
    <row r="9165" spans="24:24" x14ac:dyDescent="0.25">
      <c r="X9165" s="256"/>
    </row>
    <row r="9166" spans="24:24" x14ac:dyDescent="0.25">
      <c r="X9166" s="256"/>
    </row>
    <row r="9167" spans="24:24" x14ac:dyDescent="0.25">
      <c r="X9167" s="256"/>
    </row>
    <row r="9168" spans="24:24" x14ac:dyDescent="0.25">
      <c r="X9168" s="256"/>
    </row>
    <row r="9169" spans="24:24" x14ac:dyDescent="0.25">
      <c r="X9169" s="256"/>
    </row>
    <row r="9170" spans="24:24" x14ac:dyDescent="0.25">
      <c r="X9170" s="256"/>
    </row>
    <row r="9171" spans="24:24" x14ac:dyDescent="0.25">
      <c r="X9171" s="256"/>
    </row>
    <row r="9172" spans="24:24" x14ac:dyDescent="0.25">
      <c r="X9172" s="256"/>
    </row>
    <row r="9173" spans="24:24" x14ac:dyDescent="0.25">
      <c r="X9173" s="256"/>
    </row>
    <row r="9174" spans="24:24" x14ac:dyDescent="0.25">
      <c r="X9174" s="256"/>
    </row>
    <row r="9175" spans="24:24" x14ac:dyDescent="0.25">
      <c r="X9175" s="256"/>
    </row>
    <row r="9176" spans="24:24" x14ac:dyDescent="0.25">
      <c r="X9176" s="256"/>
    </row>
    <row r="9177" spans="24:24" x14ac:dyDescent="0.25">
      <c r="X9177" s="256"/>
    </row>
    <row r="9178" spans="24:24" x14ac:dyDescent="0.25">
      <c r="X9178" s="256"/>
    </row>
    <row r="9179" spans="24:24" x14ac:dyDescent="0.25">
      <c r="X9179" s="256"/>
    </row>
    <row r="9180" spans="24:24" x14ac:dyDescent="0.25">
      <c r="X9180" s="256"/>
    </row>
    <row r="9181" spans="24:24" x14ac:dyDescent="0.25">
      <c r="X9181" s="256"/>
    </row>
    <row r="9182" spans="24:24" x14ac:dyDescent="0.25">
      <c r="X9182" s="256"/>
    </row>
    <row r="9183" spans="24:24" x14ac:dyDescent="0.25">
      <c r="X9183" s="256"/>
    </row>
    <row r="9184" spans="24:24" x14ac:dyDescent="0.25">
      <c r="X9184" s="256"/>
    </row>
    <row r="9185" spans="24:24" x14ac:dyDescent="0.25">
      <c r="X9185" s="256"/>
    </row>
    <row r="9186" spans="24:24" x14ac:dyDescent="0.25">
      <c r="X9186" s="256"/>
    </row>
    <row r="9187" spans="24:24" x14ac:dyDescent="0.25">
      <c r="X9187" s="256"/>
    </row>
    <row r="9188" spans="24:24" x14ac:dyDescent="0.25">
      <c r="X9188" s="256"/>
    </row>
    <row r="9189" spans="24:24" x14ac:dyDescent="0.25">
      <c r="X9189" s="256"/>
    </row>
    <row r="9190" spans="24:24" x14ac:dyDescent="0.25">
      <c r="X9190" s="256"/>
    </row>
    <row r="9191" spans="24:24" x14ac:dyDescent="0.25">
      <c r="X9191" s="256"/>
    </row>
    <row r="9192" spans="24:24" x14ac:dyDescent="0.25">
      <c r="X9192" s="256"/>
    </row>
    <row r="9193" spans="24:24" x14ac:dyDescent="0.25">
      <c r="X9193" s="256"/>
    </row>
    <row r="9194" spans="24:24" x14ac:dyDescent="0.25">
      <c r="X9194" s="256"/>
    </row>
    <row r="9195" spans="24:24" x14ac:dyDescent="0.25">
      <c r="X9195" s="256"/>
    </row>
    <row r="9196" spans="24:24" x14ac:dyDescent="0.25">
      <c r="X9196" s="256"/>
    </row>
    <row r="9197" spans="24:24" x14ac:dyDescent="0.25">
      <c r="X9197" s="256"/>
    </row>
    <row r="9198" spans="24:24" x14ac:dyDescent="0.25">
      <c r="X9198" s="256"/>
    </row>
    <row r="9199" spans="24:24" x14ac:dyDescent="0.25">
      <c r="X9199" s="256"/>
    </row>
    <row r="9200" spans="24:24" x14ac:dyDescent="0.25">
      <c r="X9200" s="256"/>
    </row>
    <row r="9201" spans="24:24" x14ac:dyDescent="0.25">
      <c r="X9201" s="256"/>
    </row>
    <row r="9202" spans="24:24" x14ac:dyDescent="0.25">
      <c r="X9202" s="256"/>
    </row>
    <row r="9203" spans="24:24" x14ac:dyDescent="0.25">
      <c r="X9203" s="256"/>
    </row>
    <row r="9204" spans="24:24" x14ac:dyDescent="0.25">
      <c r="X9204" s="256"/>
    </row>
    <row r="9205" spans="24:24" x14ac:dyDescent="0.25">
      <c r="X9205" s="256"/>
    </row>
    <row r="9206" spans="24:24" x14ac:dyDescent="0.25">
      <c r="X9206" s="256"/>
    </row>
    <row r="9207" spans="24:24" x14ac:dyDescent="0.25">
      <c r="X9207" s="256"/>
    </row>
    <row r="9208" spans="24:24" x14ac:dyDescent="0.25">
      <c r="X9208" s="256"/>
    </row>
    <row r="9209" spans="24:24" x14ac:dyDescent="0.25">
      <c r="X9209" s="256"/>
    </row>
    <row r="9210" spans="24:24" x14ac:dyDescent="0.25">
      <c r="X9210" s="256"/>
    </row>
    <row r="9211" spans="24:24" x14ac:dyDescent="0.25">
      <c r="X9211" s="256"/>
    </row>
    <row r="9212" spans="24:24" x14ac:dyDescent="0.25">
      <c r="X9212" s="256"/>
    </row>
    <row r="9213" spans="24:24" x14ac:dyDescent="0.25">
      <c r="X9213" s="256"/>
    </row>
    <row r="9214" spans="24:24" x14ac:dyDescent="0.25">
      <c r="X9214" s="256"/>
    </row>
    <row r="9215" spans="24:24" x14ac:dyDescent="0.25">
      <c r="X9215" s="256"/>
    </row>
    <row r="9216" spans="24:24" x14ac:dyDescent="0.25">
      <c r="X9216" s="256"/>
    </row>
    <row r="9217" spans="24:24" x14ac:dyDescent="0.25">
      <c r="X9217" s="256"/>
    </row>
    <row r="9218" spans="24:24" x14ac:dyDescent="0.25">
      <c r="X9218" s="256"/>
    </row>
    <row r="9219" spans="24:24" x14ac:dyDescent="0.25">
      <c r="X9219" s="256"/>
    </row>
    <row r="9220" spans="24:24" x14ac:dyDescent="0.25">
      <c r="X9220" s="256"/>
    </row>
    <row r="9221" spans="24:24" x14ac:dyDescent="0.25">
      <c r="X9221" s="256"/>
    </row>
    <row r="9222" spans="24:24" x14ac:dyDescent="0.25">
      <c r="X9222" s="256"/>
    </row>
    <row r="9223" spans="24:24" x14ac:dyDescent="0.25">
      <c r="X9223" s="256"/>
    </row>
    <row r="9224" spans="24:24" x14ac:dyDescent="0.25">
      <c r="X9224" s="256"/>
    </row>
    <row r="9225" spans="24:24" x14ac:dyDescent="0.25">
      <c r="X9225" s="256"/>
    </row>
    <row r="9226" spans="24:24" x14ac:dyDescent="0.25">
      <c r="X9226" s="256"/>
    </row>
    <row r="9227" spans="24:24" x14ac:dyDescent="0.25">
      <c r="X9227" s="256"/>
    </row>
    <row r="9228" spans="24:24" x14ac:dyDescent="0.25">
      <c r="X9228" s="256"/>
    </row>
    <row r="9229" spans="24:24" x14ac:dyDescent="0.25">
      <c r="X9229" s="256"/>
    </row>
    <row r="9230" spans="24:24" x14ac:dyDescent="0.25">
      <c r="X9230" s="256"/>
    </row>
    <row r="9231" spans="24:24" x14ac:dyDescent="0.25">
      <c r="X9231" s="256"/>
    </row>
    <row r="9232" spans="24:24" x14ac:dyDescent="0.25">
      <c r="X9232" s="256"/>
    </row>
    <row r="9233" spans="24:24" x14ac:dyDescent="0.25">
      <c r="X9233" s="256"/>
    </row>
    <row r="9234" spans="24:24" x14ac:dyDescent="0.25">
      <c r="X9234" s="256"/>
    </row>
    <row r="9235" spans="24:24" x14ac:dyDescent="0.25">
      <c r="X9235" s="256"/>
    </row>
    <row r="9236" spans="24:24" x14ac:dyDescent="0.25">
      <c r="X9236" s="256"/>
    </row>
    <row r="9237" spans="24:24" x14ac:dyDescent="0.25">
      <c r="X9237" s="256"/>
    </row>
    <row r="9238" spans="24:24" x14ac:dyDescent="0.25">
      <c r="X9238" s="256"/>
    </row>
    <row r="9239" spans="24:24" x14ac:dyDescent="0.25">
      <c r="X9239" s="256"/>
    </row>
    <row r="9240" spans="24:24" x14ac:dyDescent="0.25">
      <c r="X9240" s="256"/>
    </row>
    <row r="9241" spans="24:24" x14ac:dyDescent="0.25">
      <c r="X9241" s="256"/>
    </row>
    <row r="9242" spans="24:24" x14ac:dyDescent="0.25">
      <c r="X9242" s="256"/>
    </row>
    <row r="9243" spans="24:24" x14ac:dyDescent="0.25">
      <c r="X9243" s="256"/>
    </row>
    <row r="9244" spans="24:24" x14ac:dyDescent="0.25">
      <c r="X9244" s="256"/>
    </row>
    <row r="9245" spans="24:24" x14ac:dyDescent="0.25">
      <c r="X9245" s="256"/>
    </row>
    <row r="9246" spans="24:24" x14ac:dyDescent="0.25">
      <c r="X9246" s="256"/>
    </row>
    <row r="9247" spans="24:24" x14ac:dyDescent="0.25">
      <c r="X9247" s="256"/>
    </row>
    <row r="9248" spans="24:24" x14ac:dyDescent="0.25">
      <c r="X9248" s="256"/>
    </row>
    <row r="9249" spans="24:24" x14ac:dyDescent="0.25">
      <c r="X9249" s="256"/>
    </row>
    <row r="9250" spans="24:24" x14ac:dyDescent="0.25">
      <c r="X9250" s="256"/>
    </row>
    <row r="9251" spans="24:24" x14ac:dyDescent="0.25">
      <c r="X9251" s="256"/>
    </row>
    <row r="9252" spans="24:24" x14ac:dyDescent="0.25">
      <c r="X9252" s="256"/>
    </row>
    <row r="9253" spans="24:24" x14ac:dyDescent="0.25">
      <c r="X9253" s="256"/>
    </row>
    <row r="9254" spans="24:24" x14ac:dyDescent="0.25">
      <c r="X9254" s="256"/>
    </row>
    <row r="9255" spans="24:24" x14ac:dyDescent="0.25">
      <c r="X9255" s="256"/>
    </row>
    <row r="9256" spans="24:24" x14ac:dyDescent="0.25">
      <c r="X9256" s="256"/>
    </row>
    <row r="9257" spans="24:24" x14ac:dyDescent="0.25">
      <c r="X9257" s="256"/>
    </row>
    <row r="9258" spans="24:24" x14ac:dyDescent="0.25">
      <c r="X9258" s="256"/>
    </row>
    <row r="9259" spans="24:24" x14ac:dyDescent="0.25">
      <c r="X9259" s="256"/>
    </row>
    <row r="9260" spans="24:24" x14ac:dyDescent="0.25">
      <c r="X9260" s="256"/>
    </row>
    <row r="9261" spans="24:24" x14ac:dyDescent="0.25">
      <c r="X9261" s="256"/>
    </row>
    <row r="9262" spans="24:24" x14ac:dyDescent="0.25">
      <c r="X9262" s="256"/>
    </row>
    <row r="9263" spans="24:24" x14ac:dyDescent="0.25">
      <c r="X9263" s="256"/>
    </row>
    <row r="9264" spans="24:24" x14ac:dyDescent="0.25">
      <c r="X9264" s="256"/>
    </row>
    <row r="9265" spans="24:24" x14ac:dyDescent="0.25">
      <c r="X9265" s="256"/>
    </row>
    <row r="9266" spans="24:24" x14ac:dyDescent="0.25">
      <c r="X9266" s="256"/>
    </row>
    <row r="9267" spans="24:24" x14ac:dyDescent="0.25">
      <c r="X9267" s="256"/>
    </row>
    <row r="9268" spans="24:24" x14ac:dyDescent="0.25">
      <c r="X9268" s="256"/>
    </row>
    <row r="9269" spans="24:24" x14ac:dyDescent="0.25">
      <c r="X9269" s="256"/>
    </row>
    <row r="9270" spans="24:24" x14ac:dyDescent="0.25">
      <c r="X9270" s="256"/>
    </row>
    <row r="9271" spans="24:24" x14ac:dyDescent="0.25">
      <c r="X9271" s="256"/>
    </row>
    <row r="9272" spans="24:24" x14ac:dyDescent="0.25">
      <c r="X9272" s="256"/>
    </row>
    <row r="9273" spans="24:24" x14ac:dyDescent="0.25">
      <c r="X9273" s="256"/>
    </row>
    <row r="9274" spans="24:24" x14ac:dyDescent="0.25">
      <c r="X9274" s="256"/>
    </row>
    <row r="9275" spans="24:24" x14ac:dyDescent="0.25">
      <c r="X9275" s="256"/>
    </row>
    <row r="9276" spans="24:24" x14ac:dyDescent="0.25">
      <c r="X9276" s="256"/>
    </row>
    <row r="9277" spans="24:24" x14ac:dyDescent="0.25">
      <c r="X9277" s="256"/>
    </row>
    <row r="9278" spans="24:24" x14ac:dyDescent="0.25">
      <c r="X9278" s="256"/>
    </row>
    <row r="9279" spans="24:24" x14ac:dyDescent="0.25">
      <c r="X9279" s="256"/>
    </row>
    <row r="9280" spans="24:24" x14ac:dyDescent="0.25">
      <c r="X9280" s="256"/>
    </row>
    <row r="9281" spans="24:24" x14ac:dyDescent="0.25">
      <c r="X9281" s="256"/>
    </row>
    <row r="9282" spans="24:24" x14ac:dyDescent="0.25">
      <c r="X9282" s="256"/>
    </row>
    <row r="9283" spans="24:24" x14ac:dyDescent="0.25">
      <c r="X9283" s="256"/>
    </row>
    <row r="9284" spans="24:24" x14ac:dyDescent="0.25">
      <c r="X9284" s="256"/>
    </row>
    <row r="9285" spans="24:24" x14ac:dyDescent="0.25">
      <c r="X9285" s="256"/>
    </row>
    <row r="9286" spans="24:24" x14ac:dyDescent="0.25">
      <c r="X9286" s="256"/>
    </row>
    <row r="9287" spans="24:24" x14ac:dyDescent="0.25">
      <c r="X9287" s="256"/>
    </row>
    <row r="9288" spans="24:24" x14ac:dyDescent="0.25">
      <c r="X9288" s="256"/>
    </row>
    <row r="9289" spans="24:24" x14ac:dyDescent="0.25">
      <c r="X9289" s="256"/>
    </row>
    <row r="9290" spans="24:24" x14ac:dyDescent="0.25">
      <c r="X9290" s="256"/>
    </row>
    <row r="9291" spans="24:24" x14ac:dyDescent="0.25">
      <c r="X9291" s="256"/>
    </row>
    <row r="9292" spans="24:24" x14ac:dyDescent="0.25">
      <c r="X9292" s="256"/>
    </row>
    <row r="9293" spans="24:24" x14ac:dyDescent="0.25">
      <c r="X9293" s="256"/>
    </row>
    <row r="9294" spans="24:24" x14ac:dyDescent="0.25">
      <c r="X9294" s="256"/>
    </row>
    <row r="9295" spans="24:24" x14ac:dyDescent="0.25">
      <c r="X9295" s="256"/>
    </row>
    <row r="9296" spans="24:24" x14ac:dyDescent="0.25">
      <c r="X9296" s="256"/>
    </row>
    <row r="9297" spans="24:24" x14ac:dyDescent="0.25">
      <c r="X9297" s="256"/>
    </row>
    <row r="9298" spans="24:24" x14ac:dyDescent="0.25">
      <c r="X9298" s="256"/>
    </row>
    <row r="9299" spans="24:24" x14ac:dyDescent="0.25">
      <c r="X9299" s="256"/>
    </row>
    <row r="9300" spans="24:24" x14ac:dyDescent="0.25">
      <c r="X9300" s="256"/>
    </row>
    <row r="9301" spans="24:24" x14ac:dyDescent="0.25">
      <c r="X9301" s="256"/>
    </row>
    <row r="9302" spans="24:24" x14ac:dyDescent="0.25">
      <c r="X9302" s="256"/>
    </row>
    <row r="9303" spans="24:24" x14ac:dyDescent="0.25">
      <c r="X9303" s="256"/>
    </row>
    <row r="9304" spans="24:24" x14ac:dyDescent="0.25">
      <c r="X9304" s="256"/>
    </row>
    <row r="9305" spans="24:24" x14ac:dyDescent="0.25">
      <c r="X9305" s="256"/>
    </row>
    <row r="9306" spans="24:24" x14ac:dyDescent="0.25">
      <c r="X9306" s="256"/>
    </row>
    <row r="9307" spans="24:24" x14ac:dyDescent="0.25">
      <c r="X9307" s="256"/>
    </row>
    <row r="9308" spans="24:24" x14ac:dyDescent="0.25">
      <c r="X9308" s="256"/>
    </row>
    <row r="9309" spans="24:24" x14ac:dyDescent="0.25">
      <c r="X9309" s="256"/>
    </row>
    <row r="9310" spans="24:24" x14ac:dyDescent="0.25">
      <c r="X9310" s="256"/>
    </row>
    <row r="9311" spans="24:24" x14ac:dyDescent="0.25">
      <c r="X9311" s="256"/>
    </row>
    <row r="9312" spans="24:24" x14ac:dyDescent="0.25">
      <c r="X9312" s="256"/>
    </row>
    <row r="9313" spans="24:24" x14ac:dyDescent="0.25">
      <c r="X9313" s="256"/>
    </row>
    <row r="9314" spans="24:24" x14ac:dyDescent="0.25">
      <c r="X9314" s="256"/>
    </row>
    <row r="9315" spans="24:24" x14ac:dyDescent="0.25">
      <c r="X9315" s="256"/>
    </row>
    <row r="9316" spans="24:24" x14ac:dyDescent="0.25">
      <c r="X9316" s="256"/>
    </row>
    <row r="9317" spans="24:24" x14ac:dyDescent="0.25">
      <c r="X9317" s="256"/>
    </row>
    <row r="9318" spans="24:24" x14ac:dyDescent="0.25">
      <c r="X9318" s="256"/>
    </row>
    <row r="9319" spans="24:24" x14ac:dyDescent="0.25">
      <c r="X9319" s="256"/>
    </row>
    <row r="9320" spans="24:24" x14ac:dyDescent="0.25">
      <c r="X9320" s="256"/>
    </row>
    <row r="9321" spans="24:24" x14ac:dyDescent="0.25">
      <c r="X9321" s="256"/>
    </row>
    <row r="9322" spans="24:24" x14ac:dyDescent="0.25">
      <c r="X9322" s="256"/>
    </row>
    <row r="9323" spans="24:24" x14ac:dyDescent="0.25">
      <c r="X9323" s="256"/>
    </row>
    <row r="9324" spans="24:24" x14ac:dyDescent="0.25">
      <c r="X9324" s="256"/>
    </row>
    <row r="9325" spans="24:24" x14ac:dyDescent="0.25">
      <c r="X9325" s="256"/>
    </row>
    <row r="9326" spans="24:24" x14ac:dyDescent="0.25">
      <c r="X9326" s="256"/>
    </row>
    <row r="9327" spans="24:24" x14ac:dyDescent="0.25">
      <c r="X9327" s="256"/>
    </row>
    <row r="9328" spans="24:24" x14ac:dyDescent="0.25">
      <c r="X9328" s="256"/>
    </row>
    <row r="9329" spans="24:24" x14ac:dyDescent="0.25">
      <c r="X9329" s="256"/>
    </row>
    <row r="9330" spans="24:24" x14ac:dyDescent="0.25">
      <c r="X9330" s="256"/>
    </row>
    <row r="9331" spans="24:24" x14ac:dyDescent="0.25">
      <c r="X9331" s="256"/>
    </row>
    <row r="9332" spans="24:24" x14ac:dyDescent="0.25">
      <c r="X9332" s="256"/>
    </row>
    <row r="9333" spans="24:24" x14ac:dyDescent="0.25">
      <c r="X9333" s="256"/>
    </row>
    <row r="9334" spans="24:24" x14ac:dyDescent="0.25">
      <c r="X9334" s="256"/>
    </row>
    <row r="9335" spans="24:24" x14ac:dyDescent="0.25">
      <c r="X9335" s="256"/>
    </row>
    <row r="9336" spans="24:24" x14ac:dyDescent="0.25">
      <c r="X9336" s="256"/>
    </row>
    <row r="9337" spans="24:24" x14ac:dyDescent="0.25">
      <c r="X9337" s="256"/>
    </row>
    <row r="9338" spans="24:24" x14ac:dyDescent="0.25">
      <c r="X9338" s="256"/>
    </row>
    <row r="9339" spans="24:24" x14ac:dyDescent="0.25">
      <c r="X9339" s="256"/>
    </row>
    <row r="9340" spans="24:24" x14ac:dyDescent="0.25">
      <c r="X9340" s="256"/>
    </row>
    <row r="9341" spans="24:24" x14ac:dyDescent="0.25">
      <c r="X9341" s="256"/>
    </row>
    <row r="9342" spans="24:24" x14ac:dyDescent="0.25">
      <c r="X9342" s="256"/>
    </row>
    <row r="9343" spans="24:24" x14ac:dyDescent="0.25">
      <c r="X9343" s="256"/>
    </row>
    <row r="9344" spans="24:24" x14ac:dyDescent="0.25">
      <c r="X9344" s="256"/>
    </row>
    <row r="9345" spans="24:24" x14ac:dyDescent="0.25">
      <c r="X9345" s="256"/>
    </row>
    <row r="9346" spans="24:24" x14ac:dyDescent="0.25">
      <c r="X9346" s="256"/>
    </row>
    <row r="9347" spans="24:24" x14ac:dyDescent="0.25">
      <c r="X9347" s="256"/>
    </row>
    <row r="9348" spans="24:24" x14ac:dyDescent="0.25">
      <c r="X9348" s="256"/>
    </row>
    <row r="9349" spans="24:24" x14ac:dyDescent="0.25">
      <c r="X9349" s="256"/>
    </row>
    <row r="9350" spans="24:24" x14ac:dyDescent="0.25">
      <c r="X9350" s="256"/>
    </row>
    <row r="9351" spans="24:24" x14ac:dyDescent="0.25">
      <c r="X9351" s="256"/>
    </row>
    <row r="9352" spans="24:24" x14ac:dyDescent="0.25">
      <c r="X9352" s="256"/>
    </row>
    <row r="9353" spans="24:24" x14ac:dyDescent="0.25">
      <c r="X9353" s="256"/>
    </row>
    <row r="9354" spans="24:24" x14ac:dyDescent="0.25">
      <c r="X9354" s="256"/>
    </row>
    <row r="9355" spans="24:24" x14ac:dyDescent="0.25">
      <c r="X9355" s="256"/>
    </row>
    <row r="9356" spans="24:24" x14ac:dyDescent="0.25">
      <c r="X9356" s="256"/>
    </row>
    <row r="9357" spans="24:24" x14ac:dyDescent="0.25">
      <c r="X9357" s="256"/>
    </row>
    <row r="9358" spans="24:24" x14ac:dyDescent="0.25">
      <c r="X9358" s="256"/>
    </row>
    <row r="9359" spans="24:24" x14ac:dyDescent="0.25">
      <c r="X9359" s="256"/>
    </row>
    <row r="9360" spans="24:24" x14ac:dyDescent="0.25">
      <c r="X9360" s="256"/>
    </row>
    <row r="9361" spans="24:24" x14ac:dyDescent="0.25">
      <c r="X9361" s="256"/>
    </row>
    <row r="9362" spans="24:24" x14ac:dyDescent="0.25">
      <c r="X9362" s="256"/>
    </row>
    <row r="9363" spans="24:24" x14ac:dyDescent="0.25">
      <c r="X9363" s="256"/>
    </row>
    <row r="9364" spans="24:24" x14ac:dyDescent="0.25">
      <c r="X9364" s="256"/>
    </row>
    <row r="9365" spans="24:24" x14ac:dyDescent="0.25">
      <c r="X9365" s="256"/>
    </row>
    <row r="9366" spans="24:24" x14ac:dyDescent="0.25">
      <c r="X9366" s="256"/>
    </row>
    <row r="9367" spans="24:24" x14ac:dyDescent="0.25">
      <c r="X9367" s="256"/>
    </row>
    <row r="9368" spans="24:24" x14ac:dyDescent="0.25">
      <c r="X9368" s="256"/>
    </row>
    <row r="9369" spans="24:24" x14ac:dyDescent="0.25">
      <c r="X9369" s="256"/>
    </row>
    <row r="9370" spans="24:24" x14ac:dyDescent="0.25">
      <c r="X9370" s="256"/>
    </row>
    <row r="9371" spans="24:24" x14ac:dyDescent="0.25">
      <c r="X9371" s="256"/>
    </row>
    <row r="9372" spans="24:24" x14ac:dyDescent="0.25">
      <c r="X9372" s="256"/>
    </row>
    <row r="9373" spans="24:24" x14ac:dyDescent="0.25">
      <c r="X9373" s="256"/>
    </row>
    <row r="9374" spans="24:24" x14ac:dyDescent="0.25">
      <c r="X9374" s="256"/>
    </row>
    <row r="9375" spans="24:24" x14ac:dyDescent="0.25">
      <c r="X9375" s="256"/>
    </row>
    <row r="9376" spans="24:24" x14ac:dyDescent="0.25">
      <c r="X9376" s="256"/>
    </row>
    <row r="9377" spans="24:24" x14ac:dyDescent="0.25">
      <c r="X9377" s="256"/>
    </row>
    <row r="9378" spans="24:24" x14ac:dyDescent="0.25">
      <c r="X9378" s="256"/>
    </row>
    <row r="9379" spans="24:24" x14ac:dyDescent="0.25">
      <c r="X9379" s="256"/>
    </row>
    <row r="9380" spans="24:24" x14ac:dyDescent="0.25">
      <c r="X9380" s="256"/>
    </row>
    <row r="9381" spans="24:24" x14ac:dyDescent="0.25">
      <c r="X9381" s="256"/>
    </row>
    <row r="9382" spans="24:24" x14ac:dyDescent="0.25">
      <c r="X9382" s="256"/>
    </row>
    <row r="9383" spans="24:24" x14ac:dyDescent="0.25">
      <c r="X9383" s="256"/>
    </row>
    <row r="9384" spans="24:24" x14ac:dyDescent="0.25">
      <c r="X9384" s="256"/>
    </row>
    <row r="9385" spans="24:24" x14ac:dyDescent="0.25">
      <c r="X9385" s="256"/>
    </row>
    <row r="9386" spans="24:24" x14ac:dyDescent="0.25">
      <c r="X9386" s="256"/>
    </row>
    <row r="9387" spans="24:24" x14ac:dyDescent="0.25">
      <c r="X9387" s="256"/>
    </row>
    <row r="9388" spans="24:24" x14ac:dyDescent="0.25">
      <c r="X9388" s="256"/>
    </row>
    <row r="9389" spans="24:24" x14ac:dyDescent="0.25">
      <c r="X9389" s="256"/>
    </row>
    <row r="9390" spans="24:24" x14ac:dyDescent="0.25">
      <c r="X9390" s="256"/>
    </row>
    <row r="9391" spans="24:24" x14ac:dyDescent="0.25">
      <c r="X9391" s="256"/>
    </row>
    <row r="9392" spans="24:24" x14ac:dyDescent="0.25">
      <c r="X9392" s="256"/>
    </row>
    <row r="9393" spans="24:24" x14ac:dyDescent="0.25">
      <c r="X9393" s="256"/>
    </row>
    <row r="9394" spans="24:24" x14ac:dyDescent="0.25">
      <c r="X9394" s="256"/>
    </row>
    <row r="9395" spans="24:24" x14ac:dyDescent="0.25">
      <c r="X9395" s="256"/>
    </row>
    <row r="9396" spans="24:24" x14ac:dyDescent="0.25">
      <c r="X9396" s="256"/>
    </row>
    <row r="9397" spans="24:24" x14ac:dyDescent="0.25">
      <c r="X9397" s="256"/>
    </row>
    <row r="9398" spans="24:24" x14ac:dyDescent="0.25">
      <c r="X9398" s="256"/>
    </row>
    <row r="9399" spans="24:24" x14ac:dyDescent="0.25">
      <c r="X9399" s="256"/>
    </row>
    <row r="9400" spans="24:24" x14ac:dyDescent="0.25">
      <c r="X9400" s="256"/>
    </row>
    <row r="9401" spans="24:24" x14ac:dyDescent="0.25">
      <c r="X9401" s="256"/>
    </row>
    <row r="9402" spans="24:24" x14ac:dyDescent="0.25">
      <c r="X9402" s="256"/>
    </row>
    <row r="9403" spans="24:24" x14ac:dyDescent="0.25">
      <c r="X9403" s="256"/>
    </row>
    <row r="9404" spans="24:24" x14ac:dyDescent="0.25">
      <c r="X9404" s="256"/>
    </row>
    <row r="9405" spans="24:24" x14ac:dyDescent="0.25">
      <c r="X9405" s="256"/>
    </row>
    <row r="9406" spans="24:24" x14ac:dyDescent="0.25">
      <c r="X9406" s="256"/>
    </row>
    <row r="9407" spans="24:24" x14ac:dyDescent="0.25">
      <c r="X9407" s="256"/>
    </row>
    <row r="9408" spans="24:24" x14ac:dyDescent="0.25">
      <c r="X9408" s="256"/>
    </row>
    <row r="9409" spans="24:24" x14ac:dyDescent="0.25">
      <c r="X9409" s="256"/>
    </row>
    <row r="9410" spans="24:24" x14ac:dyDescent="0.25">
      <c r="X9410" s="256"/>
    </row>
    <row r="9411" spans="24:24" x14ac:dyDescent="0.25">
      <c r="X9411" s="256"/>
    </row>
    <row r="9412" spans="24:24" x14ac:dyDescent="0.25">
      <c r="X9412" s="256"/>
    </row>
    <row r="9413" spans="24:24" x14ac:dyDescent="0.25">
      <c r="X9413" s="256"/>
    </row>
    <row r="9414" spans="24:24" x14ac:dyDescent="0.25">
      <c r="X9414" s="256"/>
    </row>
    <row r="9415" spans="24:24" x14ac:dyDescent="0.25">
      <c r="X9415" s="256"/>
    </row>
    <row r="9416" spans="24:24" x14ac:dyDescent="0.25">
      <c r="X9416" s="256"/>
    </row>
    <row r="9417" spans="24:24" x14ac:dyDescent="0.25">
      <c r="X9417" s="256"/>
    </row>
    <row r="9418" spans="24:24" x14ac:dyDescent="0.25">
      <c r="X9418" s="256"/>
    </row>
    <row r="9419" spans="24:24" x14ac:dyDescent="0.25">
      <c r="X9419" s="256"/>
    </row>
    <row r="9420" spans="24:24" x14ac:dyDescent="0.25">
      <c r="X9420" s="256"/>
    </row>
    <row r="9421" spans="24:24" x14ac:dyDescent="0.25">
      <c r="X9421" s="256"/>
    </row>
    <row r="9422" spans="24:24" x14ac:dyDescent="0.25">
      <c r="X9422" s="256"/>
    </row>
    <row r="9423" spans="24:24" x14ac:dyDescent="0.25">
      <c r="X9423" s="256"/>
    </row>
    <row r="9424" spans="24:24" x14ac:dyDescent="0.25">
      <c r="X9424" s="256"/>
    </row>
    <row r="9425" spans="24:24" x14ac:dyDescent="0.25">
      <c r="X9425" s="256"/>
    </row>
    <row r="9426" spans="24:24" x14ac:dyDescent="0.25">
      <c r="X9426" s="256"/>
    </row>
    <row r="9427" spans="24:24" x14ac:dyDescent="0.25">
      <c r="X9427" s="256"/>
    </row>
    <row r="9428" spans="24:24" x14ac:dyDescent="0.25">
      <c r="X9428" s="256"/>
    </row>
    <row r="9429" spans="24:24" x14ac:dyDescent="0.25">
      <c r="X9429" s="256"/>
    </row>
    <row r="9430" spans="24:24" x14ac:dyDescent="0.25">
      <c r="X9430" s="256"/>
    </row>
    <row r="9431" spans="24:24" x14ac:dyDescent="0.25">
      <c r="X9431" s="256"/>
    </row>
    <row r="9432" spans="24:24" x14ac:dyDescent="0.25">
      <c r="X9432" s="256"/>
    </row>
    <row r="9433" spans="24:24" x14ac:dyDescent="0.25">
      <c r="X9433" s="256"/>
    </row>
    <row r="9434" spans="24:24" x14ac:dyDescent="0.25">
      <c r="X9434" s="256"/>
    </row>
    <row r="9435" spans="24:24" x14ac:dyDescent="0.25">
      <c r="X9435" s="256"/>
    </row>
    <row r="9436" spans="24:24" x14ac:dyDescent="0.25">
      <c r="X9436" s="256"/>
    </row>
    <row r="9437" spans="24:24" x14ac:dyDescent="0.25">
      <c r="X9437" s="256"/>
    </row>
    <row r="9438" spans="24:24" x14ac:dyDescent="0.25">
      <c r="X9438" s="256"/>
    </row>
    <row r="9439" spans="24:24" x14ac:dyDescent="0.25">
      <c r="X9439" s="256"/>
    </row>
    <row r="9440" spans="24:24" x14ac:dyDescent="0.25">
      <c r="X9440" s="256"/>
    </row>
    <row r="9441" spans="24:24" x14ac:dyDescent="0.25">
      <c r="X9441" s="256"/>
    </row>
    <row r="9442" spans="24:24" x14ac:dyDescent="0.25">
      <c r="X9442" s="256"/>
    </row>
    <row r="9443" spans="24:24" x14ac:dyDescent="0.25">
      <c r="X9443" s="256"/>
    </row>
    <row r="9444" spans="24:24" x14ac:dyDescent="0.25">
      <c r="X9444" s="256"/>
    </row>
    <row r="9445" spans="24:24" x14ac:dyDescent="0.25">
      <c r="X9445" s="256"/>
    </row>
    <row r="9446" spans="24:24" x14ac:dyDescent="0.25">
      <c r="X9446" s="256"/>
    </row>
    <row r="9447" spans="24:24" x14ac:dyDescent="0.25">
      <c r="X9447" s="256"/>
    </row>
    <row r="9448" spans="24:24" x14ac:dyDescent="0.25">
      <c r="X9448" s="256"/>
    </row>
    <row r="9449" spans="24:24" x14ac:dyDescent="0.25">
      <c r="X9449" s="256"/>
    </row>
    <row r="9450" spans="24:24" x14ac:dyDescent="0.25">
      <c r="X9450" s="256"/>
    </row>
    <row r="9451" spans="24:24" x14ac:dyDescent="0.25">
      <c r="X9451" s="256"/>
    </row>
    <row r="9452" spans="24:24" x14ac:dyDescent="0.25">
      <c r="X9452" s="256"/>
    </row>
    <row r="9453" spans="24:24" x14ac:dyDescent="0.25">
      <c r="X9453" s="256"/>
    </row>
    <row r="9454" spans="24:24" x14ac:dyDescent="0.25">
      <c r="X9454" s="256"/>
    </row>
    <row r="9455" spans="24:24" x14ac:dyDescent="0.25">
      <c r="X9455" s="256"/>
    </row>
    <row r="9456" spans="24:24" x14ac:dyDescent="0.25">
      <c r="X9456" s="256"/>
    </row>
    <row r="9457" spans="24:24" x14ac:dyDescent="0.25">
      <c r="X9457" s="256"/>
    </row>
    <row r="9458" spans="24:24" x14ac:dyDescent="0.25">
      <c r="X9458" s="256"/>
    </row>
    <row r="9459" spans="24:24" x14ac:dyDescent="0.25">
      <c r="X9459" s="256"/>
    </row>
    <row r="9460" spans="24:24" x14ac:dyDescent="0.25">
      <c r="X9460" s="256"/>
    </row>
    <row r="9461" spans="24:24" x14ac:dyDescent="0.25">
      <c r="X9461" s="256"/>
    </row>
    <row r="9462" spans="24:24" x14ac:dyDescent="0.25">
      <c r="X9462" s="256"/>
    </row>
    <row r="9463" spans="24:24" x14ac:dyDescent="0.25">
      <c r="X9463" s="256"/>
    </row>
    <row r="9464" spans="24:24" x14ac:dyDescent="0.25">
      <c r="X9464" s="256"/>
    </row>
    <row r="9465" spans="24:24" x14ac:dyDescent="0.25">
      <c r="X9465" s="256"/>
    </row>
    <row r="9466" spans="24:24" x14ac:dyDescent="0.25">
      <c r="X9466" s="256"/>
    </row>
    <row r="9467" spans="24:24" x14ac:dyDescent="0.25">
      <c r="X9467" s="256"/>
    </row>
    <row r="9468" spans="24:24" x14ac:dyDescent="0.25">
      <c r="X9468" s="256"/>
    </row>
    <row r="9469" spans="24:24" x14ac:dyDescent="0.25">
      <c r="X9469" s="256"/>
    </row>
    <row r="9470" spans="24:24" x14ac:dyDescent="0.25">
      <c r="X9470" s="256"/>
    </row>
    <row r="9471" spans="24:24" x14ac:dyDescent="0.25">
      <c r="X9471" s="256"/>
    </row>
    <row r="9472" spans="24:24" x14ac:dyDescent="0.25">
      <c r="X9472" s="256"/>
    </row>
    <row r="9473" spans="24:24" x14ac:dyDescent="0.25">
      <c r="X9473" s="256"/>
    </row>
    <row r="9474" spans="24:24" x14ac:dyDescent="0.25">
      <c r="X9474" s="256"/>
    </row>
    <row r="9475" spans="24:24" x14ac:dyDescent="0.25">
      <c r="X9475" s="256"/>
    </row>
    <row r="9476" spans="24:24" x14ac:dyDescent="0.25">
      <c r="X9476" s="256"/>
    </row>
    <row r="9477" spans="24:24" x14ac:dyDescent="0.25">
      <c r="X9477" s="256"/>
    </row>
    <row r="9478" spans="24:24" x14ac:dyDescent="0.25">
      <c r="X9478" s="256"/>
    </row>
    <row r="9479" spans="24:24" x14ac:dyDescent="0.25">
      <c r="X9479" s="256"/>
    </row>
    <row r="9480" spans="24:24" x14ac:dyDescent="0.25">
      <c r="X9480" s="256"/>
    </row>
    <row r="9481" spans="24:24" x14ac:dyDescent="0.25">
      <c r="X9481" s="256"/>
    </row>
    <row r="9482" spans="24:24" x14ac:dyDescent="0.25">
      <c r="X9482" s="256"/>
    </row>
    <row r="9483" spans="24:24" x14ac:dyDescent="0.25">
      <c r="X9483" s="256"/>
    </row>
    <row r="9484" spans="24:24" x14ac:dyDescent="0.25">
      <c r="X9484" s="256"/>
    </row>
    <row r="9485" spans="24:24" x14ac:dyDescent="0.25">
      <c r="X9485" s="256"/>
    </row>
    <row r="9486" spans="24:24" x14ac:dyDescent="0.25">
      <c r="X9486" s="256"/>
    </row>
    <row r="9487" spans="24:24" x14ac:dyDescent="0.25">
      <c r="X9487" s="256"/>
    </row>
    <row r="9488" spans="24:24" x14ac:dyDescent="0.25">
      <c r="X9488" s="256"/>
    </row>
    <row r="9489" spans="24:24" x14ac:dyDescent="0.25">
      <c r="X9489" s="256"/>
    </row>
    <row r="9490" spans="24:24" x14ac:dyDescent="0.25">
      <c r="X9490" s="256"/>
    </row>
    <row r="9491" spans="24:24" x14ac:dyDescent="0.25">
      <c r="X9491" s="256"/>
    </row>
    <row r="9492" spans="24:24" x14ac:dyDescent="0.25">
      <c r="X9492" s="256"/>
    </row>
    <row r="9493" spans="24:24" x14ac:dyDescent="0.25">
      <c r="X9493" s="256"/>
    </row>
    <row r="9494" spans="24:24" x14ac:dyDescent="0.25">
      <c r="X9494" s="256"/>
    </row>
    <row r="9495" spans="24:24" x14ac:dyDescent="0.25">
      <c r="X9495" s="256"/>
    </row>
    <row r="9496" spans="24:24" x14ac:dyDescent="0.25">
      <c r="X9496" s="256"/>
    </row>
    <row r="9497" spans="24:24" x14ac:dyDescent="0.25">
      <c r="X9497" s="256"/>
    </row>
    <row r="9498" spans="24:24" x14ac:dyDescent="0.25">
      <c r="X9498" s="256"/>
    </row>
    <row r="9499" spans="24:24" x14ac:dyDescent="0.25">
      <c r="X9499" s="256"/>
    </row>
    <row r="9500" spans="24:24" x14ac:dyDescent="0.25">
      <c r="X9500" s="256"/>
    </row>
    <row r="9501" spans="24:24" x14ac:dyDescent="0.25">
      <c r="X9501" s="256"/>
    </row>
    <row r="9502" spans="24:24" x14ac:dyDescent="0.25">
      <c r="X9502" s="256"/>
    </row>
    <row r="9503" spans="24:24" x14ac:dyDescent="0.25">
      <c r="X9503" s="256"/>
    </row>
    <row r="9504" spans="24:24" x14ac:dyDescent="0.25">
      <c r="X9504" s="256"/>
    </row>
    <row r="9505" spans="24:24" x14ac:dyDescent="0.25">
      <c r="X9505" s="256"/>
    </row>
    <row r="9506" spans="24:24" x14ac:dyDescent="0.25">
      <c r="X9506" s="256"/>
    </row>
    <row r="9507" spans="24:24" x14ac:dyDescent="0.25">
      <c r="X9507" s="256"/>
    </row>
    <row r="9508" spans="24:24" x14ac:dyDescent="0.25">
      <c r="X9508" s="256"/>
    </row>
    <row r="9509" spans="24:24" x14ac:dyDescent="0.25">
      <c r="X9509" s="256"/>
    </row>
    <row r="9510" spans="24:24" x14ac:dyDescent="0.25">
      <c r="X9510" s="256"/>
    </row>
    <row r="9511" spans="24:24" x14ac:dyDescent="0.25">
      <c r="X9511" s="256"/>
    </row>
    <row r="9512" spans="24:24" x14ac:dyDescent="0.25">
      <c r="X9512" s="256"/>
    </row>
    <row r="9513" spans="24:24" x14ac:dyDescent="0.25">
      <c r="X9513" s="256"/>
    </row>
    <row r="9514" spans="24:24" x14ac:dyDescent="0.25">
      <c r="X9514" s="256"/>
    </row>
    <row r="9515" spans="24:24" x14ac:dyDescent="0.25">
      <c r="X9515" s="256"/>
    </row>
    <row r="9516" spans="24:24" x14ac:dyDescent="0.25">
      <c r="X9516" s="256"/>
    </row>
    <row r="9517" spans="24:24" x14ac:dyDescent="0.25">
      <c r="X9517" s="256"/>
    </row>
    <row r="9518" spans="24:24" x14ac:dyDescent="0.25">
      <c r="X9518" s="256"/>
    </row>
    <row r="9519" spans="24:24" x14ac:dyDescent="0.25">
      <c r="X9519" s="256"/>
    </row>
    <row r="9520" spans="24:24" x14ac:dyDescent="0.25">
      <c r="X9520" s="256"/>
    </row>
    <row r="9521" spans="24:24" x14ac:dyDescent="0.25">
      <c r="X9521" s="256"/>
    </row>
    <row r="9522" spans="24:24" x14ac:dyDescent="0.25">
      <c r="X9522" s="256"/>
    </row>
    <row r="9523" spans="24:24" x14ac:dyDescent="0.25">
      <c r="X9523" s="256"/>
    </row>
    <row r="9524" spans="24:24" x14ac:dyDescent="0.25">
      <c r="X9524" s="256"/>
    </row>
    <row r="9525" spans="24:24" x14ac:dyDescent="0.25">
      <c r="X9525" s="256"/>
    </row>
    <row r="9526" spans="24:24" x14ac:dyDescent="0.25">
      <c r="X9526" s="256"/>
    </row>
    <row r="9527" spans="24:24" x14ac:dyDescent="0.25">
      <c r="X9527" s="256"/>
    </row>
    <row r="9528" spans="24:24" x14ac:dyDescent="0.25">
      <c r="X9528" s="256"/>
    </row>
    <row r="9529" spans="24:24" x14ac:dyDescent="0.25">
      <c r="X9529" s="256"/>
    </row>
    <row r="9530" spans="24:24" x14ac:dyDescent="0.25">
      <c r="X9530" s="256"/>
    </row>
    <row r="9531" spans="24:24" x14ac:dyDescent="0.25">
      <c r="X9531" s="256"/>
    </row>
    <row r="9532" spans="24:24" x14ac:dyDescent="0.25">
      <c r="X9532" s="256"/>
    </row>
    <row r="9533" spans="24:24" x14ac:dyDescent="0.25">
      <c r="X9533" s="256"/>
    </row>
    <row r="9534" spans="24:24" x14ac:dyDescent="0.25">
      <c r="X9534" s="256"/>
    </row>
    <row r="9535" spans="24:24" x14ac:dyDescent="0.25">
      <c r="X9535" s="256"/>
    </row>
    <row r="9536" spans="24:24" x14ac:dyDescent="0.25">
      <c r="X9536" s="256"/>
    </row>
    <row r="9537" spans="24:24" x14ac:dyDescent="0.25">
      <c r="X9537" s="256"/>
    </row>
    <row r="9538" spans="24:24" x14ac:dyDescent="0.25">
      <c r="X9538" s="256"/>
    </row>
    <row r="9539" spans="24:24" x14ac:dyDescent="0.25">
      <c r="X9539" s="256"/>
    </row>
    <row r="9540" spans="24:24" x14ac:dyDescent="0.25">
      <c r="X9540" s="256"/>
    </row>
    <row r="9541" spans="24:24" x14ac:dyDescent="0.25">
      <c r="X9541" s="256"/>
    </row>
    <row r="9542" spans="24:24" x14ac:dyDescent="0.25">
      <c r="X9542" s="256"/>
    </row>
    <row r="9543" spans="24:24" x14ac:dyDescent="0.25">
      <c r="X9543" s="256"/>
    </row>
    <row r="9544" spans="24:24" x14ac:dyDescent="0.25">
      <c r="X9544" s="256"/>
    </row>
    <row r="9545" spans="24:24" x14ac:dyDescent="0.25">
      <c r="X9545" s="256"/>
    </row>
    <row r="9546" spans="24:24" x14ac:dyDescent="0.25">
      <c r="X9546" s="256"/>
    </row>
    <row r="9547" spans="24:24" x14ac:dyDescent="0.25">
      <c r="X9547" s="256"/>
    </row>
    <row r="9548" spans="24:24" x14ac:dyDescent="0.25">
      <c r="X9548" s="256"/>
    </row>
    <row r="9549" spans="24:24" x14ac:dyDescent="0.25">
      <c r="X9549" s="256"/>
    </row>
    <row r="9550" spans="24:24" x14ac:dyDescent="0.25">
      <c r="X9550" s="256"/>
    </row>
    <row r="9551" spans="24:24" x14ac:dyDescent="0.25">
      <c r="X9551" s="256"/>
    </row>
    <row r="9552" spans="24:24" x14ac:dyDescent="0.25">
      <c r="X9552" s="256"/>
    </row>
    <row r="9553" spans="24:24" x14ac:dyDescent="0.25">
      <c r="X9553" s="256"/>
    </row>
    <row r="9554" spans="24:24" x14ac:dyDescent="0.25">
      <c r="X9554" s="256"/>
    </row>
    <row r="9555" spans="24:24" x14ac:dyDescent="0.25">
      <c r="X9555" s="256"/>
    </row>
    <row r="9556" spans="24:24" x14ac:dyDescent="0.25">
      <c r="X9556" s="256"/>
    </row>
    <row r="9557" spans="24:24" x14ac:dyDescent="0.25">
      <c r="X9557" s="256"/>
    </row>
    <row r="9558" spans="24:24" x14ac:dyDescent="0.25">
      <c r="X9558" s="256"/>
    </row>
    <row r="9559" spans="24:24" x14ac:dyDescent="0.25">
      <c r="X9559" s="256"/>
    </row>
    <row r="9560" spans="24:24" x14ac:dyDescent="0.25">
      <c r="X9560" s="256"/>
    </row>
    <row r="9561" spans="24:24" x14ac:dyDescent="0.25">
      <c r="X9561" s="256"/>
    </row>
    <row r="9562" spans="24:24" x14ac:dyDescent="0.25">
      <c r="X9562" s="256"/>
    </row>
    <row r="9563" spans="24:24" x14ac:dyDescent="0.25">
      <c r="X9563" s="256"/>
    </row>
    <row r="9564" spans="24:24" x14ac:dyDescent="0.25">
      <c r="X9564" s="256"/>
    </row>
    <row r="9565" spans="24:24" x14ac:dyDescent="0.25">
      <c r="X9565" s="256"/>
    </row>
    <row r="9566" spans="24:24" x14ac:dyDescent="0.25">
      <c r="X9566" s="256"/>
    </row>
    <row r="9567" spans="24:24" x14ac:dyDescent="0.25">
      <c r="X9567" s="256"/>
    </row>
    <row r="9568" spans="24:24" x14ac:dyDescent="0.25">
      <c r="X9568" s="256"/>
    </row>
    <row r="9569" spans="24:24" x14ac:dyDescent="0.25">
      <c r="X9569" s="256"/>
    </row>
    <row r="9570" spans="24:24" x14ac:dyDescent="0.25">
      <c r="X9570" s="256"/>
    </row>
    <row r="9571" spans="24:24" x14ac:dyDescent="0.25">
      <c r="X9571" s="256"/>
    </row>
    <row r="9572" spans="24:24" x14ac:dyDescent="0.25">
      <c r="X9572" s="256"/>
    </row>
    <row r="9573" spans="24:24" x14ac:dyDescent="0.25">
      <c r="X9573" s="256"/>
    </row>
    <row r="9574" spans="24:24" x14ac:dyDescent="0.25">
      <c r="X9574" s="256"/>
    </row>
    <row r="9575" spans="24:24" x14ac:dyDescent="0.25">
      <c r="X9575" s="256"/>
    </row>
    <row r="9576" spans="24:24" x14ac:dyDescent="0.25">
      <c r="X9576" s="256"/>
    </row>
    <row r="9577" spans="24:24" x14ac:dyDescent="0.25">
      <c r="X9577" s="256"/>
    </row>
    <row r="9578" spans="24:24" x14ac:dyDescent="0.25">
      <c r="X9578" s="256"/>
    </row>
    <row r="9579" spans="24:24" x14ac:dyDescent="0.25">
      <c r="X9579" s="256"/>
    </row>
    <row r="9580" spans="24:24" x14ac:dyDescent="0.25">
      <c r="X9580" s="256"/>
    </row>
    <row r="9581" spans="24:24" x14ac:dyDescent="0.25">
      <c r="X9581" s="256"/>
    </row>
    <row r="9582" spans="24:24" x14ac:dyDescent="0.25">
      <c r="X9582" s="256"/>
    </row>
    <row r="9583" spans="24:24" x14ac:dyDescent="0.25">
      <c r="X9583" s="256"/>
    </row>
    <row r="9584" spans="24:24" x14ac:dyDescent="0.25">
      <c r="X9584" s="256"/>
    </row>
    <row r="9585" spans="24:24" x14ac:dyDescent="0.25">
      <c r="X9585" s="256"/>
    </row>
    <row r="9586" spans="24:24" x14ac:dyDescent="0.25">
      <c r="X9586" s="256"/>
    </row>
    <row r="9587" spans="24:24" x14ac:dyDescent="0.25">
      <c r="X9587" s="256"/>
    </row>
    <row r="9588" spans="24:24" x14ac:dyDescent="0.25">
      <c r="X9588" s="256"/>
    </row>
    <row r="9589" spans="24:24" x14ac:dyDescent="0.25">
      <c r="X9589" s="256"/>
    </row>
    <row r="9590" spans="24:24" x14ac:dyDescent="0.25">
      <c r="X9590" s="256"/>
    </row>
    <row r="9591" spans="24:24" x14ac:dyDescent="0.25">
      <c r="X9591" s="256"/>
    </row>
    <row r="9592" spans="24:24" x14ac:dyDescent="0.25">
      <c r="X9592" s="256"/>
    </row>
    <row r="9593" spans="24:24" x14ac:dyDescent="0.25">
      <c r="X9593" s="256"/>
    </row>
    <row r="9594" spans="24:24" x14ac:dyDescent="0.25">
      <c r="X9594" s="256"/>
    </row>
    <row r="9595" spans="24:24" x14ac:dyDescent="0.25">
      <c r="X9595" s="256"/>
    </row>
    <row r="9596" spans="24:24" x14ac:dyDescent="0.25">
      <c r="X9596" s="256"/>
    </row>
    <row r="9597" spans="24:24" x14ac:dyDescent="0.25">
      <c r="X9597" s="256"/>
    </row>
    <row r="9598" spans="24:24" x14ac:dyDescent="0.25">
      <c r="X9598" s="256"/>
    </row>
    <row r="9599" spans="24:24" x14ac:dyDescent="0.25">
      <c r="X9599" s="256"/>
    </row>
    <row r="9600" spans="24:24" x14ac:dyDescent="0.25">
      <c r="X9600" s="256"/>
    </row>
    <row r="9601" spans="24:24" x14ac:dyDescent="0.25">
      <c r="X9601" s="256"/>
    </row>
    <row r="9602" spans="24:24" x14ac:dyDescent="0.25">
      <c r="X9602" s="256"/>
    </row>
    <row r="9603" spans="24:24" x14ac:dyDescent="0.25">
      <c r="X9603" s="256"/>
    </row>
    <row r="9604" spans="24:24" x14ac:dyDescent="0.25">
      <c r="X9604" s="256"/>
    </row>
    <row r="9605" spans="24:24" x14ac:dyDescent="0.25">
      <c r="X9605" s="256"/>
    </row>
    <row r="9606" spans="24:24" x14ac:dyDescent="0.25">
      <c r="X9606" s="256"/>
    </row>
    <row r="9607" spans="24:24" x14ac:dyDescent="0.25">
      <c r="X9607" s="256"/>
    </row>
    <row r="9608" spans="24:24" x14ac:dyDescent="0.25">
      <c r="X9608" s="256"/>
    </row>
    <row r="9609" spans="24:24" x14ac:dyDescent="0.25">
      <c r="X9609" s="256"/>
    </row>
    <row r="9610" spans="24:24" x14ac:dyDescent="0.25">
      <c r="X9610" s="256"/>
    </row>
    <row r="9611" spans="24:24" x14ac:dyDescent="0.25">
      <c r="X9611" s="256"/>
    </row>
    <row r="9612" spans="24:24" x14ac:dyDescent="0.25">
      <c r="X9612" s="256"/>
    </row>
    <row r="9613" spans="24:24" x14ac:dyDescent="0.25">
      <c r="X9613" s="256"/>
    </row>
    <row r="9614" spans="24:24" x14ac:dyDescent="0.25">
      <c r="X9614" s="256"/>
    </row>
    <row r="9615" spans="24:24" x14ac:dyDescent="0.25">
      <c r="X9615" s="256"/>
    </row>
    <row r="9616" spans="24:24" x14ac:dyDescent="0.25">
      <c r="X9616" s="256"/>
    </row>
    <row r="9617" spans="24:24" x14ac:dyDescent="0.25">
      <c r="X9617" s="256"/>
    </row>
    <row r="9618" spans="24:24" x14ac:dyDescent="0.25">
      <c r="X9618" s="256"/>
    </row>
    <row r="9619" spans="24:24" x14ac:dyDescent="0.25">
      <c r="X9619" s="256"/>
    </row>
    <row r="9620" spans="24:24" x14ac:dyDescent="0.25">
      <c r="X9620" s="256"/>
    </row>
    <row r="9621" spans="24:24" x14ac:dyDescent="0.25">
      <c r="X9621" s="256"/>
    </row>
    <row r="9622" spans="24:24" x14ac:dyDescent="0.25">
      <c r="X9622" s="256"/>
    </row>
    <row r="9623" spans="24:24" x14ac:dyDescent="0.25">
      <c r="X9623" s="256"/>
    </row>
    <row r="9624" spans="24:24" x14ac:dyDescent="0.25">
      <c r="X9624" s="256"/>
    </row>
    <row r="9625" spans="24:24" x14ac:dyDescent="0.25">
      <c r="X9625" s="256"/>
    </row>
    <row r="9626" spans="24:24" x14ac:dyDescent="0.25">
      <c r="X9626" s="256"/>
    </row>
    <row r="9627" spans="24:24" x14ac:dyDescent="0.25">
      <c r="X9627" s="256"/>
    </row>
    <row r="9628" spans="24:24" x14ac:dyDescent="0.25">
      <c r="X9628" s="256"/>
    </row>
    <row r="9629" spans="24:24" x14ac:dyDescent="0.25">
      <c r="X9629" s="256"/>
    </row>
    <row r="9630" spans="24:24" x14ac:dyDescent="0.25">
      <c r="X9630" s="256"/>
    </row>
    <row r="9631" spans="24:24" x14ac:dyDescent="0.25">
      <c r="X9631" s="256"/>
    </row>
    <row r="9632" spans="24:24" x14ac:dyDescent="0.25">
      <c r="X9632" s="256"/>
    </row>
    <row r="9633" spans="24:24" x14ac:dyDescent="0.25">
      <c r="X9633" s="256"/>
    </row>
    <row r="9634" spans="24:24" x14ac:dyDescent="0.25">
      <c r="X9634" s="256"/>
    </row>
    <row r="9635" spans="24:24" x14ac:dyDescent="0.25">
      <c r="X9635" s="256"/>
    </row>
    <row r="9636" spans="24:24" x14ac:dyDescent="0.25">
      <c r="X9636" s="256"/>
    </row>
    <row r="9637" spans="24:24" x14ac:dyDescent="0.25">
      <c r="X9637" s="256"/>
    </row>
    <row r="9638" spans="24:24" x14ac:dyDescent="0.25">
      <c r="X9638" s="256"/>
    </row>
    <row r="9639" spans="24:24" x14ac:dyDescent="0.25">
      <c r="X9639" s="256"/>
    </row>
    <row r="9640" spans="24:24" x14ac:dyDescent="0.25">
      <c r="X9640" s="256"/>
    </row>
    <row r="9641" spans="24:24" x14ac:dyDescent="0.25">
      <c r="X9641" s="256"/>
    </row>
    <row r="9642" spans="24:24" x14ac:dyDescent="0.25">
      <c r="X9642" s="256"/>
    </row>
    <row r="9643" spans="24:24" x14ac:dyDescent="0.25">
      <c r="X9643" s="256"/>
    </row>
    <row r="9644" spans="24:24" x14ac:dyDescent="0.25">
      <c r="X9644" s="256"/>
    </row>
    <row r="9645" spans="24:24" x14ac:dyDescent="0.25">
      <c r="X9645" s="256"/>
    </row>
    <row r="9646" spans="24:24" x14ac:dyDescent="0.25">
      <c r="X9646" s="256"/>
    </row>
    <row r="9647" spans="24:24" x14ac:dyDescent="0.25">
      <c r="X9647" s="256"/>
    </row>
    <row r="9648" spans="24:24" x14ac:dyDescent="0.25">
      <c r="X9648" s="256"/>
    </row>
    <row r="9649" spans="24:24" x14ac:dyDescent="0.25">
      <c r="X9649" s="256"/>
    </row>
    <row r="9650" spans="24:24" x14ac:dyDescent="0.25">
      <c r="X9650" s="256"/>
    </row>
    <row r="9651" spans="24:24" x14ac:dyDescent="0.25">
      <c r="X9651" s="256"/>
    </row>
    <row r="9652" spans="24:24" x14ac:dyDescent="0.25">
      <c r="X9652" s="256"/>
    </row>
    <row r="9653" spans="24:24" x14ac:dyDescent="0.25">
      <c r="X9653" s="256"/>
    </row>
    <row r="9654" spans="24:24" x14ac:dyDescent="0.25">
      <c r="X9654" s="256"/>
    </row>
    <row r="9655" spans="24:24" x14ac:dyDescent="0.25">
      <c r="X9655" s="256"/>
    </row>
    <row r="9656" spans="24:24" x14ac:dyDescent="0.25">
      <c r="X9656" s="256"/>
    </row>
    <row r="9657" spans="24:24" x14ac:dyDescent="0.25">
      <c r="X9657" s="256"/>
    </row>
    <row r="9658" spans="24:24" x14ac:dyDescent="0.25">
      <c r="X9658" s="256"/>
    </row>
    <row r="9659" spans="24:24" x14ac:dyDescent="0.25">
      <c r="X9659" s="256"/>
    </row>
    <row r="9660" spans="24:24" x14ac:dyDescent="0.25">
      <c r="X9660" s="256"/>
    </row>
    <row r="9661" spans="24:24" x14ac:dyDescent="0.25">
      <c r="X9661" s="256"/>
    </row>
    <row r="9662" spans="24:24" x14ac:dyDescent="0.25">
      <c r="X9662" s="256"/>
    </row>
    <row r="9663" spans="24:24" x14ac:dyDescent="0.25">
      <c r="X9663" s="256"/>
    </row>
    <row r="9664" spans="24:24" x14ac:dyDescent="0.25">
      <c r="X9664" s="256"/>
    </row>
    <row r="9665" spans="24:24" x14ac:dyDescent="0.25">
      <c r="X9665" s="256"/>
    </row>
    <row r="9666" spans="24:24" x14ac:dyDescent="0.25">
      <c r="X9666" s="256"/>
    </row>
    <row r="9667" spans="24:24" x14ac:dyDescent="0.25">
      <c r="X9667" s="256"/>
    </row>
    <row r="9668" spans="24:24" x14ac:dyDescent="0.25">
      <c r="X9668" s="256"/>
    </row>
    <row r="9669" spans="24:24" x14ac:dyDescent="0.25">
      <c r="X9669" s="256"/>
    </row>
    <row r="9670" spans="24:24" x14ac:dyDescent="0.25">
      <c r="X9670" s="256"/>
    </row>
    <row r="9671" spans="24:24" x14ac:dyDescent="0.25">
      <c r="X9671" s="256"/>
    </row>
    <row r="9672" spans="24:24" x14ac:dyDescent="0.25">
      <c r="X9672" s="256"/>
    </row>
    <row r="9673" spans="24:24" x14ac:dyDescent="0.25">
      <c r="X9673" s="256"/>
    </row>
    <row r="9674" spans="24:24" x14ac:dyDescent="0.25">
      <c r="X9674" s="256"/>
    </row>
    <row r="9675" spans="24:24" x14ac:dyDescent="0.25">
      <c r="X9675" s="256"/>
    </row>
    <row r="9676" spans="24:24" x14ac:dyDescent="0.25">
      <c r="X9676" s="256"/>
    </row>
    <row r="9677" spans="24:24" x14ac:dyDescent="0.25">
      <c r="X9677" s="256"/>
    </row>
    <row r="9678" spans="24:24" x14ac:dyDescent="0.25">
      <c r="X9678" s="256"/>
    </row>
    <row r="9679" spans="24:24" x14ac:dyDescent="0.25">
      <c r="X9679" s="256"/>
    </row>
    <row r="9680" spans="24:24" x14ac:dyDescent="0.25">
      <c r="X9680" s="256"/>
    </row>
    <row r="9681" spans="24:24" x14ac:dyDescent="0.25">
      <c r="X9681" s="256"/>
    </row>
    <row r="9682" spans="24:24" x14ac:dyDescent="0.25">
      <c r="X9682" s="256"/>
    </row>
    <row r="9683" spans="24:24" x14ac:dyDescent="0.25">
      <c r="X9683" s="256"/>
    </row>
    <row r="9684" spans="24:24" x14ac:dyDescent="0.25">
      <c r="X9684" s="256"/>
    </row>
    <row r="9685" spans="24:24" x14ac:dyDescent="0.25">
      <c r="X9685" s="256"/>
    </row>
    <row r="9686" spans="24:24" x14ac:dyDescent="0.25">
      <c r="X9686" s="256"/>
    </row>
    <row r="9687" spans="24:24" x14ac:dyDescent="0.25">
      <c r="X9687" s="256"/>
    </row>
    <row r="9688" spans="24:24" x14ac:dyDescent="0.25">
      <c r="X9688" s="256"/>
    </row>
    <row r="9689" spans="24:24" x14ac:dyDescent="0.25">
      <c r="X9689" s="256"/>
    </row>
    <row r="9690" spans="24:24" x14ac:dyDescent="0.25">
      <c r="X9690" s="256"/>
    </row>
    <row r="9691" spans="24:24" x14ac:dyDescent="0.25">
      <c r="X9691" s="256"/>
    </row>
    <row r="9692" spans="24:24" x14ac:dyDescent="0.25">
      <c r="X9692" s="256"/>
    </row>
    <row r="9693" spans="24:24" x14ac:dyDescent="0.25">
      <c r="X9693" s="256"/>
    </row>
    <row r="9694" spans="24:24" x14ac:dyDescent="0.25">
      <c r="X9694" s="256"/>
    </row>
    <row r="9695" spans="24:24" x14ac:dyDescent="0.25">
      <c r="X9695" s="256"/>
    </row>
    <row r="9696" spans="24:24" x14ac:dyDescent="0.25">
      <c r="X9696" s="256"/>
    </row>
    <row r="9697" spans="24:24" x14ac:dyDescent="0.25">
      <c r="X9697" s="256"/>
    </row>
    <row r="9698" spans="24:24" x14ac:dyDescent="0.25">
      <c r="X9698" s="256"/>
    </row>
    <row r="9699" spans="24:24" x14ac:dyDescent="0.25">
      <c r="X9699" s="256"/>
    </row>
    <row r="9700" spans="24:24" x14ac:dyDescent="0.25">
      <c r="X9700" s="256"/>
    </row>
    <row r="9701" spans="24:24" x14ac:dyDescent="0.25">
      <c r="X9701" s="256"/>
    </row>
    <row r="9702" spans="24:24" x14ac:dyDescent="0.25">
      <c r="X9702" s="256"/>
    </row>
    <row r="9703" spans="24:24" x14ac:dyDescent="0.25">
      <c r="X9703" s="256"/>
    </row>
    <row r="9704" spans="24:24" x14ac:dyDescent="0.25">
      <c r="X9704" s="256"/>
    </row>
    <row r="9705" spans="24:24" x14ac:dyDescent="0.25">
      <c r="X9705" s="256"/>
    </row>
    <row r="9706" spans="24:24" x14ac:dyDescent="0.25">
      <c r="X9706" s="256"/>
    </row>
    <row r="9707" spans="24:24" x14ac:dyDescent="0.25">
      <c r="X9707" s="256"/>
    </row>
    <row r="9708" spans="24:24" x14ac:dyDescent="0.25">
      <c r="X9708" s="256"/>
    </row>
    <row r="9709" spans="24:24" x14ac:dyDescent="0.25">
      <c r="X9709" s="256"/>
    </row>
    <row r="9710" spans="24:24" x14ac:dyDescent="0.25">
      <c r="X9710" s="256"/>
    </row>
    <row r="9711" spans="24:24" x14ac:dyDescent="0.25">
      <c r="X9711" s="256"/>
    </row>
    <row r="9712" spans="24:24" x14ac:dyDescent="0.25">
      <c r="X9712" s="256"/>
    </row>
    <row r="9713" spans="24:24" x14ac:dyDescent="0.25">
      <c r="X9713" s="256"/>
    </row>
    <row r="9714" spans="24:24" x14ac:dyDescent="0.25">
      <c r="X9714" s="256"/>
    </row>
    <row r="9715" spans="24:24" x14ac:dyDescent="0.25">
      <c r="X9715" s="256"/>
    </row>
    <row r="9716" spans="24:24" x14ac:dyDescent="0.25">
      <c r="X9716" s="256"/>
    </row>
    <row r="9717" spans="24:24" x14ac:dyDescent="0.25">
      <c r="X9717" s="256"/>
    </row>
    <row r="9718" spans="24:24" x14ac:dyDescent="0.25">
      <c r="X9718" s="256"/>
    </row>
    <row r="9719" spans="24:24" x14ac:dyDescent="0.25">
      <c r="X9719" s="256"/>
    </row>
    <row r="9720" spans="24:24" x14ac:dyDescent="0.25">
      <c r="X9720" s="256"/>
    </row>
    <row r="9721" spans="24:24" x14ac:dyDescent="0.25">
      <c r="X9721" s="256"/>
    </row>
    <row r="9722" spans="24:24" x14ac:dyDescent="0.25">
      <c r="X9722" s="256"/>
    </row>
    <row r="9723" spans="24:24" x14ac:dyDescent="0.25">
      <c r="X9723" s="256"/>
    </row>
    <row r="9724" spans="24:24" x14ac:dyDescent="0.25">
      <c r="X9724" s="256"/>
    </row>
    <row r="9725" spans="24:24" x14ac:dyDescent="0.25">
      <c r="X9725" s="256"/>
    </row>
    <row r="9726" spans="24:24" x14ac:dyDescent="0.25">
      <c r="X9726" s="256"/>
    </row>
    <row r="9727" spans="24:24" x14ac:dyDescent="0.25">
      <c r="X9727" s="256"/>
    </row>
    <row r="9728" spans="24:24" x14ac:dyDescent="0.25">
      <c r="X9728" s="256"/>
    </row>
    <row r="9729" spans="24:24" x14ac:dyDescent="0.25">
      <c r="X9729" s="256"/>
    </row>
    <row r="9730" spans="24:24" x14ac:dyDescent="0.25">
      <c r="X9730" s="256"/>
    </row>
    <row r="9731" spans="24:24" x14ac:dyDescent="0.25">
      <c r="X9731" s="256"/>
    </row>
    <row r="9732" spans="24:24" x14ac:dyDescent="0.25">
      <c r="X9732" s="256"/>
    </row>
    <row r="9733" spans="24:24" x14ac:dyDescent="0.25">
      <c r="X9733" s="256"/>
    </row>
    <row r="9734" spans="24:24" x14ac:dyDescent="0.25">
      <c r="X9734" s="256"/>
    </row>
    <row r="9735" spans="24:24" x14ac:dyDescent="0.25">
      <c r="X9735" s="256"/>
    </row>
    <row r="9736" spans="24:24" x14ac:dyDescent="0.25">
      <c r="X9736" s="256"/>
    </row>
    <row r="9737" spans="24:24" x14ac:dyDescent="0.25">
      <c r="X9737" s="256"/>
    </row>
    <row r="9738" spans="24:24" x14ac:dyDescent="0.25">
      <c r="X9738" s="256"/>
    </row>
    <row r="9739" spans="24:24" x14ac:dyDescent="0.25">
      <c r="X9739" s="256"/>
    </row>
    <row r="9740" spans="24:24" x14ac:dyDescent="0.25">
      <c r="X9740" s="256"/>
    </row>
    <row r="9741" spans="24:24" x14ac:dyDescent="0.25">
      <c r="X9741" s="256"/>
    </row>
    <row r="9742" spans="24:24" x14ac:dyDescent="0.25">
      <c r="X9742" s="256"/>
    </row>
    <row r="9743" spans="24:24" x14ac:dyDescent="0.25">
      <c r="X9743" s="256"/>
    </row>
    <row r="9744" spans="24:24" x14ac:dyDescent="0.25">
      <c r="X9744" s="256"/>
    </row>
    <row r="9745" spans="24:24" x14ac:dyDescent="0.25">
      <c r="X9745" s="256"/>
    </row>
    <row r="9746" spans="24:24" x14ac:dyDescent="0.25">
      <c r="X9746" s="256"/>
    </row>
    <row r="9747" spans="24:24" x14ac:dyDescent="0.25">
      <c r="X9747" s="256"/>
    </row>
    <row r="9748" spans="24:24" x14ac:dyDescent="0.25">
      <c r="X9748" s="256"/>
    </row>
    <row r="9749" spans="24:24" x14ac:dyDescent="0.25">
      <c r="X9749" s="256"/>
    </row>
    <row r="9750" spans="24:24" x14ac:dyDescent="0.25">
      <c r="X9750" s="256"/>
    </row>
    <row r="9751" spans="24:24" x14ac:dyDescent="0.25">
      <c r="X9751" s="256"/>
    </row>
    <row r="9752" spans="24:24" x14ac:dyDescent="0.25">
      <c r="X9752" s="256"/>
    </row>
    <row r="9753" spans="24:24" x14ac:dyDescent="0.25">
      <c r="X9753" s="256"/>
    </row>
    <row r="9754" spans="24:24" x14ac:dyDescent="0.25">
      <c r="X9754" s="256"/>
    </row>
    <row r="9755" spans="24:24" x14ac:dyDescent="0.25">
      <c r="X9755" s="256"/>
    </row>
    <row r="9756" spans="24:24" x14ac:dyDescent="0.25">
      <c r="X9756" s="256"/>
    </row>
    <row r="9757" spans="24:24" x14ac:dyDescent="0.25">
      <c r="X9757" s="256"/>
    </row>
    <row r="9758" spans="24:24" x14ac:dyDescent="0.25">
      <c r="X9758" s="256"/>
    </row>
    <row r="9759" spans="24:24" x14ac:dyDescent="0.25">
      <c r="X9759" s="256"/>
    </row>
    <row r="9760" spans="24:24" x14ac:dyDescent="0.25">
      <c r="X9760" s="256"/>
    </row>
    <row r="9761" spans="24:24" x14ac:dyDescent="0.25">
      <c r="X9761" s="256"/>
    </row>
    <row r="9762" spans="24:24" x14ac:dyDescent="0.25">
      <c r="X9762" s="256"/>
    </row>
    <row r="9763" spans="24:24" x14ac:dyDescent="0.25">
      <c r="X9763" s="256"/>
    </row>
    <row r="9764" spans="24:24" x14ac:dyDescent="0.25">
      <c r="X9764" s="256"/>
    </row>
    <row r="9765" spans="24:24" x14ac:dyDescent="0.25">
      <c r="X9765" s="256"/>
    </row>
    <row r="9766" spans="24:24" x14ac:dyDescent="0.25">
      <c r="X9766" s="256"/>
    </row>
    <row r="9767" spans="24:24" x14ac:dyDescent="0.25">
      <c r="X9767" s="256"/>
    </row>
    <row r="9768" spans="24:24" x14ac:dyDescent="0.25">
      <c r="X9768" s="256"/>
    </row>
    <row r="9769" spans="24:24" x14ac:dyDescent="0.25">
      <c r="X9769" s="256"/>
    </row>
    <row r="9770" spans="24:24" x14ac:dyDescent="0.25">
      <c r="X9770" s="256"/>
    </row>
    <row r="9771" spans="24:24" x14ac:dyDescent="0.25">
      <c r="X9771" s="256"/>
    </row>
    <row r="9772" spans="24:24" x14ac:dyDescent="0.25">
      <c r="X9772" s="256"/>
    </row>
    <row r="9773" spans="24:24" x14ac:dyDescent="0.25">
      <c r="X9773" s="256"/>
    </row>
    <row r="9774" spans="24:24" x14ac:dyDescent="0.25">
      <c r="X9774" s="256"/>
    </row>
    <row r="9775" spans="24:24" x14ac:dyDescent="0.25">
      <c r="X9775" s="256"/>
    </row>
    <row r="9776" spans="24:24" x14ac:dyDescent="0.25">
      <c r="X9776" s="256"/>
    </row>
    <row r="9777" spans="24:24" x14ac:dyDescent="0.25">
      <c r="X9777" s="256"/>
    </row>
    <row r="9778" spans="24:24" x14ac:dyDescent="0.25">
      <c r="X9778" s="256"/>
    </row>
    <row r="9779" spans="24:24" x14ac:dyDescent="0.25">
      <c r="X9779" s="256"/>
    </row>
    <row r="9780" spans="24:24" x14ac:dyDescent="0.25">
      <c r="X9780" s="256"/>
    </row>
    <row r="9781" spans="24:24" x14ac:dyDescent="0.25">
      <c r="X9781" s="256"/>
    </row>
    <row r="9782" spans="24:24" x14ac:dyDescent="0.25">
      <c r="X9782" s="256"/>
    </row>
    <row r="9783" spans="24:24" x14ac:dyDescent="0.25">
      <c r="X9783" s="256"/>
    </row>
    <row r="9784" spans="24:24" x14ac:dyDescent="0.25">
      <c r="X9784" s="256"/>
    </row>
    <row r="9785" spans="24:24" x14ac:dyDescent="0.25">
      <c r="X9785" s="256"/>
    </row>
    <row r="9786" spans="24:24" x14ac:dyDescent="0.25">
      <c r="X9786" s="256"/>
    </row>
    <row r="9787" spans="24:24" x14ac:dyDescent="0.25">
      <c r="X9787" s="256"/>
    </row>
    <row r="9788" spans="24:24" x14ac:dyDescent="0.25">
      <c r="X9788" s="256"/>
    </row>
    <row r="9789" spans="24:24" x14ac:dyDescent="0.25">
      <c r="X9789" s="256"/>
    </row>
    <row r="9790" spans="24:24" x14ac:dyDescent="0.25">
      <c r="X9790" s="256"/>
    </row>
    <row r="9791" spans="24:24" x14ac:dyDescent="0.25">
      <c r="X9791" s="256"/>
    </row>
    <row r="9792" spans="24:24" x14ac:dyDescent="0.25">
      <c r="X9792" s="256"/>
    </row>
    <row r="9793" spans="24:24" x14ac:dyDescent="0.25">
      <c r="X9793" s="256"/>
    </row>
    <row r="9794" spans="24:24" x14ac:dyDescent="0.25">
      <c r="X9794" s="256"/>
    </row>
    <row r="9795" spans="24:24" x14ac:dyDescent="0.25">
      <c r="X9795" s="256"/>
    </row>
    <row r="9796" spans="24:24" x14ac:dyDescent="0.25">
      <c r="X9796" s="256"/>
    </row>
    <row r="9797" spans="24:24" x14ac:dyDescent="0.25">
      <c r="X9797" s="256"/>
    </row>
    <row r="9798" spans="24:24" x14ac:dyDescent="0.25">
      <c r="X9798" s="256"/>
    </row>
    <row r="9799" spans="24:24" x14ac:dyDescent="0.25">
      <c r="X9799" s="256"/>
    </row>
    <row r="9800" spans="24:24" x14ac:dyDescent="0.25">
      <c r="X9800" s="256"/>
    </row>
    <row r="9801" spans="24:24" x14ac:dyDescent="0.25">
      <c r="X9801" s="256"/>
    </row>
    <row r="9802" spans="24:24" x14ac:dyDescent="0.25">
      <c r="X9802" s="256"/>
    </row>
    <row r="9803" spans="24:24" x14ac:dyDescent="0.25">
      <c r="X9803" s="256"/>
    </row>
    <row r="9804" spans="24:24" x14ac:dyDescent="0.25">
      <c r="X9804" s="256"/>
    </row>
    <row r="9805" spans="24:24" x14ac:dyDescent="0.25">
      <c r="X9805" s="256"/>
    </row>
    <row r="9806" spans="24:24" x14ac:dyDescent="0.25">
      <c r="X9806" s="256"/>
    </row>
    <row r="9807" spans="24:24" x14ac:dyDescent="0.25">
      <c r="X9807" s="256"/>
    </row>
    <row r="9808" spans="24:24" x14ac:dyDescent="0.25">
      <c r="X9808" s="256"/>
    </row>
    <row r="9809" spans="24:24" x14ac:dyDescent="0.25">
      <c r="X9809" s="256"/>
    </row>
    <row r="9810" spans="24:24" x14ac:dyDescent="0.25">
      <c r="X9810" s="256"/>
    </row>
    <row r="9811" spans="24:24" x14ac:dyDescent="0.25">
      <c r="X9811" s="256"/>
    </row>
    <row r="9812" spans="24:24" x14ac:dyDescent="0.25">
      <c r="X9812" s="256"/>
    </row>
    <row r="9813" spans="24:24" x14ac:dyDescent="0.25">
      <c r="X9813" s="256"/>
    </row>
    <row r="9814" spans="24:24" x14ac:dyDescent="0.25">
      <c r="X9814" s="256"/>
    </row>
    <row r="9815" spans="24:24" x14ac:dyDescent="0.25">
      <c r="X9815" s="256"/>
    </row>
    <row r="9816" spans="24:24" x14ac:dyDescent="0.25">
      <c r="X9816" s="256"/>
    </row>
    <row r="9817" spans="24:24" x14ac:dyDescent="0.25">
      <c r="X9817" s="256"/>
    </row>
    <row r="9818" spans="24:24" x14ac:dyDescent="0.25">
      <c r="X9818" s="256"/>
    </row>
    <row r="9819" spans="24:24" x14ac:dyDescent="0.25">
      <c r="X9819" s="256"/>
    </row>
    <row r="9820" spans="24:24" x14ac:dyDescent="0.25">
      <c r="X9820" s="256"/>
    </row>
    <row r="9821" spans="24:24" x14ac:dyDescent="0.25">
      <c r="X9821" s="256"/>
    </row>
    <row r="9822" spans="24:24" x14ac:dyDescent="0.25">
      <c r="X9822" s="256"/>
    </row>
    <row r="9823" spans="24:24" x14ac:dyDescent="0.25">
      <c r="X9823" s="256"/>
    </row>
    <row r="9824" spans="24:24" x14ac:dyDescent="0.25">
      <c r="X9824" s="256"/>
    </row>
    <row r="9825" spans="24:24" x14ac:dyDescent="0.25">
      <c r="X9825" s="256"/>
    </row>
    <row r="9826" spans="24:24" x14ac:dyDescent="0.25">
      <c r="X9826" s="256"/>
    </row>
    <row r="9827" spans="24:24" x14ac:dyDescent="0.25">
      <c r="X9827" s="256"/>
    </row>
    <row r="9828" spans="24:24" x14ac:dyDescent="0.25">
      <c r="X9828" s="256"/>
    </row>
    <row r="9829" spans="24:24" x14ac:dyDescent="0.25">
      <c r="X9829" s="256"/>
    </row>
    <row r="9830" spans="24:24" x14ac:dyDescent="0.25">
      <c r="X9830" s="256"/>
    </row>
    <row r="9831" spans="24:24" x14ac:dyDescent="0.25">
      <c r="X9831" s="256"/>
    </row>
    <row r="9832" spans="24:24" x14ac:dyDescent="0.25">
      <c r="X9832" s="256"/>
    </row>
    <row r="9833" spans="24:24" x14ac:dyDescent="0.25">
      <c r="X9833" s="256"/>
    </row>
    <row r="9834" spans="24:24" x14ac:dyDescent="0.25">
      <c r="X9834" s="256"/>
    </row>
    <row r="9835" spans="24:24" x14ac:dyDescent="0.25">
      <c r="X9835" s="256"/>
    </row>
    <row r="9836" spans="24:24" x14ac:dyDescent="0.25">
      <c r="X9836" s="256"/>
    </row>
    <row r="9837" spans="24:24" x14ac:dyDescent="0.25">
      <c r="X9837" s="256"/>
    </row>
    <row r="9838" spans="24:24" x14ac:dyDescent="0.25">
      <c r="X9838" s="256"/>
    </row>
    <row r="9839" spans="24:24" x14ac:dyDescent="0.25">
      <c r="X9839" s="256"/>
    </row>
    <row r="9840" spans="24:24" x14ac:dyDescent="0.25">
      <c r="X9840" s="256"/>
    </row>
    <row r="9841" spans="24:24" x14ac:dyDescent="0.25">
      <c r="X9841" s="256"/>
    </row>
    <row r="9842" spans="24:24" x14ac:dyDescent="0.25">
      <c r="X9842" s="256"/>
    </row>
    <row r="9843" spans="24:24" x14ac:dyDescent="0.25">
      <c r="X9843" s="256"/>
    </row>
    <row r="9844" spans="24:24" x14ac:dyDescent="0.25">
      <c r="X9844" s="256"/>
    </row>
    <row r="9845" spans="24:24" x14ac:dyDescent="0.25">
      <c r="X9845" s="256"/>
    </row>
    <row r="9846" spans="24:24" x14ac:dyDescent="0.25">
      <c r="X9846" s="256"/>
    </row>
    <row r="9847" spans="24:24" x14ac:dyDescent="0.25">
      <c r="X9847" s="256"/>
    </row>
    <row r="9848" spans="24:24" x14ac:dyDescent="0.25">
      <c r="X9848" s="256"/>
    </row>
    <row r="9849" spans="24:24" x14ac:dyDescent="0.25">
      <c r="X9849" s="256"/>
    </row>
    <row r="9850" spans="24:24" x14ac:dyDescent="0.25">
      <c r="X9850" s="256"/>
    </row>
    <row r="9851" spans="24:24" x14ac:dyDescent="0.25">
      <c r="X9851" s="256"/>
    </row>
    <row r="9852" spans="24:24" x14ac:dyDescent="0.25">
      <c r="X9852" s="256"/>
    </row>
    <row r="9853" spans="24:24" x14ac:dyDescent="0.25">
      <c r="X9853" s="256"/>
    </row>
    <row r="9854" spans="24:24" x14ac:dyDescent="0.25">
      <c r="X9854" s="256"/>
    </row>
    <row r="9855" spans="24:24" x14ac:dyDescent="0.25">
      <c r="X9855" s="256"/>
    </row>
    <row r="9856" spans="24:24" x14ac:dyDescent="0.25">
      <c r="X9856" s="256"/>
    </row>
    <row r="9857" spans="24:24" x14ac:dyDescent="0.25">
      <c r="X9857" s="256"/>
    </row>
    <row r="9858" spans="24:24" x14ac:dyDescent="0.25">
      <c r="X9858" s="256"/>
    </row>
    <row r="9859" spans="24:24" x14ac:dyDescent="0.25">
      <c r="X9859" s="256"/>
    </row>
    <row r="9860" spans="24:24" x14ac:dyDescent="0.25">
      <c r="X9860" s="256"/>
    </row>
    <row r="9861" spans="24:24" x14ac:dyDescent="0.25">
      <c r="X9861" s="256"/>
    </row>
    <row r="9862" spans="24:24" x14ac:dyDescent="0.25">
      <c r="X9862" s="256"/>
    </row>
    <row r="9863" spans="24:24" x14ac:dyDescent="0.25">
      <c r="X9863" s="256"/>
    </row>
    <row r="9864" spans="24:24" x14ac:dyDescent="0.25">
      <c r="X9864" s="256"/>
    </row>
    <row r="9865" spans="24:24" x14ac:dyDescent="0.25">
      <c r="X9865" s="256"/>
    </row>
    <row r="9866" spans="24:24" x14ac:dyDescent="0.25">
      <c r="X9866" s="256"/>
    </row>
    <row r="9867" spans="24:24" x14ac:dyDescent="0.25">
      <c r="X9867" s="256"/>
    </row>
    <row r="9868" spans="24:24" x14ac:dyDescent="0.25">
      <c r="X9868" s="256"/>
    </row>
    <row r="9869" spans="24:24" x14ac:dyDescent="0.25">
      <c r="X9869" s="256"/>
    </row>
    <row r="9870" spans="24:24" x14ac:dyDescent="0.25">
      <c r="X9870" s="256"/>
    </row>
    <row r="9871" spans="24:24" x14ac:dyDescent="0.25">
      <c r="X9871" s="256"/>
    </row>
    <row r="9872" spans="24:24" x14ac:dyDescent="0.25">
      <c r="X9872" s="256"/>
    </row>
    <row r="9873" spans="24:24" x14ac:dyDescent="0.25">
      <c r="X9873" s="256"/>
    </row>
    <row r="9874" spans="24:24" x14ac:dyDescent="0.25">
      <c r="X9874" s="256"/>
    </row>
    <row r="9875" spans="24:24" x14ac:dyDescent="0.25">
      <c r="X9875" s="256"/>
    </row>
    <row r="9876" spans="24:24" x14ac:dyDescent="0.25">
      <c r="X9876" s="256"/>
    </row>
    <row r="9877" spans="24:24" x14ac:dyDescent="0.25">
      <c r="X9877" s="256"/>
    </row>
    <row r="9878" spans="24:24" x14ac:dyDescent="0.25">
      <c r="X9878" s="256"/>
    </row>
    <row r="9879" spans="24:24" x14ac:dyDescent="0.25">
      <c r="X9879" s="256"/>
    </row>
    <row r="9880" spans="24:24" x14ac:dyDescent="0.25">
      <c r="X9880" s="256"/>
    </row>
    <row r="9881" spans="24:24" x14ac:dyDescent="0.25">
      <c r="X9881" s="256"/>
    </row>
    <row r="9882" spans="24:24" x14ac:dyDescent="0.25">
      <c r="X9882" s="256"/>
    </row>
    <row r="9883" spans="24:24" x14ac:dyDescent="0.25">
      <c r="X9883" s="256"/>
    </row>
    <row r="9884" spans="24:24" x14ac:dyDescent="0.25">
      <c r="X9884" s="256"/>
    </row>
    <row r="9885" spans="24:24" x14ac:dyDescent="0.25">
      <c r="X9885" s="256"/>
    </row>
    <row r="9886" spans="24:24" x14ac:dyDescent="0.25">
      <c r="X9886" s="256"/>
    </row>
    <row r="9887" spans="24:24" x14ac:dyDescent="0.25">
      <c r="X9887" s="256"/>
    </row>
    <row r="9888" spans="24:24" x14ac:dyDescent="0.25">
      <c r="X9888" s="256"/>
    </row>
    <row r="9889" spans="24:24" x14ac:dyDescent="0.25">
      <c r="X9889" s="256"/>
    </row>
    <row r="9890" spans="24:24" x14ac:dyDescent="0.25">
      <c r="X9890" s="256"/>
    </row>
    <row r="9891" spans="24:24" x14ac:dyDescent="0.25">
      <c r="X9891" s="256"/>
    </row>
    <row r="9892" spans="24:24" x14ac:dyDescent="0.25">
      <c r="X9892" s="256"/>
    </row>
    <row r="9893" spans="24:24" x14ac:dyDescent="0.25">
      <c r="X9893" s="256"/>
    </row>
    <row r="9894" spans="24:24" x14ac:dyDescent="0.25">
      <c r="X9894" s="256"/>
    </row>
    <row r="9895" spans="24:24" x14ac:dyDescent="0.25">
      <c r="X9895" s="256"/>
    </row>
    <row r="9896" spans="24:24" x14ac:dyDescent="0.25">
      <c r="X9896" s="256"/>
    </row>
    <row r="9897" spans="24:24" x14ac:dyDescent="0.25">
      <c r="X9897" s="256"/>
    </row>
    <row r="9898" spans="24:24" x14ac:dyDescent="0.25">
      <c r="X9898" s="256"/>
    </row>
    <row r="9899" spans="24:24" x14ac:dyDescent="0.25">
      <c r="X9899" s="256"/>
    </row>
    <row r="9900" spans="24:24" x14ac:dyDescent="0.25">
      <c r="X9900" s="256"/>
    </row>
    <row r="9901" spans="24:24" x14ac:dyDescent="0.25">
      <c r="X9901" s="256"/>
    </row>
    <row r="9902" spans="24:24" x14ac:dyDescent="0.25">
      <c r="X9902" s="256"/>
    </row>
    <row r="9903" spans="24:24" x14ac:dyDescent="0.25">
      <c r="X9903" s="256"/>
    </row>
    <row r="9904" spans="24:24" x14ac:dyDescent="0.25">
      <c r="X9904" s="256"/>
    </row>
    <row r="9905" spans="24:24" x14ac:dyDescent="0.25">
      <c r="X9905" s="256"/>
    </row>
    <row r="9906" spans="24:24" x14ac:dyDescent="0.25">
      <c r="X9906" s="256"/>
    </row>
    <row r="9907" spans="24:24" x14ac:dyDescent="0.25">
      <c r="X9907" s="256"/>
    </row>
    <row r="9908" spans="24:24" x14ac:dyDescent="0.25">
      <c r="X9908" s="256"/>
    </row>
    <row r="9909" spans="24:24" x14ac:dyDescent="0.25">
      <c r="X9909" s="256"/>
    </row>
    <row r="9910" spans="24:24" x14ac:dyDescent="0.25">
      <c r="X9910" s="256"/>
    </row>
    <row r="9911" spans="24:24" x14ac:dyDescent="0.25">
      <c r="X9911" s="256"/>
    </row>
    <row r="9912" spans="24:24" x14ac:dyDescent="0.25">
      <c r="X9912" s="256"/>
    </row>
    <row r="9913" spans="24:24" x14ac:dyDescent="0.25">
      <c r="X9913" s="256"/>
    </row>
    <row r="9914" spans="24:24" x14ac:dyDescent="0.25">
      <c r="X9914" s="256"/>
    </row>
    <row r="9915" spans="24:24" x14ac:dyDescent="0.25">
      <c r="X9915" s="256"/>
    </row>
    <row r="9916" spans="24:24" x14ac:dyDescent="0.25">
      <c r="X9916" s="256"/>
    </row>
    <row r="9917" spans="24:24" x14ac:dyDescent="0.25">
      <c r="X9917" s="256"/>
    </row>
    <row r="9918" spans="24:24" x14ac:dyDescent="0.25">
      <c r="X9918" s="256"/>
    </row>
    <row r="9919" spans="24:24" x14ac:dyDescent="0.25">
      <c r="X9919" s="256"/>
    </row>
    <row r="9920" spans="24:24" x14ac:dyDescent="0.25">
      <c r="X9920" s="256"/>
    </row>
    <row r="9921" spans="24:24" x14ac:dyDescent="0.25">
      <c r="X9921" s="256"/>
    </row>
    <row r="9922" spans="24:24" x14ac:dyDescent="0.25">
      <c r="X9922" s="256"/>
    </row>
    <row r="9923" spans="24:24" x14ac:dyDescent="0.25">
      <c r="X9923" s="256"/>
    </row>
    <row r="9924" spans="24:24" x14ac:dyDescent="0.25">
      <c r="X9924" s="256"/>
    </row>
    <row r="9925" spans="24:24" x14ac:dyDescent="0.25">
      <c r="X9925" s="256"/>
    </row>
    <row r="9926" spans="24:24" x14ac:dyDescent="0.25">
      <c r="X9926" s="256"/>
    </row>
    <row r="9927" spans="24:24" x14ac:dyDescent="0.25">
      <c r="X9927" s="256"/>
    </row>
    <row r="9928" spans="24:24" x14ac:dyDescent="0.25">
      <c r="X9928" s="256"/>
    </row>
    <row r="9929" spans="24:24" x14ac:dyDescent="0.25">
      <c r="X9929" s="256"/>
    </row>
    <row r="9930" spans="24:24" x14ac:dyDescent="0.25">
      <c r="X9930" s="256"/>
    </row>
    <row r="9931" spans="24:24" x14ac:dyDescent="0.25">
      <c r="X9931" s="256"/>
    </row>
    <row r="9932" spans="24:24" x14ac:dyDescent="0.25">
      <c r="X9932" s="256"/>
    </row>
    <row r="9933" spans="24:24" x14ac:dyDescent="0.25">
      <c r="X9933" s="256"/>
    </row>
    <row r="9934" spans="24:24" x14ac:dyDescent="0.25">
      <c r="X9934" s="256"/>
    </row>
    <row r="9935" spans="24:24" x14ac:dyDescent="0.25">
      <c r="X9935" s="256"/>
    </row>
    <row r="9936" spans="24:24" x14ac:dyDescent="0.25">
      <c r="X9936" s="256"/>
    </row>
    <row r="9937" spans="24:24" x14ac:dyDescent="0.25">
      <c r="X9937" s="256"/>
    </row>
    <row r="9938" spans="24:24" x14ac:dyDescent="0.25">
      <c r="X9938" s="256"/>
    </row>
    <row r="9939" spans="24:24" x14ac:dyDescent="0.25">
      <c r="X9939" s="256"/>
    </row>
    <row r="9940" spans="24:24" x14ac:dyDescent="0.25">
      <c r="X9940" s="256"/>
    </row>
    <row r="9941" spans="24:24" x14ac:dyDescent="0.25">
      <c r="X9941" s="256"/>
    </row>
    <row r="9942" spans="24:24" x14ac:dyDescent="0.25">
      <c r="X9942" s="256"/>
    </row>
    <row r="9943" spans="24:24" x14ac:dyDescent="0.25">
      <c r="X9943" s="256"/>
    </row>
    <row r="9944" spans="24:24" x14ac:dyDescent="0.25">
      <c r="X9944" s="256"/>
    </row>
    <row r="9945" spans="24:24" x14ac:dyDescent="0.25">
      <c r="X9945" s="256"/>
    </row>
    <row r="9946" spans="24:24" x14ac:dyDescent="0.25">
      <c r="X9946" s="256"/>
    </row>
    <row r="9947" spans="24:24" x14ac:dyDescent="0.25">
      <c r="X9947" s="256"/>
    </row>
    <row r="9948" spans="24:24" x14ac:dyDescent="0.25">
      <c r="X9948" s="256"/>
    </row>
    <row r="9949" spans="24:24" x14ac:dyDescent="0.25">
      <c r="X9949" s="256"/>
    </row>
    <row r="9950" spans="24:24" x14ac:dyDescent="0.25">
      <c r="X9950" s="256"/>
    </row>
    <row r="9951" spans="24:24" x14ac:dyDescent="0.25">
      <c r="X9951" s="256"/>
    </row>
    <row r="9952" spans="24:24" x14ac:dyDescent="0.25">
      <c r="X9952" s="256"/>
    </row>
    <row r="9953" spans="24:24" x14ac:dyDescent="0.25">
      <c r="X9953" s="256"/>
    </row>
    <row r="9954" spans="24:24" x14ac:dyDescent="0.25">
      <c r="X9954" s="256"/>
    </row>
    <row r="9955" spans="24:24" x14ac:dyDescent="0.25">
      <c r="X9955" s="256"/>
    </row>
    <row r="9956" spans="24:24" x14ac:dyDescent="0.25">
      <c r="X9956" s="256"/>
    </row>
    <row r="9957" spans="24:24" x14ac:dyDescent="0.25">
      <c r="X9957" s="256"/>
    </row>
    <row r="9958" spans="24:24" x14ac:dyDescent="0.25">
      <c r="X9958" s="256"/>
    </row>
    <row r="9959" spans="24:24" x14ac:dyDescent="0.25">
      <c r="X9959" s="256"/>
    </row>
    <row r="9960" spans="24:24" x14ac:dyDescent="0.25">
      <c r="X9960" s="256"/>
    </row>
    <row r="9961" spans="24:24" x14ac:dyDescent="0.25">
      <c r="X9961" s="256"/>
    </row>
    <row r="9962" spans="24:24" x14ac:dyDescent="0.25">
      <c r="X9962" s="256"/>
    </row>
    <row r="9963" spans="24:24" x14ac:dyDescent="0.25">
      <c r="X9963" s="256"/>
    </row>
    <row r="9964" spans="24:24" x14ac:dyDescent="0.25">
      <c r="X9964" s="256"/>
    </row>
    <row r="9965" spans="24:24" x14ac:dyDescent="0.25">
      <c r="X9965" s="256"/>
    </row>
    <row r="9966" spans="24:24" x14ac:dyDescent="0.25">
      <c r="X9966" s="256"/>
    </row>
    <row r="9967" spans="24:24" x14ac:dyDescent="0.25">
      <c r="X9967" s="256"/>
    </row>
    <row r="9968" spans="24:24" x14ac:dyDescent="0.25">
      <c r="X9968" s="256"/>
    </row>
    <row r="9969" spans="24:24" x14ac:dyDescent="0.25">
      <c r="X9969" s="256"/>
    </row>
    <row r="9970" spans="24:24" x14ac:dyDescent="0.25">
      <c r="X9970" s="256"/>
    </row>
    <row r="9971" spans="24:24" x14ac:dyDescent="0.25">
      <c r="X9971" s="256"/>
    </row>
    <row r="9972" spans="24:24" x14ac:dyDescent="0.25">
      <c r="X9972" s="256"/>
    </row>
    <row r="9973" spans="24:24" x14ac:dyDescent="0.25">
      <c r="X9973" s="256"/>
    </row>
    <row r="9974" spans="24:24" x14ac:dyDescent="0.25">
      <c r="X9974" s="256"/>
    </row>
    <row r="9975" spans="24:24" x14ac:dyDescent="0.25">
      <c r="X9975" s="256"/>
    </row>
    <row r="9976" spans="24:24" x14ac:dyDescent="0.25">
      <c r="X9976" s="256"/>
    </row>
    <row r="9977" spans="24:24" x14ac:dyDescent="0.25">
      <c r="X9977" s="256"/>
    </row>
    <row r="9978" spans="24:24" x14ac:dyDescent="0.25">
      <c r="X9978" s="256"/>
    </row>
    <row r="9979" spans="24:24" x14ac:dyDescent="0.25">
      <c r="X9979" s="256"/>
    </row>
    <row r="9980" spans="24:24" x14ac:dyDescent="0.25">
      <c r="X9980" s="256"/>
    </row>
    <row r="9981" spans="24:24" x14ac:dyDescent="0.25">
      <c r="X9981" s="256"/>
    </row>
    <row r="9982" spans="24:24" x14ac:dyDescent="0.25">
      <c r="X9982" s="256"/>
    </row>
    <row r="9983" spans="24:24" x14ac:dyDescent="0.25">
      <c r="X9983" s="256"/>
    </row>
    <row r="9984" spans="24:24" x14ac:dyDescent="0.25">
      <c r="X9984" s="256"/>
    </row>
    <row r="9985" spans="24:24" x14ac:dyDescent="0.25">
      <c r="X9985" s="256"/>
    </row>
    <row r="9986" spans="24:24" x14ac:dyDescent="0.25">
      <c r="X9986" s="256"/>
    </row>
    <row r="9987" spans="24:24" x14ac:dyDescent="0.25">
      <c r="X9987" s="256"/>
    </row>
    <row r="9988" spans="24:24" x14ac:dyDescent="0.25">
      <c r="X9988" s="256"/>
    </row>
    <row r="9989" spans="24:24" x14ac:dyDescent="0.25">
      <c r="X9989" s="256"/>
    </row>
    <row r="9990" spans="24:24" x14ac:dyDescent="0.25">
      <c r="X9990" s="256"/>
    </row>
    <row r="9991" spans="24:24" x14ac:dyDescent="0.25">
      <c r="X9991" s="256"/>
    </row>
    <row r="9992" spans="24:24" x14ac:dyDescent="0.25">
      <c r="X9992" s="256"/>
    </row>
    <row r="9993" spans="24:24" x14ac:dyDescent="0.25">
      <c r="X9993" s="256"/>
    </row>
    <row r="9994" spans="24:24" x14ac:dyDescent="0.25">
      <c r="X9994" s="256"/>
    </row>
    <row r="9995" spans="24:24" x14ac:dyDescent="0.25">
      <c r="X9995" s="256"/>
    </row>
    <row r="9996" spans="24:24" x14ac:dyDescent="0.25">
      <c r="X9996" s="256"/>
    </row>
    <row r="9997" spans="24:24" x14ac:dyDescent="0.25">
      <c r="X9997" s="256"/>
    </row>
    <row r="9998" spans="24:24" x14ac:dyDescent="0.25">
      <c r="X9998" s="256"/>
    </row>
    <row r="9999" spans="24:24" x14ac:dyDescent="0.25">
      <c r="X9999" s="256"/>
    </row>
    <row r="10000" spans="24:24" x14ac:dyDescent="0.25">
      <c r="X10000" s="256"/>
    </row>
    <row r="10001" spans="24:24" x14ac:dyDescent="0.25">
      <c r="X10001" s="256"/>
    </row>
    <row r="10002" spans="24:24" x14ac:dyDescent="0.25">
      <c r="X10002" s="256"/>
    </row>
    <row r="10003" spans="24:24" x14ac:dyDescent="0.25">
      <c r="X10003" s="256"/>
    </row>
    <row r="10004" spans="24:24" x14ac:dyDescent="0.25">
      <c r="X10004" s="256"/>
    </row>
    <row r="10005" spans="24:24" x14ac:dyDescent="0.25">
      <c r="X10005" s="256"/>
    </row>
    <row r="10006" spans="24:24" x14ac:dyDescent="0.25">
      <c r="X10006" s="256"/>
    </row>
    <row r="10007" spans="24:24" x14ac:dyDescent="0.25">
      <c r="X10007" s="256"/>
    </row>
    <row r="10008" spans="24:24" x14ac:dyDescent="0.25">
      <c r="X10008" s="256"/>
    </row>
    <row r="10009" spans="24:24" x14ac:dyDescent="0.25">
      <c r="X10009" s="256"/>
    </row>
    <row r="10010" spans="24:24" x14ac:dyDescent="0.25">
      <c r="X10010" s="256"/>
    </row>
    <row r="10011" spans="24:24" x14ac:dyDescent="0.25">
      <c r="X10011" s="256"/>
    </row>
    <row r="10012" spans="24:24" x14ac:dyDescent="0.25">
      <c r="X10012" s="256"/>
    </row>
    <row r="10013" spans="24:24" x14ac:dyDescent="0.25">
      <c r="X10013" s="256"/>
    </row>
    <row r="10014" spans="24:24" x14ac:dyDescent="0.25">
      <c r="X10014" s="256"/>
    </row>
    <row r="10015" spans="24:24" x14ac:dyDescent="0.25">
      <c r="X10015" s="256"/>
    </row>
    <row r="10016" spans="24:24" x14ac:dyDescent="0.25">
      <c r="X10016" s="256"/>
    </row>
    <row r="10017" spans="24:24" x14ac:dyDescent="0.25">
      <c r="X10017" s="256"/>
    </row>
    <row r="10018" spans="24:24" x14ac:dyDescent="0.25">
      <c r="X10018" s="256"/>
    </row>
    <row r="10019" spans="24:24" x14ac:dyDescent="0.25">
      <c r="X10019" s="256"/>
    </row>
    <row r="10020" spans="24:24" x14ac:dyDescent="0.25">
      <c r="X10020" s="256"/>
    </row>
    <row r="10021" spans="24:24" x14ac:dyDescent="0.25">
      <c r="X10021" s="256"/>
    </row>
    <row r="10022" spans="24:24" x14ac:dyDescent="0.25">
      <c r="X10022" s="256"/>
    </row>
    <row r="10023" spans="24:24" x14ac:dyDescent="0.25">
      <c r="X10023" s="256"/>
    </row>
    <row r="10024" spans="24:24" x14ac:dyDescent="0.25">
      <c r="X10024" s="256"/>
    </row>
    <row r="10025" spans="24:24" x14ac:dyDescent="0.25">
      <c r="X10025" s="256"/>
    </row>
    <row r="10026" spans="24:24" x14ac:dyDescent="0.25">
      <c r="X10026" s="256"/>
    </row>
    <row r="10027" spans="24:24" x14ac:dyDescent="0.25">
      <c r="X10027" s="256"/>
    </row>
    <row r="10028" spans="24:24" x14ac:dyDescent="0.25">
      <c r="X10028" s="256"/>
    </row>
    <row r="10029" spans="24:24" x14ac:dyDescent="0.25">
      <c r="X10029" s="256"/>
    </row>
    <row r="10030" spans="24:24" x14ac:dyDescent="0.25">
      <c r="X10030" s="256"/>
    </row>
    <row r="10031" spans="24:24" x14ac:dyDescent="0.25">
      <c r="X10031" s="256"/>
    </row>
    <row r="10032" spans="24:24" x14ac:dyDescent="0.25">
      <c r="X10032" s="256"/>
    </row>
    <row r="10033" spans="24:24" x14ac:dyDescent="0.25">
      <c r="X10033" s="256"/>
    </row>
    <row r="10034" spans="24:24" x14ac:dyDescent="0.25">
      <c r="X10034" s="256"/>
    </row>
    <row r="10035" spans="24:24" x14ac:dyDescent="0.25">
      <c r="X10035" s="256"/>
    </row>
    <row r="10036" spans="24:24" x14ac:dyDescent="0.25">
      <c r="X10036" s="256"/>
    </row>
    <row r="10037" spans="24:24" x14ac:dyDescent="0.25">
      <c r="X10037" s="256"/>
    </row>
    <row r="10038" spans="24:24" x14ac:dyDescent="0.25">
      <c r="X10038" s="256"/>
    </row>
    <row r="10039" spans="24:24" x14ac:dyDescent="0.25">
      <c r="X10039" s="256"/>
    </row>
    <row r="10040" spans="24:24" x14ac:dyDescent="0.25">
      <c r="X10040" s="256"/>
    </row>
    <row r="10041" spans="24:24" x14ac:dyDescent="0.25">
      <c r="X10041" s="256"/>
    </row>
    <row r="10042" spans="24:24" x14ac:dyDescent="0.25">
      <c r="X10042" s="256"/>
    </row>
    <row r="10043" spans="24:24" x14ac:dyDescent="0.25">
      <c r="X10043" s="256"/>
    </row>
    <row r="10044" spans="24:24" x14ac:dyDescent="0.25">
      <c r="X10044" s="256"/>
    </row>
    <row r="10045" spans="24:24" x14ac:dyDescent="0.25">
      <c r="X10045" s="256"/>
    </row>
    <row r="10046" spans="24:24" x14ac:dyDescent="0.25">
      <c r="X10046" s="256"/>
    </row>
    <row r="10047" spans="24:24" x14ac:dyDescent="0.25">
      <c r="X10047" s="256"/>
    </row>
    <row r="10048" spans="24:24" x14ac:dyDescent="0.25">
      <c r="X10048" s="256"/>
    </row>
    <row r="10049" spans="24:24" x14ac:dyDescent="0.25">
      <c r="X10049" s="256"/>
    </row>
    <row r="10050" spans="24:24" x14ac:dyDescent="0.25">
      <c r="X10050" s="256"/>
    </row>
    <row r="10051" spans="24:24" x14ac:dyDescent="0.25">
      <c r="X10051" s="256"/>
    </row>
    <row r="10052" spans="24:24" x14ac:dyDescent="0.25">
      <c r="X10052" s="256"/>
    </row>
    <row r="10053" spans="24:24" x14ac:dyDescent="0.25">
      <c r="X10053" s="256"/>
    </row>
    <row r="10054" spans="24:24" x14ac:dyDescent="0.25">
      <c r="X10054" s="256"/>
    </row>
    <row r="10055" spans="24:24" x14ac:dyDescent="0.25">
      <c r="X10055" s="256"/>
    </row>
    <row r="10056" spans="24:24" x14ac:dyDescent="0.25">
      <c r="X10056" s="256"/>
    </row>
    <row r="10057" spans="24:24" x14ac:dyDescent="0.25">
      <c r="X10057" s="256"/>
    </row>
    <row r="10058" spans="24:24" x14ac:dyDescent="0.25">
      <c r="X10058" s="256"/>
    </row>
    <row r="10059" spans="24:24" x14ac:dyDescent="0.25">
      <c r="X10059" s="256"/>
    </row>
    <row r="10060" spans="24:24" x14ac:dyDescent="0.25">
      <c r="X10060" s="256"/>
    </row>
    <row r="10061" spans="24:24" x14ac:dyDescent="0.25">
      <c r="X10061" s="256"/>
    </row>
    <row r="10062" spans="24:24" x14ac:dyDescent="0.25">
      <c r="X10062" s="256"/>
    </row>
    <row r="10063" spans="24:24" x14ac:dyDescent="0.25">
      <c r="X10063" s="256"/>
    </row>
    <row r="10064" spans="24:24" x14ac:dyDescent="0.25">
      <c r="X10064" s="256"/>
    </row>
    <row r="10065" spans="24:24" x14ac:dyDescent="0.25">
      <c r="X10065" s="256"/>
    </row>
    <row r="10066" spans="24:24" x14ac:dyDescent="0.25">
      <c r="X10066" s="256"/>
    </row>
    <row r="10067" spans="24:24" x14ac:dyDescent="0.25">
      <c r="X10067" s="256"/>
    </row>
    <row r="10068" spans="24:24" x14ac:dyDescent="0.25">
      <c r="X10068" s="256"/>
    </row>
    <row r="10069" spans="24:24" x14ac:dyDescent="0.25">
      <c r="X10069" s="256"/>
    </row>
    <row r="10070" spans="24:24" x14ac:dyDescent="0.25">
      <c r="X10070" s="256"/>
    </row>
    <row r="10071" spans="24:24" x14ac:dyDescent="0.25">
      <c r="X10071" s="256"/>
    </row>
    <row r="10072" spans="24:24" x14ac:dyDescent="0.25">
      <c r="X10072" s="256"/>
    </row>
    <row r="10073" spans="24:24" x14ac:dyDescent="0.25">
      <c r="X10073" s="256"/>
    </row>
    <row r="10074" spans="24:24" x14ac:dyDescent="0.25">
      <c r="X10074" s="256"/>
    </row>
    <row r="10075" spans="24:24" x14ac:dyDescent="0.25">
      <c r="X10075" s="256"/>
    </row>
    <row r="10076" spans="24:24" x14ac:dyDescent="0.25">
      <c r="X10076" s="256"/>
    </row>
    <row r="10077" spans="24:24" x14ac:dyDescent="0.25">
      <c r="X10077" s="256"/>
    </row>
    <row r="10078" spans="24:24" x14ac:dyDescent="0.25">
      <c r="X10078" s="256"/>
    </row>
    <row r="10079" spans="24:24" x14ac:dyDescent="0.25">
      <c r="X10079" s="256"/>
    </row>
    <row r="10080" spans="24:24" x14ac:dyDescent="0.25">
      <c r="X10080" s="256"/>
    </row>
    <row r="10081" spans="24:24" x14ac:dyDescent="0.25">
      <c r="X10081" s="256"/>
    </row>
    <row r="10082" spans="24:24" x14ac:dyDescent="0.25">
      <c r="X10082" s="256"/>
    </row>
    <row r="10083" spans="24:24" x14ac:dyDescent="0.25">
      <c r="X10083" s="256"/>
    </row>
    <row r="10084" spans="24:24" x14ac:dyDescent="0.25">
      <c r="X10084" s="256"/>
    </row>
    <row r="10085" spans="24:24" x14ac:dyDescent="0.25">
      <c r="X10085" s="256"/>
    </row>
    <row r="10086" spans="24:24" x14ac:dyDescent="0.25">
      <c r="X10086" s="256"/>
    </row>
    <row r="10087" spans="24:24" x14ac:dyDescent="0.25">
      <c r="X10087" s="256"/>
    </row>
    <row r="10088" spans="24:24" x14ac:dyDescent="0.25">
      <c r="X10088" s="256"/>
    </row>
    <row r="10089" spans="24:24" x14ac:dyDescent="0.25">
      <c r="X10089" s="256"/>
    </row>
    <row r="10090" spans="24:24" x14ac:dyDescent="0.25">
      <c r="X10090" s="256"/>
    </row>
    <row r="10091" spans="24:24" x14ac:dyDescent="0.25">
      <c r="X10091" s="256"/>
    </row>
    <row r="10092" spans="24:24" x14ac:dyDescent="0.25">
      <c r="X10092" s="256"/>
    </row>
    <row r="10093" spans="24:24" x14ac:dyDescent="0.25">
      <c r="X10093" s="256"/>
    </row>
    <row r="10094" spans="24:24" x14ac:dyDescent="0.25">
      <c r="X10094" s="256"/>
    </row>
    <row r="10095" spans="24:24" x14ac:dyDescent="0.25">
      <c r="X10095" s="256"/>
    </row>
    <row r="10096" spans="24:24" x14ac:dyDescent="0.25">
      <c r="X10096" s="256"/>
    </row>
    <row r="10097" spans="24:24" x14ac:dyDescent="0.25">
      <c r="X10097" s="256"/>
    </row>
    <row r="10098" spans="24:24" x14ac:dyDescent="0.25">
      <c r="X10098" s="256"/>
    </row>
    <row r="10099" spans="24:24" x14ac:dyDescent="0.25">
      <c r="X10099" s="256"/>
    </row>
    <row r="10100" spans="24:24" x14ac:dyDescent="0.25">
      <c r="X10100" s="256"/>
    </row>
    <row r="10101" spans="24:24" x14ac:dyDescent="0.25">
      <c r="X10101" s="256"/>
    </row>
    <row r="10102" spans="24:24" x14ac:dyDescent="0.25">
      <c r="X10102" s="256"/>
    </row>
    <row r="10103" spans="24:24" x14ac:dyDescent="0.25">
      <c r="X10103" s="256"/>
    </row>
    <row r="10104" spans="24:24" x14ac:dyDescent="0.25">
      <c r="X10104" s="256"/>
    </row>
    <row r="10105" spans="24:24" x14ac:dyDescent="0.25">
      <c r="X10105" s="256"/>
    </row>
    <row r="10106" spans="24:24" x14ac:dyDescent="0.25">
      <c r="X10106" s="256"/>
    </row>
    <row r="10107" spans="24:24" x14ac:dyDescent="0.25">
      <c r="X10107" s="256"/>
    </row>
    <row r="10108" spans="24:24" x14ac:dyDescent="0.25">
      <c r="X10108" s="256"/>
    </row>
    <row r="10109" spans="24:24" x14ac:dyDescent="0.25">
      <c r="X10109" s="256"/>
    </row>
    <row r="10110" spans="24:24" x14ac:dyDescent="0.25">
      <c r="X10110" s="256"/>
    </row>
    <row r="10111" spans="24:24" x14ac:dyDescent="0.25">
      <c r="X10111" s="256"/>
    </row>
    <row r="10112" spans="24:24" x14ac:dyDescent="0.25">
      <c r="X10112" s="256"/>
    </row>
    <row r="10113" spans="24:24" x14ac:dyDescent="0.25">
      <c r="X10113" s="256"/>
    </row>
    <row r="10114" spans="24:24" x14ac:dyDescent="0.25">
      <c r="X10114" s="256"/>
    </row>
    <row r="10115" spans="24:24" x14ac:dyDescent="0.25">
      <c r="X10115" s="256"/>
    </row>
    <row r="10116" spans="24:24" x14ac:dyDescent="0.25">
      <c r="X10116" s="256"/>
    </row>
    <row r="10117" spans="24:24" x14ac:dyDescent="0.25">
      <c r="X10117" s="256"/>
    </row>
    <row r="10118" spans="24:24" x14ac:dyDescent="0.25">
      <c r="X10118" s="256"/>
    </row>
    <row r="10119" spans="24:24" x14ac:dyDescent="0.25">
      <c r="X10119" s="256"/>
    </row>
    <row r="10120" spans="24:24" x14ac:dyDescent="0.25">
      <c r="X10120" s="256"/>
    </row>
    <row r="10121" spans="24:24" x14ac:dyDescent="0.25">
      <c r="X10121" s="256"/>
    </row>
    <row r="10122" spans="24:24" x14ac:dyDescent="0.25">
      <c r="X10122" s="256"/>
    </row>
    <row r="10123" spans="24:24" x14ac:dyDescent="0.25">
      <c r="X10123" s="256"/>
    </row>
    <row r="10124" spans="24:24" x14ac:dyDescent="0.25">
      <c r="X10124" s="256"/>
    </row>
    <row r="10125" spans="24:24" x14ac:dyDescent="0.25">
      <c r="X10125" s="256"/>
    </row>
    <row r="10126" spans="24:24" x14ac:dyDescent="0.25">
      <c r="X10126" s="256"/>
    </row>
    <row r="10127" spans="24:24" x14ac:dyDescent="0.25">
      <c r="X10127" s="256"/>
    </row>
    <row r="10128" spans="24:24" x14ac:dyDescent="0.25">
      <c r="X10128" s="256"/>
    </row>
    <row r="10129" spans="24:24" x14ac:dyDescent="0.25">
      <c r="X10129" s="256"/>
    </row>
    <row r="10130" spans="24:24" x14ac:dyDescent="0.25">
      <c r="X10130" s="256"/>
    </row>
    <row r="10131" spans="24:24" x14ac:dyDescent="0.25">
      <c r="X10131" s="256"/>
    </row>
    <row r="10132" spans="24:24" x14ac:dyDescent="0.25">
      <c r="X10132" s="256"/>
    </row>
    <row r="10133" spans="24:24" x14ac:dyDescent="0.25">
      <c r="X10133" s="256"/>
    </row>
    <row r="10134" spans="24:24" x14ac:dyDescent="0.25">
      <c r="X10134" s="256"/>
    </row>
    <row r="10135" spans="24:24" x14ac:dyDescent="0.25">
      <c r="X10135" s="256"/>
    </row>
    <row r="10136" spans="24:24" x14ac:dyDescent="0.25">
      <c r="X10136" s="256"/>
    </row>
    <row r="10137" spans="24:24" x14ac:dyDescent="0.25">
      <c r="X10137" s="256"/>
    </row>
    <row r="10138" spans="24:24" x14ac:dyDescent="0.25">
      <c r="X10138" s="256"/>
    </row>
    <row r="10139" spans="24:24" x14ac:dyDescent="0.25">
      <c r="X10139" s="256"/>
    </row>
    <row r="10140" spans="24:24" x14ac:dyDescent="0.25">
      <c r="X10140" s="256"/>
    </row>
    <row r="10141" spans="24:24" x14ac:dyDescent="0.25">
      <c r="X10141" s="256"/>
    </row>
    <row r="10142" spans="24:24" x14ac:dyDescent="0.25">
      <c r="X10142" s="256"/>
    </row>
    <row r="10143" spans="24:24" x14ac:dyDescent="0.25">
      <c r="X10143" s="256"/>
    </row>
    <row r="10144" spans="24:24" x14ac:dyDescent="0.25">
      <c r="X10144" s="256"/>
    </row>
    <row r="10145" spans="24:24" x14ac:dyDescent="0.25">
      <c r="X10145" s="256"/>
    </row>
    <row r="10146" spans="24:24" x14ac:dyDescent="0.25">
      <c r="X10146" s="256"/>
    </row>
    <row r="10147" spans="24:24" x14ac:dyDescent="0.25">
      <c r="X10147" s="256"/>
    </row>
    <row r="10148" spans="24:24" x14ac:dyDescent="0.25">
      <c r="X10148" s="256"/>
    </row>
    <row r="10149" spans="24:24" x14ac:dyDescent="0.25">
      <c r="X10149" s="256"/>
    </row>
    <row r="10150" spans="24:24" x14ac:dyDescent="0.25">
      <c r="X10150" s="256"/>
    </row>
    <row r="10151" spans="24:24" x14ac:dyDescent="0.25">
      <c r="X10151" s="256"/>
    </row>
    <row r="10152" spans="24:24" x14ac:dyDescent="0.25">
      <c r="X10152" s="256"/>
    </row>
    <row r="10153" spans="24:24" x14ac:dyDescent="0.25">
      <c r="X10153" s="256"/>
    </row>
    <row r="10154" spans="24:24" x14ac:dyDescent="0.25">
      <c r="X10154" s="256"/>
    </row>
    <row r="10155" spans="24:24" x14ac:dyDescent="0.25">
      <c r="X10155" s="256"/>
    </row>
    <row r="10156" spans="24:24" x14ac:dyDescent="0.25">
      <c r="X10156" s="256"/>
    </row>
    <row r="10157" spans="24:24" x14ac:dyDescent="0.25">
      <c r="X10157" s="256"/>
    </row>
    <row r="10158" spans="24:24" x14ac:dyDescent="0.25">
      <c r="X10158" s="256"/>
    </row>
    <row r="10159" spans="24:24" x14ac:dyDescent="0.25">
      <c r="X10159" s="256"/>
    </row>
    <row r="10160" spans="24:24" x14ac:dyDescent="0.25">
      <c r="X10160" s="256"/>
    </row>
    <row r="10161" spans="24:24" x14ac:dyDescent="0.25">
      <c r="X10161" s="256"/>
    </row>
    <row r="10162" spans="24:24" x14ac:dyDescent="0.25">
      <c r="X10162" s="256"/>
    </row>
    <row r="10163" spans="24:24" x14ac:dyDescent="0.25">
      <c r="X10163" s="256"/>
    </row>
    <row r="10164" spans="24:24" x14ac:dyDescent="0.25">
      <c r="X10164" s="256"/>
    </row>
    <row r="10165" spans="24:24" x14ac:dyDescent="0.25">
      <c r="X10165" s="256"/>
    </row>
    <row r="10166" spans="24:24" x14ac:dyDescent="0.25">
      <c r="X10166" s="256"/>
    </row>
    <row r="10167" spans="24:24" x14ac:dyDescent="0.25">
      <c r="X10167" s="256"/>
    </row>
    <row r="10168" spans="24:24" x14ac:dyDescent="0.25">
      <c r="X10168" s="256"/>
    </row>
    <row r="10169" spans="24:24" x14ac:dyDescent="0.25">
      <c r="X10169" s="256"/>
    </row>
    <row r="10170" spans="24:24" x14ac:dyDescent="0.25">
      <c r="X10170" s="256"/>
    </row>
    <row r="10171" spans="24:24" x14ac:dyDescent="0.25">
      <c r="X10171" s="256"/>
    </row>
    <row r="10172" spans="24:24" x14ac:dyDescent="0.25">
      <c r="X10172" s="256"/>
    </row>
    <row r="10173" spans="24:24" x14ac:dyDescent="0.25">
      <c r="X10173" s="256"/>
    </row>
    <row r="10174" spans="24:24" x14ac:dyDescent="0.25">
      <c r="X10174" s="256"/>
    </row>
    <row r="10175" spans="24:24" x14ac:dyDescent="0.25">
      <c r="X10175" s="256"/>
    </row>
    <row r="10176" spans="24:24" x14ac:dyDescent="0.25">
      <c r="X10176" s="256"/>
    </row>
    <row r="10177" spans="24:24" x14ac:dyDescent="0.25">
      <c r="X10177" s="256"/>
    </row>
    <row r="10178" spans="24:24" x14ac:dyDescent="0.25">
      <c r="X10178" s="256"/>
    </row>
    <row r="10179" spans="24:24" x14ac:dyDescent="0.25">
      <c r="X10179" s="256"/>
    </row>
    <row r="10180" spans="24:24" x14ac:dyDescent="0.25">
      <c r="X10180" s="256"/>
    </row>
    <row r="10181" spans="24:24" x14ac:dyDescent="0.25">
      <c r="X10181" s="256"/>
    </row>
    <row r="10182" spans="24:24" x14ac:dyDescent="0.25">
      <c r="X10182" s="256"/>
    </row>
    <row r="10183" spans="24:24" x14ac:dyDescent="0.25">
      <c r="X10183" s="256"/>
    </row>
    <row r="10184" spans="24:24" x14ac:dyDescent="0.25">
      <c r="X10184" s="256"/>
    </row>
    <row r="10185" spans="24:24" x14ac:dyDescent="0.25">
      <c r="X10185" s="256"/>
    </row>
    <row r="10186" spans="24:24" x14ac:dyDescent="0.25">
      <c r="X10186" s="256"/>
    </row>
    <row r="10187" spans="24:24" x14ac:dyDescent="0.25">
      <c r="X10187" s="256"/>
    </row>
    <row r="10188" spans="24:24" x14ac:dyDescent="0.25">
      <c r="X10188" s="256"/>
    </row>
    <row r="10189" spans="24:24" x14ac:dyDescent="0.25">
      <c r="X10189" s="256"/>
    </row>
    <row r="10190" spans="24:24" x14ac:dyDescent="0.25">
      <c r="X10190" s="256"/>
    </row>
    <row r="10191" spans="24:24" x14ac:dyDescent="0.25">
      <c r="X10191" s="256"/>
    </row>
    <row r="10192" spans="24:24" x14ac:dyDescent="0.25">
      <c r="X10192" s="256"/>
    </row>
    <row r="10193" spans="24:24" x14ac:dyDescent="0.25">
      <c r="X10193" s="256"/>
    </row>
    <row r="10194" spans="24:24" x14ac:dyDescent="0.25">
      <c r="X10194" s="256"/>
    </row>
    <row r="10195" spans="24:24" x14ac:dyDescent="0.25">
      <c r="X10195" s="256"/>
    </row>
    <row r="10196" spans="24:24" x14ac:dyDescent="0.25">
      <c r="X10196" s="256"/>
    </row>
    <row r="10197" spans="24:24" x14ac:dyDescent="0.25">
      <c r="X10197" s="256"/>
    </row>
    <row r="10198" spans="24:24" x14ac:dyDescent="0.25">
      <c r="X10198" s="256"/>
    </row>
    <row r="10199" spans="24:24" x14ac:dyDescent="0.25">
      <c r="X10199" s="256"/>
    </row>
    <row r="10200" spans="24:24" x14ac:dyDescent="0.25">
      <c r="X10200" s="256"/>
    </row>
    <row r="10201" spans="24:24" x14ac:dyDescent="0.25">
      <c r="X10201" s="256"/>
    </row>
    <row r="10202" spans="24:24" x14ac:dyDescent="0.25">
      <c r="X10202" s="256"/>
    </row>
    <row r="10203" spans="24:24" x14ac:dyDescent="0.25">
      <c r="X10203" s="256"/>
    </row>
    <row r="10204" spans="24:24" x14ac:dyDescent="0.25">
      <c r="X10204" s="256"/>
    </row>
    <row r="10205" spans="24:24" x14ac:dyDescent="0.25">
      <c r="X10205" s="256"/>
    </row>
    <row r="10206" spans="24:24" x14ac:dyDescent="0.25">
      <c r="X10206" s="256"/>
    </row>
    <row r="10207" spans="24:24" x14ac:dyDescent="0.25">
      <c r="X10207" s="256"/>
    </row>
    <row r="10208" spans="24:24" x14ac:dyDescent="0.25">
      <c r="X10208" s="256"/>
    </row>
    <row r="10209" spans="24:24" x14ac:dyDescent="0.25">
      <c r="X10209" s="256"/>
    </row>
    <row r="10210" spans="24:24" x14ac:dyDescent="0.25">
      <c r="X10210" s="256"/>
    </row>
    <row r="10211" spans="24:24" x14ac:dyDescent="0.25">
      <c r="X10211" s="256"/>
    </row>
    <row r="10212" spans="24:24" x14ac:dyDescent="0.25">
      <c r="X10212" s="256"/>
    </row>
    <row r="10213" spans="24:24" x14ac:dyDescent="0.25">
      <c r="X10213" s="256"/>
    </row>
    <row r="10214" spans="24:24" x14ac:dyDescent="0.25">
      <c r="X10214" s="256"/>
    </row>
    <row r="10215" spans="24:24" x14ac:dyDescent="0.25">
      <c r="X10215" s="256"/>
    </row>
    <row r="10216" spans="24:24" x14ac:dyDescent="0.25">
      <c r="X10216" s="256"/>
    </row>
    <row r="10217" spans="24:24" x14ac:dyDescent="0.25">
      <c r="X10217" s="256"/>
    </row>
    <row r="10218" spans="24:24" x14ac:dyDescent="0.25">
      <c r="X10218" s="256"/>
    </row>
    <row r="10219" spans="24:24" x14ac:dyDescent="0.25">
      <c r="X10219" s="256"/>
    </row>
    <row r="10220" spans="24:24" x14ac:dyDescent="0.25">
      <c r="X10220" s="256"/>
    </row>
    <row r="10221" spans="24:24" x14ac:dyDescent="0.25">
      <c r="X10221" s="256"/>
    </row>
    <row r="10222" spans="24:24" x14ac:dyDescent="0.25">
      <c r="X10222" s="256"/>
    </row>
    <row r="10223" spans="24:24" x14ac:dyDescent="0.25">
      <c r="X10223" s="256"/>
    </row>
    <row r="10224" spans="24:24" x14ac:dyDescent="0.25">
      <c r="X10224" s="256"/>
    </row>
    <row r="10225" spans="24:24" x14ac:dyDescent="0.25">
      <c r="X10225" s="256"/>
    </row>
    <row r="10226" spans="24:24" x14ac:dyDescent="0.25">
      <c r="X10226" s="256"/>
    </row>
    <row r="10227" spans="24:24" x14ac:dyDescent="0.25">
      <c r="X10227" s="256"/>
    </row>
    <row r="10228" spans="24:24" x14ac:dyDescent="0.25">
      <c r="X10228" s="256"/>
    </row>
    <row r="10229" spans="24:24" x14ac:dyDescent="0.25">
      <c r="X10229" s="256"/>
    </row>
    <row r="10230" spans="24:24" x14ac:dyDescent="0.25">
      <c r="X10230" s="256"/>
    </row>
    <row r="10231" spans="24:24" x14ac:dyDescent="0.25">
      <c r="X10231" s="256"/>
    </row>
    <row r="10232" spans="24:24" x14ac:dyDescent="0.25">
      <c r="X10232" s="256"/>
    </row>
    <row r="10233" spans="24:24" x14ac:dyDescent="0.25">
      <c r="X10233" s="256"/>
    </row>
    <row r="10234" spans="24:24" x14ac:dyDescent="0.25">
      <c r="X10234" s="256"/>
    </row>
    <row r="10235" spans="24:24" x14ac:dyDescent="0.25">
      <c r="X10235" s="256"/>
    </row>
    <row r="10236" spans="24:24" x14ac:dyDescent="0.25">
      <c r="X10236" s="256"/>
    </row>
    <row r="10237" spans="24:24" x14ac:dyDescent="0.25">
      <c r="X10237" s="256"/>
    </row>
    <row r="10238" spans="24:24" x14ac:dyDescent="0.25">
      <c r="X10238" s="256"/>
    </row>
    <row r="10239" spans="24:24" x14ac:dyDescent="0.25">
      <c r="X10239" s="256"/>
    </row>
    <row r="10240" spans="24:24" x14ac:dyDescent="0.25">
      <c r="X10240" s="256"/>
    </row>
    <row r="10241" spans="24:24" x14ac:dyDescent="0.25">
      <c r="X10241" s="256"/>
    </row>
    <row r="10242" spans="24:24" x14ac:dyDescent="0.25">
      <c r="X10242" s="256"/>
    </row>
    <row r="10243" spans="24:24" x14ac:dyDescent="0.25">
      <c r="X10243" s="256"/>
    </row>
    <row r="10244" spans="24:24" x14ac:dyDescent="0.25">
      <c r="X10244" s="256"/>
    </row>
    <row r="10245" spans="24:24" x14ac:dyDescent="0.25">
      <c r="X10245" s="256"/>
    </row>
    <row r="10246" spans="24:24" x14ac:dyDescent="0.25">
      <c r="X10246" s="256"/>
    </row>
    <row r="10247" spans="24:24" x14ac:dyDescent="0.25">
      <c r="X10247" s="256"/>
    </row>
    <row r="10248" spans="24:24" x14ac:dyDescent="0.25">
      <c r="X10248" s="256"/>
    </row>
    <row r="10249" spans="24:24" x14ac:dyDescent="0.25">
      <c r="X10249" s="256"/>
    </row>
    <row r="10250" spans="24:24" x14ac:dyDescent="0.25">
      <c r="X10250" s="256"/>
    </row>
    <row r="10251" spans="24:24" x14ac:dyDescent="0.25">
      <c r="X10251" s="256"/>
    </row>
    <row r="10252" spans="24:24" x14ac:dyDescent="0.25">
      <c r="X10252" s="256"/>
    </row>
    <row r="10253" spans="24:24" x14ac:dyDescent="0.25">
      <c r="X10253" s="256"/>
    </row>
    <row r="10254" spans="24:24" x14ac:dyDescent="0.25">
      <c r="X10254" s="256"/>
    </row>
    <row r="10255" spans="24:24" x14ac:dyDescent="0.25">
      <c r="X10255" s="256"/>
    </row>
    <row r="10256" spans="24:24" x14ac:dyDescent="0.25">
      <c r="X10256" s="256"/>
    </row>
    <row r="10257" spans="24:24" x14ac:dyDescent="0.25">
      <c r="X10257" s="256"/>
    </row>
    <row r="10258" spans="24:24" x14ac:dyDescent="0.25">
      <c r="X10258" s="256"/>
    </row>
    <row r="10259" spans="24:24" x14ac:dyDescent="0.25">
      <c r="X10259" s="256"/>
    </row>
    <row r="10260" spans="24:24" x14ac:dyDescent="0.25">
      <c r="X10260" s="256"/>
    </row>
    <row r="10261" spans="24:24" x14ac:dyDescent="0.25">
      <c r="X10261" s="256"/>
    </row>
    <row r="10262" spans="24:24" x14ac:dyDescent="0.25">
      <c r="X10262" s="256"/>
    </row>
    <row r="10263" spans="24:24" x14ac:dyDescent="0.25">
      <c r="X10263" s="256"/>
    </row>
    <row r="10264" spans="24:24" x14ac:dyDescent="0.25">
      <c r="X10264" s="256"/>
    </row>
    <row r="10265" spans="24:24" x14ac:dyDescent="0.25">
      <c r="X10265" s="256"/>
    </row>
    <row r="10266" spans="24:24" x14ac:dyDescent="0.25">
      <c r="X10266" s="256"/>
    </row>
    <row r="10267" spans="24:24" x14ac:dyDescent="0.25">
      <c r="X10267" s="256"/>
    </row>
    <row r="10268" spans="24:24" x14ac:dyDescent="0.25">
      <c r="X10268" s="256"/>
    </row>
    <row r="10269" spans="24:24" x14ac:dyDescent="0.25">
      <c r="X10269" s="256"/>
    </row>
    <row r="10270" spans="24:24" x14ac:dyDescent="0.25">
      <c r="X10270" s="256"/>
    </row>
    <row r="10271" spans="24:24" x14ac:dyDescent="0.25">
      <c r="X10271" s="256"/>
    </row>
    <row r="10272" spans="24:24" x14ac:dyDescent="0.25">
      <c r="X10272" s="256"/>
    </row>
    <row r="10273" spans="24:24" x14ac:dyDescent="0.25">
      <c r="X10273" s="256"/>
    </row>
    <row r="10274" spans="24:24" x14ac:dyDescent="0.25">
      <c r="X10274" s="256"/>
    </row>
    <row r="10275" spans="24:24" x14ac:dyDescent="0.25">
      <c r="X10275" s="256"/>
    </row>
    <row r="10276" spans="24:24" x14ac:dyDescent="0.25">
      <c r="X10276" s="256"/>
    </row>
    <row r="10277" spans="24:24" x14ac:dyDescent="0.25">
      <c r="X10277" s="256"/>
    </row>
    <row r="10278" spans="24:24" x14ac:dyDescent="0.25">
      <c r="X10278" s="256"/>
    </row>
    <row r="10279" spans="24:24" x14ac:dyDescent="0.25">
      <c r="X10279" s="256"/>
    </row>
    <row r="10280" spans="24:24" x14ac:dyDescent="0.25">
      <c r="X10280" s="256"/>
    </row>
    <row r="10281" spans="24:24" x14ac:dyDescent="0.25">
      <c r="X10281" s="256"/>
    </row>
    <row r="10282" spans="24:24" x14ac:dyDescent="0.25">
      <c r="X10282" s="256"/>
    </row>
    <row r="10283" spans="24:24" x14ac:dyDescent="0.25">
      <c r="X10283" s="256"/>
    </row>
    <row r="10284" spans="24:24" x14ac:dyDescent="0.25">
      <c r="X10284" s="256"/>
    </row>
    <row r="10285" spans="24:24" x14ac:dyDescent="0.25">
      <c r="X10285" s="256"/>
    </row>
    <row r="10286" spans="24:24" x14ac:dyDescent="0.25">
      <c r="X10286" s="256"/>
    </row>
    <row r="10287" spans="24:24" x14ac:dyDescent="0.25">
      <c r="X10287" s="256"/>
    </row>
    <row r="10288" spans="24:24" x14ac:dyDescent="0.25">
      <c r="X10288" s="256"/>
    </row>
    <row r="10289" spans="24:24" x14ac:dyDescent="0.25">
      <c r="X10289" s="256"/>
    </row>
    <row r="10290" spans="24:24" x14ac:dyDescent="0.25">
      <c r="X10290" s="256"/>
    </row>
    <row r="10291" spans="24:24" x14ac:dyDescent="0.25">
      <c r="X10291" s="256"/>
    </row>
    <row r="10292" spans="24:24" x14ac:dyDescent="0.25">
      <c r="X10292" s="256"/>
    </row>
    <row r="10293" spans="24:24" x14ac:dyDescent="0.25">
      <c r="X10293" s="256"/>
    </row>
    <row r="10294" spans="24:24" x14ac:dyDescent="0.25">
      <c r="X10294" s="256"/>
    </row>
    <row r="10295" spans="24:24" x14ac:dyDescent="0.25">
      <c r="X10295" s="256"/>
    </row>
    <row r="10296" spans="24:24" x14ac:dyDescent="0.25">
      <c r="X10296" s="256"/>
    </row>
    <row r="10297" spans="24:24" x14ac:dyDescent="0.25">
      <c r="X10297" s="256"/>
    </row>
    <row r="10298" spans="24:24" x14ac:dyDescent="0.25">
      <c r="X10298" s="256"/>
    </row>
    <row r="10299" spans="24:24" x14ac:dyDescent="0.25">
      <c r="X10299" s="256"/>
    </row>
    <row r="10300" spans="24:24" x14ac:dyDescent="0.25">
      <c r="X10300" s="256"/>
    </row>
    <row r="10301" spans="24:24" x14ac:dyDescent="0.25">
      <c r="X10301" s="256"/>
    </row>
    <row r="10302" spans="24:24" x14ac:dyDescent="0.25">
      <c r="X10302" s="256"/>
    </row>
    <row r="10303" spans="24:24" x14ac:dyDescent="0.25">
      <c r="X10303" s="256"/>
    </row>
    <row r="10304" spans="24:24" x14ac:dyDescent="0.25">
      <c r="X10304" s="256"/>
    </row>
    <row r="10305" spans="24:24" x14ac:dyDescent="0.25">
      <c r="X10305" s="256"/>
    </row>
    <row r="10306" spans="24:24" x14ac:dyDescent="0.25">
      <c r="X10306" s="256"/>
    </row>
    <row r="10307" spans="24:24" x14ac:dyDescent="0.25">
      <c r="X10307" s="256"/>
    </row>
    <row r="10308" spans="24:24" x14ac:dyDescent="0.25">
      <c r="X10308" s="256"/>
    </row>
    <row r="10309" spans="24:24" x14ac:dyDescent="0.25">
      <c r="X10309" s="256"/>
    </row>
    <row r="10310" spans="24:24" x14ac:dyDescent="0.25">
      <c r="X10310" s="256"/>
    </row>
    <row r="10311" spans="24:24" x14ac:dyDescent="0.25">
      <c r="X10311" s="256"/>
    </row>
    <row r="10312" spans="24:24" x14ac:dyDescent="0.25">
      <c r="X10312" s="256"/>
    </row>
    <row r="10313" spans="24:24" x14ac:dyDescent="0.25">
      <c r="X10313" s="256"/>
    </row>
    <row r="10314" spans="24:24" x14ac:dyDescent="0.25">
      <c r="X10314" s="256"/>
    </row>
    <row r="10315" spans="24:24" x14ac:dyDescent="0.25">
      <c r="X10315" s="256"/>
    </row>
    <row r="10316" spans="24:24" x14ac:dyDescent="0.25">
      <c r="X10316" s="256"/>
    </row>
    <row r="10317" spans="24:24" x14ac:dyDescent="0.25">
      <c r="X10317" s="256"/>
    </row>
    <row r="10318" spans="24:24" x14ac:dyDescent="0.25">
      <c r="X10318" s="256"/>
    </row>
    <row r="10319" spans="24:24" x14ac:dyDescent="0.25">
      <c r="X10319" s="256"/>
    </row>
    <row r="10320" spans="24:24" x14ac:dyDescent="0.25">
      <c r="X10320" s="256"/>
    </row>
    <row r="10321" spans="24:30" x14ac:dyDescent="0.25">
      <c r="X10321" s="256"/>
    </row>
    <row r="10322" spans="24:30" x14ac:dyDescent="0.25">
      <c r="X10322" s="256"/>
    </row>
    <row r="10323" spans="24:30" x14ac:dyDescent="0.25">
      <c r="X10323" s="256"/>
    </row>
    <row r="10324" spans="24:30" x14ac:dyDescent="0.25">
      <c r="X10324" s="256"/>
    </row>
    <row r="10325" spans="24:30" x14ac:dyDescent="0.25">
      <c r="X10325" s="256"/>
    </row>
    <row r="10326" spans="24:30" x14ac:dyDescent="0.25">
      <c r="X10326" s="256"/>
    </row>
    <row r="10327" spans="24:30" x14ac:dyDescent="0.25">
      <c r="X10327" s="256"/>
    </row>
    <row r="10328" spans="24:30" x14ac:dyDescent="0.25">
      <c r="X10328" s="256"/>
    </row>
    <row r="10329" spans="24:30" x14ac:dyDescent="0.25">
      <c r="X10329" s="256"/>
    </row>
    <row r="10330" spans="24:30" x14ac:dyDescent="0.25">
      <c r="X10330" s="256"/>
    </row>
    <row r="10331" spans="24:30" x14ac:dyDescent="0.25">
      <c r="X10331" s="256"/>
      <c r="Y10331" s="75" t="e">
        <f>IF(AND(#REF!=#REF!,AA10331&lt;#REF!),#REF!,IF(AND(#REF!=#REF!,AA10331&lt;#REF!),#REF!,IF(AND(#REF!=#REF!,AA10331&lt;#REF!),#REF!,IF(AND(#REF!=#REF!,AA10331&gt;=#REF!),#REF!,
IF(AND(#REF!=#REF!,AA10331&lt;#REF!),#REF!,IF(AND(#REF!=#REF!,AA10331&lt;#REF!),#REF!,IF(AND(#REF!=#REF!,AA10331&lt;#REF!),#REF!,IF(AND(#REF!=#REF!,AA10331&gt;=#REF!),#REF!,
IF(AND(#REF!=#REF!,AA10331&lt;#REF!),#REF!,IF(AND(#REF!=#REF!,AA10331&lt;#REF!),#REF!,IF(AND(#REF!=#REF!,AA10331&lt;#REF!),#REF!,IF(AND(#REF!=#REF!,AA10331&gt;=#REF!),#REF!,
IF(AND(#REF!=#REF!,AA10331&lt;#REF!),#REF!,IF(AND(#REF!=#REF!,AA10331&lt;#REF!),#REF!,IF(AND(#REF!=#REF!,AA10331&lt;#REF!),#REF!,IF(AND(#REF!=#REF!,AA10331&gt;=#REF!),#REF!,
IF(AND(#REF!=#REF!,AA10331&lt;#REF!),#REF!,IF(AND(#REF!=#REF!,AA10331&lt;#REF!),#REF!,IF(AND(#REF!=#REF!,AA10331&lt;#REF!),#REF!,IF(AND(#REF!=#REF!,AA10331&gt;=#REF!),#REF!,
IF(AND(#REF!=#REF!,AA10331&lt;#REF!),#REF!,IF(AND(#REF!=#REF!,AA10331&lt;#REF!),#REF!,IF(AND(#REF!=#REF!,AA10331&lt;#REF!),#REF!,IF(AND(#REF!=#REF!,AA10331&gt;=#REF!),#REF!,
IF(AND(#REF!=#REF!,AA10331&lt;#REF!),#REF!,IF(AND(#REF!=#REF!,AA10331&lt;#REF!),#REF!,IF(AND(#REF!=#REF!,AA10331&lt;#REF!),#REF!,IF(AND(#REF!=#REF!,AA10331&gt;=#REF!),#REF!,
IF(AND(#REF!=#REF!,AA10331&lt;#REF!),#REF!,IF(AND(#REF!=#REF!,AA10331&lt;#REF!),#REF!,IF(AND(#REF!=#REF!,AA10331&lt;#REF!),#REF!,IF(AND(#REF!=#REF!,AA10331&gt;=#REF!),#REF!,
IF(AND(#REF!=#REF!,AA10331&lt;#REF!),#REF!,IF(AND(#REF!=#REF!,AA10331&lt;#REF!),#REF!,IF(AND(#REF!=#REF!,AA10331&lt;#REF!),#REF!,IF(AND(#REF!=#REF!,AA10331&gt;=#REF!),#REF!,
IF(AND(#REF!=#REF!,AA10331&lt;#REF!),#REF!,IF(AND(#REF!=#REF!,AA10331&lt;#REF!),#REF!,IF(AND(#REF!=#REF!,AA10331&lt;#REF!),#REF!,IF(AND(#REF!=#REF!,AA10331&gt;=#REF!),#REF!,
IF(AND(#REF!=#REF!,AA10331&lt;#REF!),#REF!,IF(AND(#REF!=#REF!,AA10331&lt;#REF!),#REF!,IF(AND(#REF!=#REF!,AA10331&lt;#REF!),#REF!,IF(AND(#REF!=#REF!,AA10331&gt;=#REF!),#REF!,
IF(AND(#REF!=#REF!,AA10331&lt;#REF!),#REF!,IF(AND(#REF!=#REF!,AA10331&lt;#REF!),#REF!,IF(AND(#REF!=#REF!,AA10331&lt;#REF!),#REF!,IF(AND(#REF!=#REF!,AA10331&gt;=#REF!),#REF!,"Tam"))))))))))))))))))))))))))))))))))))))))))))))))</f>
        <v>#REF!</v>
      </c>
      <c r="Z10331" s="64"/>
      <c r="AA10331" s="1">
        <v>100</v>
      </c>
      <c r="AB10331" s="1">
        <v>140</v>
      </c>
      <c r="AC10331" s="1">
        <v>200</v>
      </c>
      <c r="AD10331" s="1">
        <v>280</v>
      </c>
    </row>
    <row r="10332" spans="24:30" x14ac:dyDescent="0.25">
      <c r="X10332" s="256"/>
      <c r="Z10332" s="64" t="s">
        <v>5</v>
      </c>
      <c r="AA10332" s="1" t="e">
        <f>#REF!-10</f>
        <v>#REF!</v>
      </c>
      <c r="AB10332" s="1" t="e">
        <f>#REF!-10</f>
        <v>#REF!</v>
      </c>
      <c r="AC10332" s="1" t="e">
        <f>#REF!-10</f>
        <v>#REF!</v>
      </c>
      <c r="AD10332" s="1" t="e">
        <f>#REF!-10</f>
        <v>#REF!</v>
      </c>
    </row>
    <row r="10333" spans="24:30" x14ac:dyDescent="0.25">
      <c r="X10333" s="256"/>
      <c r="Z10333" s="64" t="s">
        <v>7</v>
      </c>
      <c r="AA10333" s="1" t="e">
        <f>#REF!-10</f>
        <v>#REF!</v>
      </c>
      <c r="AB10333" s="1" t="e">
        <f>#REF!-10</f>
        <v>#REF!</v>
      </c>
      <c r="AC10333" s="1" t="e">
        <f>#REF!-10</f>
        <v>#REF!</v>
      </c>
      <c r="AD10333" s="1" t="e">
        <f>#REF!-10</f>
        <v>#REF!</v>
      </c>
    </row>
    <row r="10334" spans="24:30" x14ac:dyDescent="0.25">
      <c r="X10334" s="256"/>
      <c r="Z10334" s="64" t="s">
        <v>6</v>
      </c>
      <c r="AA10334" s="1" t="e">
        <f>#REF!-10</f>
        <v>#REF!</v>
      </c>
      <c r="AB10334" s="1" t="e">
        <f>#REF!-10</f>
        <v>#REF!</v>
      </c>
      <c r="AC10334" s="1" t="e">
        <f>#REF!-10</f>
        <v>#REF!</v>
      </c>
      <c r="AD10334" s="1" t="e">
        <f>#REF!-10</f>
        <v>#REF!</v>
      </c>
    </row>
    <row r="10335" spans="24:30" x14ac:dyDescent="0.25">
      <c r="X10335" s="256"/>
      <c r="Z10335" s="64" t="s">
        <v>9</v>
      </c>
      <c r="AA10335" s="1" t="e">
        <f>#REF!-10</f>
        <v>#REF!</v>
      </c>
      <c r="AB10335" s="1" t="e">
        <f>#REF!-10</f>
        <v>#REF!</v>
      </c>
      <c r="AC10335" s="1" t="e">
        <f>#REF!-10</f>
        <v>#REF!</v>
      </c>
      <c r="AD10335" s="1" t="e">
        <f>#REF!-10</f>
        <v>#REF!</v>
      </c>
    </row>
    <row r="10336" spans="24:30" x14ac:dyDescent="0.25">
      <c r="X10336" s="256"/>
      <c r="Z10336" s="64" t="s">
        <v>10</v>
      </c>
      <c r="AA10336" s="1" t="e">
        <f>#REF!-10</f>
        <v>#REF!</v>
      </c>
      <c r="AB10336" s="1" t="e">
        <f>#REF!-10</f>
        <v>#REF!</v>
      </c>
      <c r="AC10336" s="1" t="e">
        <f>#REF!-10</f>
        <v>#REF!</v>
      </c>
      <c r="AD10336" s="1" t="e">
        <f>#REF!-10</f>
        <v>#REF!</v>
      </c>
    </row>
    <row r="10337" spans="24:30" x14ac:dyDescent="0.25">
      <c r="X10337" s="256"/>
      <c r="Z10337" s="64" t="s">
        <v>11</v>
      </c>
      <c r="AA10337" s="1" t="e">
        <f>#REF!-10</f>
        <v>#REF!</v>
      </c>
      <c r="AB10337" s="1" t="e">
        <f>#REF!-10</f>
        <v>#REF!</v>
      </c>
      <c r="AC10337" s="1" t="e">
        <f>#REF!-10</f>
        <v>#REF!</v>
      </c>
      <c r="AD10337" s="1" t="e">
        <f>#REF!-10</f>
        <v>#REF!</v>
      </c>
    </row>
    <row r="10338" spans="24:30" x14ac:dyDescent="0.25">
      <c r="X10338" s="256"/>
      <c r="Z10338" s="64" t="s">
        <v>13</v>
      </c>
      <c r="AA10338" s="1" t="e">
        <f>#REF!-10</f>
        <v>#REF!</v>
      </c>
      <c r="AB10338" s="1" t="e">
        <f>#REF!-10</f>
        <v>#REF!</v>
      </c>
      <c r="AC10338" s="1" t="e">
        <f>#REF!-10</f>
        <v>#REF!</v>
      </c>
      <c r="AD10338" s="1" t="e">
        <f>#REF!-10</f>
        <v>#REF!</v>
      </c>
    </row>
    <row r="10339" spans="24:30" x14ac:dyDescent="0.25">
      <c r="X10339" s="256"/>
      <c r="Z10339" s="64" t="s">
        <v>18</v>
      </c>
      <c r="AA10339" s="1" t="e">
        <f>#REF!-10</f>
        <v>#REF!</v>
      </c>
      <c r="AB10339" s="1" t="e">
        <f>#REF!-10</f>
        <v>#REF!</v>
      </c>
      <c r="AC10339" s="1" t="e">
        <f>#REF!-10</f>
        <v>#REF!</v>
      </c>
      <c r="AD10339" s="1" t="e">
        <f>#REF!-10</f>
        <v>#REF!</v>
      </c>
    </row>
    <row r="10340" spans="24:30" x14ac:dyDescent="0.25">
      <c r="X10340" s="256"/>
      <c r="Z10340" s="64" t="s">
        <v>199</v>
      </c>
      <c r="AA10340" s="1"/>
      <c r="AB10340" s="1"/>
      <c r="AC10340" s="1"/>
      <c r="AD10340" s="1"/>
    </row>
    <row r="10341" spans="24:30" x14ac:dyDescent="0.25">
      <c r="X10341" s="256"/>
      <c r="Z10341" s="64" t="s">
        <v>135</v>
      </c>
      <c r="AA10341" s="1" t="e">
        <f>#REF!-10</f>
        <v>#REF!</v>
      </c>
      <c r="AB10341" s="1" t="e">
        <f>#REF!-10</f>
        <v>#REF!</v>
      </c>
      <c r="AC10341" s="1" t="e">
        <f>#REF!-10</f>
        <v>#REF!</v>
      </c>
      <c r="AD10341" s="1" t="e">
        <f>#REF!-10</f>
        <v>#REF!</v>
      </c>
    </row>
    <row r="10342" spans="24:30" x14ac:dyDescent="0.25">
      <c r="X10342" s="256"/>
      <c r="Z10342" s="64" t="s">
        <v>20</v>
      </c>
      <c r="AA10342" s="1"/>
      <c r="AB10342" s="1"/>
      <c r="AC10342" s="1"/>
      <c r="AD10342" s="1"/>
    </row>
    <row r="10343" spans="24:30" x14ac:dyDescent="0.25">
      <c r="X10343" s="256"/>
      <c r="Z10343" s="16"/>
      <c r="AA10343" s="51"/>
      <c r="AB10343" s="1"/>
      <c r="AC10343" s="1"/>
      <c r="AD10343" s="1"/>
    </row>
    <row r="10344" spans="24:30" x14ac:dyDescent="0.25">
      <c r="X10344" s="256"/>
      <c r="Z10344" s="64"/>
      <c r="AA10344" s="1">
        <v>300</v>
      </c>
      <c r="AB10344" s="1">
        <v>340</v>
      </c>
      <c r="AC10344" s="1">
        <v>380</v>
      </c>
      <c r="AD10344" s="1">
        <v>420</v>
      </c>
    </row>
    <row r="10345" spans="24:30" x14ac:dyDescent="0.25">
      <c r="X10345" s="256"/>
      <c r="Z10345" s="64" t="s">
        <v>19</v>
      </c>
      <c r="AA10345" s="1" t="e">
        <f>#REF!-10</f>
        <v>#REF!</v>
      </c>
      <c r="AB10345" s="1" t="e">
        <f>#REF!-10</f>
        <v>#REF!</v>
      </c>
      <c r="AC10345" s="1" t="e">
        <f>#REF!-10</f>
        <v>#REF!</v>
      </c>
      <c r="AD10345" s="1" t="e">
        <f>#REF!-10</f>
        <v>#REF!</v>
      </c>
    </row>
    <row r="10346" spans="24:30" x14ac:dyDescent="0.25">
      <c r="X10346" s="256"/>
    </row>
    <row r="10347" spans="24:30" x14ac:dyDescent="0.25">
      <c r="X10347" s="256"/>
    </row>
    <row r="10348" spans="24:30" x14ac:dyDescent="0.25">
      <c r="X10348" s="256"/>
    </row>
    <row r="10349" spans="24:30" x14ac:dyDescent="0.25">
      <c r="X10349" s="256"/>
    </row>
    <row r="10350" spans="24:30" x14ac:dyDescent="0.25">
      <c r="X10350" s="256"/>
    </row>
    <row r="10351" spans="24:30" x14ac:dyDescent="0.25">
      <c r="X10351" s="256"/>
    </row>
    <row r="10352" spans="24:30" x14ac:dyDescent="0.25">
      <c r="X10352" s="256"/>
    </row>
    <row r="10353" spans="24:25" x14ac:dyDescent="0.25">
      <c r="X10353" s="256"/>
    </row>
    <row r="10354" spans="24:25" x14ac:dyDescent="0.25">
      <c r="X10354" s="256"/>
    </row>
    <row r="10355" spans="24:25" x14ac:dyDescent="0.25">
      <c r="X10355" s="256"/>
    </row>
    <row r="10356" spans="24:25" x14ac:dyDescent="0.25">
      <c r="X10356" s="256"/>
    </row>
    <row r="10357" spans="24:25" x14ac:dyDescent="0.25">
      <c r="X10357" s="256"/>
    </row>
    <row r="10358" spans="24:25" x14ac:dyDescent="0.25">
      <c r="X10358" s="256"/>
    </row>
    <row r="10359" spans="24:25" x14ac:dyDescent="0.25">
      <c r="X10359" s="256"/>
    </row>
    <row r="10360" spans="24:25" x14ac:dyDescent="0.25">
      <c r="X10360" s="256"/>
    </row>
    <row r="10361" spans="24:25" x14ac:dyDescent="0.25">
      <c r="X10361" s="256"/>
      <c r="Y10361" s="257" t="s">
        <v>151</v>
      </c>
    </row>
    <row r="10362" spans="24:25" x14ac:dyDescent="0.25">
      <c r="X10362" s="256"/>
      <c r="Y10362" s="153">
        <f>SUMIF(F$10332:F$1048576,"Trendyol",I$10332:I$1048576)</f>
        <v>0</v>
      </c>
    </row>
    <row r="10363" spans="24:25" x14ac:dyDescent="0.25">
      <c r="X10363" s="256"/>
      <c r="Y10363" s="153">
        <f>SUMIF(F$10332:F$1048576,"Trendyol",I$10332:I$1048576)</f>
        <v>0</v>
      </c>
    </row>
    <row r="10364" spans="24:25" x14ac:dyDescent="0.25">
      <c r="X10364" s="256"/>
      <c r="Y10364" s="153">
        <f>SUMIF(F$10332:F$1048576,"Yemeksepeti",I$10332:I$1048576)</f>
        <v>0</v>
      </c>
    </row>
    <row r="10365" spans="24:25" x14ac:dyDescent="0.25">
      <c r="X10365" s="256"/>
      <c r="Y10365" s="153">
        <f>SUMIF(F$10331:F$1048576,"Getir yemek",I$10331:I$1048576)</f>
        <v>0</v>
      </c>
    </row>
    <row r="10366" spans="24:25" x14ac:dyDescent="0.25">
      <c r="X10366" s="256"/>
      <c r="Y10366" s="153">
        <f>SUMIF(F$10331:F$1048576,"Restoran Satış",I$10331:I$1048576)</f>
        <v>0</v>
      </c>
    </row>
    <row r="10367" spans="24:25" x14ac:dyDescent="0.25">
      <c r="X10367" s="256"/>
      <c r="Y10367" s="153">
        <f>Y10364+Y10365+Y10366+Y10363+Y10362</f>
        <v>0</v>
      </c>
    </row>
    <row r="10368" spans="24:25" x14ac:dyDescent="0.25">
      <c r="X10368" s="256"/>
    </row>
    <row r="10369" spans="24:24" x14ac:dyDescent="0.25">
      <c r="X10369" s="256"/>
    </row>
    <row r="10370" spans="24:24" x14ac:dyDescent="0.25">
      <c r="X10370" s="256"/>
    </row>
    <row r="10371" spans="24:24" x14ac:dyDescent="0.25">
      <c r="X10371" s="256"/>
    </row>
    <row r="10372" spans="24:24" x14ac:dyDescent="0.25">
      <c r="X10372" s="256"/>
    </row>
    <row r="10373" spans="24:24" x14ac:dyDescent="0.25">
      <c r="X10373" s="256"/>
    </row>
    <row r="10374" spans="24:24" x14ac:dyDescent="0.25">
      <c r="X10374" s="256"/>
    </row>
    <row r="10375" spans="24:24" x14ac:dyDescent="0.25">
      <c r="X10375" s="256"/>
    </row>
    <row r="10376" spans="24:24" x14ac:dyDescent="0.25">
      <c r="X10376" s="256"/>
    </row>
    <row r="10377" spans="24:24" x14ac:dyDescent="0.25">
      <c r="X10377" s="256"/>
    </row>
    <row r="10378" spans="24:24" x14ac:dyDescent="0.25">
      <c r="X10378" s="256"/>
    </row>
    <row r="10379" spans="24:24" x14ac:dyDescent="0.25">
      <c r="X10379" s="256"/>
    </row>
    <row r="10380" spans="24:24" x14ac:dyDescent="0.25">
      <c r="X10380" s="256"/>
    </row>
    <row r="10381" spans="24:24" x14ac:dyDescent="0.25">
      <c r="X10381" s="256"/>
    </row>
    <row r="10382" spans="24:24" x14ac:dyDescent="0.25">
      <c r="X10382" s="256"/>
    </row>
    <row r="10383" spans="24:24" x14ac:dyDescent="0.25">
      <c r="X10383" s="256"/>
    </row>
    <row r="10384" spans="24:24" x14ac:dyDescent="0.25">
      <c r="X10384" s="256"/>
    </row>
    <row r="10385" spans="24:26" x14ac:dyDescent="0.25">
      <c r="X10385" s="256"/>
    </row>
    <row r="10386" spans="24:26" x14ac:dyDescent="0.25">
      <c r="X10386" s="256"/>
      <c r="Y10386" s="280"/>
      <c r="Z10386" s="280"/>
    </row>
    <row r="10387" spans="24:26" x14ac:dyDescent="0.25">
      <c r="X10387" s="256"/>
    </row>
    <row r="10388" spans="24:26" x14ac:dyDescent="0.25">
      <c r="X10388" s="256"/>
    </row>
    <row r="10389" spans="24:26" x14ac:dyDescent="0.25">
      <c r="X10389" s="256"/>
    </row>
    <row r="10390" spans="24:26" x14ac:dyDescent="0.25">
      <c r="X10390" s="256"/>
    </row>
    <row r="10391" spans="24:26" x14ac:dyDescent="0.25">
      <c r="X10391" s="256"/>
    </row>
    <row r="10392" spans="24:26" x14ac:dyDescent="0.25">
      <c r="X10392" s="256"/>
    </row>
    <row r="10393" spans="24:26" x14ac:dyDescent="0.25">
      <c r="X10393" s="256"/>
    </row>
    <row r="10394" spans="24:26" x14ac:dyDescent="0.25">
      <c r="X10394" s="256"/>
    </row>
    <row r="10395" spans="24:26" x14ac:dyDescent="0.25">
      <c r="X10395" s="256"/>
    </row>
    <row r="10396" spans="24:26" x14ac:dyDescent="0.25">
      <c r="X10396" s="256"/>
    </row>
    <row r="10397" spans="24:26" x14ac:dyDescent="0.25">
      <c r="X10397" s="256"/>
    </row>
    <row r="10398" spans="24:26" x14ac:dyDescent="0.25">
      <c r="X10398" s="256"/>
    </row>
    <row r="10399" spans="24:26" x14ac:dyDescent="0.25">
      <c r="X10399" s="256"/>
    </row>
    <row r="10400" spans="24:26" x14ac:dyDescent="0.25">
      <c r="X10400" s="256"/>
    </row>
    <row r="10401" spans="24:24" x14ac:dyDescent="0.25">
      <c r="X10401" s="256"/>
    </row>
    <row r="10402" spans="24:24" x14ac:dyDescent="0.25">
      <c r="X10402" s="256"/>
    </row>
    <row r="10403" spans="24:24" x14ac:dyDescent="0.25">
      <c r="X10403" s="256"/>
    </row>
    <row r="10404" spans="24:24" x14ac:dyDescent="0.25">
      <c r="X10404" s="256"/>
    </row>
    <row r="10405" spans="24:24" x14ac:dyDescent="0.25">
      <c r="X10405" s="256"/>
    </row>
    <row r="10406" spans="24:24" x14ac:dyDescent="0.25">
      <c r="X10406" s="256"/>
    </row>
    <row r="10407" spans="24:24" x14ac:dyDescent="0.25">
      <c r="X10407" s="256"/>
    </row>
    <row r="10408" spans="24:24" x14ac:dyDescent="0.25">
      <c r="X10408" s="256"/>
    </row>
    <row r="10409" spans="24:24" x14ac:dyDescent="0.25">
      <c r="X10409" s="256"/>
    </row>
    <row r="10410" spans="24:24" x14ac:dyDescent="0.25">
      <c r="X10410" s="256"/>
    </row>
    <row r="10411" spans="24:24" x14ac:dyDescent="0.25">
      <c r="X10411" s="256"/>
    </row>
    <row r="10412" spans="24:24" x14ac:dyDescent="0.25">
      <c r="X10412" s="256"/>
    </row>
    <row r="10413" spans="24:24" x14ac:dyDescent="0.25">
      <c r="X10413" s="256"/>
    </row>
    <row r="10414" spans="24:24" x14ac:dyDescent="0.25">
      <c r="X10414" s="256"/>
    </row>
    <row r="10415" spans="24:24" x14ac:dyDescent="0.25">
      <c r="X10415" s="256"/>
    </row>
    <row r="10416" spans="24:24" x14ac:dyDescent="0.25">
      <c r="X10416" s="256"/>
    </row>
    <row r="10417" spans="24:24" x14ac:dyDescent="0.25">
      <c r="X10417" s="256"/>
    </row>
    <row r="10418" spans="24:24" x14ac:dyDescent="0.25">
      <c r="X10418" s="256"/>
    </row>
    <row r="10419" spans="24:24" x14ac:dyDescent="0.25">
      <c r="X10419" s="256"/>
    </row>
    <row r="10420" spans="24:24" x14ac:dyDescent="0.25">
      <c r="X10420" s="256"/>
    </row>
    <row r="10421" spans="24:24" x14ac:dyDescent="0.25">
      <c r="X10421" s="256"/>
    </row>
    <row r="10422" spans="24:24" x14ac:dyDescent="0.25">
      <c r="X10422" s="256"/>
    </row>
    <row r="10423" spans="24:24" x14ac:dyDescent="0.25">
      <c r="X10423" s="256"/>
    </row>
    <row r="10424" spans="24:24" x14ac:dyDescent="0.25">
      <c r="X10424" s="256"/>
    </row>
    <row r="10425" spans="24:24" x14ac:dyDescent="0.25">
      <c r="X10425" s="256"/>
    </row>
    <row r="10426" spans="24:24" x14ac:dyDescent="0.25">
      <c r="X10426" s="256"/>
    </row>
    <row r="10427" spans="24:24" x14ac:dyDescent="0.25">
      <c r="X10427" s="256"/>
    </row>
    <row r="10428" spans="24:24" x14ac:dyDescent="0.25">
      <c r="X10428" s="256"/>
    </row>
    <row r="10429" spans="24:24" x14ac:dyDescent="0.25">
      <c r="X10429" s="256"/>
    </row>
    <row r="10430" spans="24:24" x14ac:dyDescent="0.25">
      <c r="X10430" s="256"/>
    </row>
    <row r="10431" spans="24:24" x14ac:dyDescent="0.25">
      <c r="X10431" s="256"/>
    </row>
    <row r="10432" spans="24:24" x14ac:dyDescent="0.25">
      <c r="X10432" s="256"/>
    </row>
    <row r="10433" spans="24:24" x14ac:dyDescent="0.25">
      <c r="X10433" s="256"/>
    </row>
    <row r="10434" spans="24:24" x14ac:dyDescent="0.25">
      <c r="X10434" s="256"/>
    </row>
    <row r="10435" spans="24:24" x14ac:dyDescent="0.25">
      <c r="X10435" s="256"/>
    </row>
    <row r="10436" spans="24:24" x14ac:dyDescent="0.25">
      <c r="X10436" s="256"/>
    </row>
    <row r="10437" spans="24:24" x14ac:dyDescent="0.25">
      <c r="X10437" s="256"/>
    </row>
    <row r="10438" spans="24:24" x14ac:dyDescent="0.25">
      <c r="X10438" s="256"/>
    </row>
    <row r="10439" spans="24:24" x14ac:dyDescent="0.25">
      <c r="X10439" s="256"/>
    </row>
    <row r="10440" spans="24:24" x14ac:dyDescent="0.25">
      <c r="X10440" s="256"/>
    </row>
    <row r="10441" spans="24:24" x14ac:dyDescent="0.25">
      <c r="X10441" s="256"/>
    </row>
    <row r="10442" spans="24:24" x14ac:dyDescent="0.25">
      <c r="X10442" s="256"/>
    </row>
    <row r="10443" spans="24:24" x14ac:dyDescent="0.25">
      <c r="X10443" s="256"/>
    </row>
    <row r="10444" spans="24:24" x14ac:dyDescent="0.25">
      <c r="X10444" s="256"/>
    </row>
    <row r="10445" spans="24:24" x14ac:dyDescent="0.25">
      <c r="X10445" s="256"/>
    </row>
    <row r="10446" spans="24:24" x14ac:dyDescent="0.25">
      <c r="X10446" s="256"/>
    </row>
    <row r="10447" spans="24:24" x14ac:dyDescent="0.25">
      <c r="X10447" s="256"/>
    </row>
    <row r="10448" spans="24:24" x14ac:dyDescent="0.25">
      <c r="X10448" s="256"/>
    </row>
    <row r="10449" spans="24:24" x14ac:dyDescent="0.25">
      <c r="X10449" s="256"/>
    </row>
    <row r="10450" spans="24:24" x14ac:dyDescent="0.25">
      <c r="X10450" s="256"/>
    </row>
    <row r="10451" spans="24:24" x14ac:dyDescent="0.25">
      <c r="X10451" s="256"/>
    </row>
    <row r="10452" spans="24:24" x14ac:dyDescent="0.25">
      <c r="X10452" s="256"/>
    </row>
    <row r="10453" spans="24:24" x14ac:dyDescent="0.25">
      <c r="X10453" s="256"/>
    </row>
    <row r="10454" spans="24:24" x14ac:dyDescent="0.25">
      <c r="X10454" s="256"/>
    </row>
    <row r="10455" spans="24:24" x14ac:dyDescent="0.25">
      <c r="X10455" s="256"/>
    </row>
    <row r="10456" spans="24:24" x14ac:dyDescent="0.25">
      <c r="X10456" s="256"/>
    </row>
    <row r="10457" spans="24:24" x14ac:dyDescent="0.25">
      <c r="X10457" s="256"/>
    </row>
    <row r="10458" spans="24:24" x14ac:dyDescent="0.25">
      <c r="X10458" s="256"/>
    </row>
    <row r="10459" spans="24:24" x14ac:dyDescent="0.25">
      <c r="X10459" s="256"/>
    </row>
    <row r="10460" spans="24:24" x14ac:dyDescent="0.25">
      <c r="X10460" s="256"/>
    </row>
    <row r="10461" spans="24:24" x14ac:dyDescent="0.25">
      <c r="X10461" s="256"/>
    </row>
    <row r="10462" spans="24:24" x14ac:dyDescent="0.25">
      <c r="X10462" s="256"/>
    </row>
    <row r="10463" spans="24:24" x14ac:dyDescent="0.25">
      <c r="X10463" s="256"/>
    </row>
    <row r="10464" spans="24:24" x14ac:dyDescent="0.25">
      <c r="X10464" s="256"/>
    </row>
    <row r="10465" spans="24:24" x14ac:dyDescent="0.25">
      <c r="X10465" s="256"/>
    </row>
    <row r="10466" spans="24:24" x14ac:dyDescent="0.25">
      <c r="X10466" s="256"/>
    </row>
    <row r="10467" spans="24:24" x14ac:dyDescent="0.25">
      <c r="X10467" s="258">
        <v>45689</v>
      </c>
    </row>
    <row r="10468" spans="24:24" x14ac:dyDescent="0.25">
      <c r="X10468" s="258">
        <v>45690</v>
      </c>
    </row>
    <row r="10469" spans="24:24" x14ac:dyDescent="0.25">
      <c r="X10469" s="258">
        <v>45691</v>
      </c>
    </row>
    <row r="10470" spans="24:24" x14ac:dyDescent="0.25">
      <c r="X10470" s="258">
        <v>45692</v>
      </c>
    </row>
    <row r="10471" spans="24:24" x14ac:dyDescent="0.25">
      <c r="X10471" s="258">
        <v>45693</v>
      </c>
    </row>
    <row r="10472" spans="24:24" x14ac:dyDescent="0.25">
      <c r="X10472" s="258">
        <v>45694</v>
      </c>
    </row>
    <row r="10473" spans="24:24" x14ac:dyDescent="0.25">
      <c r="X10473" s="258">
        <v>45704</v>
      </c>
    </row>
    <row r="10474" spans="24:24" x14ac:dyDescent="0.25">
      <c r="X10474" s="258">
        <v>45705</v>
      </c>
    </row>
    <row r="10475" spans="24:24" x14ac:dyDescent="0.25">
      <c r="X10475" s="258">
        <v>45706</v>
      </c>
    </row>
    <row r="10476" spans="24:24" x14ac:dyDescent="0.25">
      <c r="X10476" s="258">
        <v>45707</v>
      </c>
    </row>
    <row r="10477" spans="24:24" x14ac:dyDescent="0.25">
      <c r="X10477" s="258">
        <v>45708</v>
      </c>
    </row>
    <row r="10478" spans="24:24" x14ac:dyDescent="0.25">
      <c r="X10478" s="258">
        <v>45709</v>
      </c>
    </row>
    <row r="10479" spans="24:24" x14ac:dyDescent="0.25">
      <c r="X10479" s="258">
        <v>45710</v>
      </c>
    </row>
    <row r="10480" spans="24:24" x14ac:dyDescent="0.25">
      <c r="X10480" s="258">
        <v>45711</v>
      </c>
    </row>
    <row r="10481" spans="24:24" x14ac:dyDescent="0.25">
      <c r="X10481" s="258">
        <v>45712</v>
      </c>
    </row>
    <row r="10482" spans="24:24" x14ac:dyDescent="0.25">
      <c r="X10482" s="258">
        <v>45713</v>
      </c>
    </row>
    <row r="10483" spans="24:24" x14ac:dyDescent="0.25">
      <c r="X10483" s="258">
        <v>45714</v>
      </c>
    </row>
    <row r="10484" spans="24:24" x14ac:dyDescent="0.25">
      <c r="X10484" s="258">
        <v>45715</v>
      </c>
    </row>
    <row r="10485" spans="24:24" x14ac:dyDescent="0.25">
      <c r="X10485" s="258">
        <v>45716</v>
      </c>
    </row>
    <row r="10486" spans="24:24" x14ac:dyDescent="0.25">
      <c r="X10486" s="258">
        <v>45717</v>
      </c>
    </row>
    <row r="10487" spans="24:24" x14ac:dyDescent="0.25">
      <c r="X10487" s="258">
        <v>45718</v>
      </c>
    </row>
    <row r="10488" spans="24:24" x14ac:dyDescent="0.25">
      <c r="X10488" s="258">
        <v>45719</v>
      </c>
    </row>
    <row r="10489" spans="24:24" x14ac:dyDescent="0.25">
      <c r="X10489" s="258">
        <v>45720</v>
      </c>
    </row>
    <row r="10490" spans="24:24" x14ac:dyDescent="0.25">
      <c r="X10490" s="258">
        <v>45721</v>
      </c>
    </row>
    <row r="10491" spans="24:24" x14ac:dyDescent="0.25">
      <c r="X10491" s="258">
        <v>45722</v>
      </c>
    </row>
    <row r="10492" spans="24:24" x14ac:dyDescent="0.25">
      <c r="X10492" s="258">
        <v>45723</v>
      </c>
    </row>
    <row r="10493" spans="24:24" x14ac:dyDescent="0.25">
      <c r="X10493" s="258">
        <v>45724</v>
      </c>
    </row>
    <row r="10494" spans="24:24" x14ac:dyDescent="0.25">
      <c r="X10494" s="258">
        <v>45725</v>
      </c>
    </row>
    <row r="10495" spans="24:24" x14ac:dyDescent="0.25">
      <c r="X10495" s="258">
        <v>45726</v>
      </c>
    </row>
    <row r="10496" spans="24:24" x14ac:dyDescent="0.25">
      <c r="X10496" s="258">
        <v>45727</v>
      </c>
    </row>
    <row r="10497" spans="24:24" x14ac:dyDescent="0.25">
      <c r="X10497" s="258">
        <v>45728</v>
      </c>
    </row>
    <row r="10498" spans="24:24" x14ac:dyDescent="0.25">
      <c r="X10498" s="258">
        <v>45729</v>
      </c>
    </row>
    <row r="10499" spans="24:24" x14ac:dyDescent="0.25">
      <c r="X10499" s="258">
        <v>45730</v>
      </c>
    </row>
    <row r="10500" spans="24:24" x14ac:dyDescent="0.25">
      <c r="X10500" s="258">
        <v>45731</v>
      </c>
    </row>
    <row r="10501" spans="24:24" x14ac:dyDescent="0.25">
      <c r="X10501" s="258">
        <v>45732</v>
      </c>
    </row>
    <row r="10502" spans="24:24" x14ac:dyDescent="0.25">
      <c r="X10502" s="258">
        <v>45733</v>
      </c>
    </row>
    <row r="10503" spans="24:24" x14ac:dyDescent="0.25">
      <c r="X10503" s="258">
        <v>45734</v>
      </c>
    </row>
    <row r="10504" spans="24:24" x14ac:dyDescent="0.25">
      <c r="X10504" s="258">
        <v>45735</v>
      </c>
    </row>
    <row r="10505" spans="24:24" x14ac:dyDescent="0.25">
      <c r="X10505" s="258">
        <v>45736</v>
      </c>
    </row>
    <row r="10506" spans="24:24" x14ac:dyDescent="0.25">
      <c r="X10506" s="258">
        <v>45737</v>
      </c>
    </row>
    <row r="10507" spans="24:24" x14ac:dyDescent="0.25">
      <c r="X10507" s="258">
        <v>45738</v>
      </c>
    </row>
    <row r="10508" spans="24:24" x14ac:dyDescent="0.25">
      <c r="X10508" s="258">
        <v>45739</v>
      </c>
    </row>
    <row r="10509" spans="24:24" x14ac:dyDescent="0.25">
      <c r="X10509" s="258">
        <v>45740</v>
      </c>
    </row>
    <row r="10510" spans="24:24" x14ac:dyDescent="0.25">
      <c r="X10510" s="258">
        <v>45741</v>
      </c>
    </row>
    <row r="10511" spans="24:24" x14ac:dyDescent="0.25">
      <c r="X10511" s="258">
        <v>45742</v>
      </c>
    </row>
    <row r="10512" spans="24:24" x14ac:dyDescent="0.25">
      <c r="X10512" s="258">
        <v>45743</v>
      </c>
    </row>
    <row r="10513" spans="24:24" x14ac:dyDescent="0.25">
      <c r="X10513" s="258">
        <v>45744</v>
      </c>
    </row>
    <row r="10514" spans="24:24" x14ac:dyDescent="0.25">
      <c r="X10514" s="258">
        <v>45745</v>
      </c>
    </row>
    <row r="10515" spans="24:24" x14ac:dyDescent="0.25">
      <c r="X10515" s="258">
        <v>45746</v>
      </c>
    </row>
    <row r="10516" spans="24:24" x14ac:dyDescent="0.25">
      <c r="X10516" s="258">
        <v>45747</v>
      </c>
    </row>
    <row r="10517" spans="24:24" x14ac:dyDescent="0.25">
      <c r="X10517" s="258">
        <v>45748</v>
      </c>
    </row>
    <row r="10518" spans="24:24" x14ac:dyDescent="0.25">
      <c r="X10518" s="258">
        <v>45749</v>
      </c>
    </row>
    <row r="10519" spans="24:24" x14ac:dyDescent="0.25">
      <c r="X10519" s="258">
        <v>45750</v>
      </c>
    </row>
    <row r="10520" spans="24:24" x14ac:dyDescent="0.25">
      <c r="X10520" s="258">
        <v>45751</v>
      </c>
    </row>
    <row r="10521" spans="24:24" x14ac:dyDescent="0.25">
      <c r="X10521" s="258">
        <v>45752</v>
      </c>
    </row>
    <row r="10522" spans="24:24" x14ac:dyDescent="0.25">
      <c r="X10522" s="258">
        <v>45753</v>
      </c>
    </row>
    <row r="10523" spans="24:24" x14ac:dyDescent="0.25">
      <c r="X10523" s="258">
        <v>45754</v>
      </c>
    </row>
    <row r="10524" spans="24:24" x14ac:dyDescent="0.25">
      <c r="X10524" s="258">
        <v>45755</v>
      </c>
    </row>
    <row r="10525" spans="24:24" x14ac:dyDescent="0.25">
      <c r="X10525" s="258">
        <v>45756</v>
      </c>
    </row>
    <row r="10526" spans="24:24" x14ac:dyDescent="0.25">
      <c r="X10526" s="258">
        <v>45757</v>
      </c>
    </row>
    <row r="10527" spans="24:24" x14ac:dyDescent="0.25">
      <c r="X10527" s="258">
        <v>45758</v>
      </c>
    </row>
    <row r="10528" spans="24:24" x14ac:dyDescent="0.25">
      <c r="X10528" s="258">
        <v>45759</v>
      </c>
    </row>
    <row r="10529" spans="24:24" x14ac:dyDescent="0.25">
      <c r="X10529" s="258">
        <v>45760</v>
      </c>
    </row>
    <row r="10530" spans="24:24" x14ac:dyDescent="0.25">
      <c r="X10530" s="258">
        <v>45761</v>
      </c>
    </row>
    <row r="10531" spans="24:24" x14ac:dyDescent="0.25">
      <c r="X10531" s="258">
        <v>45762</v>
      </c>
    </row>
    <row r="10532" spans="24:24" x14ac:dyDescent="0.25">
      <c r="X10532" s="258">
        <v>45763</v>
      </c>
    </row>
    <row r="10533" spans="24:24" x14ac:dyDescent="0.25">
      <c r="X10533" s="258">
        <v>45764</v>
      </c>
    </row>
    <row r="10534" spans="24:24" x14ac:dyDescent="0.25">
      <c r="X10534" s="258">
        <v>45765</v>
      </c>
    </row>
    <row r="10535" spans="24:24" x14ac:dyDescent="0.25">
      <c r="X10535" s="258">
        <v>45766</v>
      </c>
    </row>
    <row r="10536" spans="24:24" x14ac:dyDescent="0.25">
      <c r="X10536" s="258">
        <v>45767</v>
      </c>
    </row>
    <row r="10537" spans="24:24" x14ac:dyDescent="0.25">
      <c r="X10537" s="258">
        <v>45768</v>
      </c>
    </row>
    <row r="10538" spans="24:24" x14ac:dyDescent="0.25">
      <c r="X10538" s="258">
        <v>45769</v>
      </c>
    </row>
    <row r="10539" spans="24:24" x14ac:dyDescent="0.25">
      <c r="X10539" s="258">
        <v>45770</v>
      </c>
    </row>
    <row r="10540" spans="24:24" x14ac:dyDescent="0.25">
      <c r="X10540" s="258">
        <v>45771</v>
      </c>
    </row>
    <row r="10541" spans="24:24" x14ac:dyDescent="0.25">
      <c r="X10541" s="258">
        <v>45772</v>
      </c>
    </row>
    <row r="10542" spans="24:24" x14ac:dyDescent="0.25">
      <c r="X10542" s="258">
        <v>45773</v>
      </c>
    </row>
    <row r="10543" spans="24:24" x14ac:dyDescent="0.25">
      <c r="X10543" s="258">
        <v>45774</v>
      </c>
    </row>
    <row r="10544" spans="24:24" x14ac:dyDescent="0.25">
      <c r="X10544" s="258">
        <v>45775</v>
      </c>
    </row>
    <row r="10545" spans="24:24" x14ac:dyDescent="0.25">
      <c r="X10545" s="258">
        <v>45776</v>
      </c>
    </row>
    <row r="10546" spans="24:24" x14ac:dyDescent="0.25">
      <c r="X10546" s="258">
        <v>45777</v>
      </c>
    </row>
    <row r="10547" spans="24:24" x14ac:dyDescent="0.25">
      <c r="X10547" s="258">
        <v>45778</v>
      </c>
    </row>
    <row r="10548" spans="24:24" x14ac:dyDescent="0.25">
      <c r="X10548" s="258">
        <v>45779</v>
      </c>
    </row>
    <row r="10549" spans="24:24" x14ac:dyDescent="0.25">
      <c r="X10549" s="258">
        <v>45780</v>
      </c>
    </row>
    <row r="10550" spans="24:24" x14ac:dyDescent="0.25">
      <c r="X10550" s="258">
        <v>45781</v>
      </c>
    </row>
    <row r="10551" spans="24:24" x14ac:dyDescent="0.25">
      <c r="X10551" s="258">
        <v>45782</v>
      </c>
    </row>
    <row r="10552" spans="24:24" x14ac:dyDescent="0.25">
      <c r="X10552" s="258">
        <v>45783</v>
      </c>
    </row>
    <row r="10553" spans="24:24" x14ac:dyDescent="0.25">
      <c r="X10553" s="258">
        <v>45784</v>
      </c>
    </row>
    <row r="10554" spans="24:24" x14ac:dyDescent="0.25">
      <c r="X10554" s="258">
        <v>45785</v>
      </c>
    </row>
    <row r="10555" spans="24:24" x14ac:dyDescent="0.25">
      <c r="X10555" s="258">
        <v>45786</v>
      </c>
    </row>
    <row r="10556" spans="24:24" x14ac:dyDescent="0.25">
      <c r="X10556" s="258">
        <v>45787</v>
      </c>
    </row>
    <row r="10557" spans="24:24" x14ac:dyDescent="0.25">
      <c r="X10557" s="258">
        <v>45788</v>
      </c>
    </row>
    <row r="10558" spans="24:24" x14ac:dyDescent="0.25">
      <c r="X10558" s="258">
        <v>45789</v>
      </c>
    </row>
    <row r="10559" spans="24:24" x14ac:dyDescent="0.25">
      <c r="X10559" s="258">
        <v>45790</v>
      </c>
    </row>
    <row r="10560" spans="24:24" x14ac:dyDescent="0.25">
      <c r="X10560" s="258">
        <v>45791</v>
      </c>
    </row>
    <row r="10561" spans="24:24" x14ac:dyDescent="0.25">
      <c r="X10561" s="258">
        <v>45792</v>
      </c>
    </row>
    <row r="10562" spans="24:24" x14ac:dyDescent="0.25">
      <c r="X10562" s="258">
        <v>45793</v>
      </c>
    </row>
    <row r="10563" spans="24:24" x14ac:dyDescent="0.25">
      <c r="X10563" s="258">
        <v>45794</v>
      </c>
    </row>
    <row r="10564" spans="24:24" x14ac:dyDescent="0.25">
      <c r="X10564" s="258">
        <v>45795</v>
      </c>
    </row>
    <row r="10565" spans="24:24" x14ac:dyDescent="0.25">
      <c r="X10565" s="258">
        <v>45796</v>
      </c>
    </row>
    <row r="10566" spans="24:24" x14ac:dyDescent="0.25">
      <c r="X10566" s="258">
        <v>45797</v>
      </c>
    </row>
    <row r="10567" spans="24:24" x14ac:dyDescent="0.25">
      <c r="X10567" s="258">
        <v>45798</v>
      </c>
    </row>
    <row r="10568" spans="24:24" x14ac:dyDescent="0.25">
      <c r="X10568" s="258">
        <v>45799</v>
      </c>
    </row>
    <row r="10569" spans="24:24" x14ac:dyDescent="0.25">
      <c r="X10569" s="258">
        <v>45800</v>
      </c>
    </row>
    <row r="10570" spans="24:24" x14ac:dyDescent="0.25">
      <c r="X10570" s="258">
        <v>45801</v>
      </c>
    </row>
    <row r="10571" spans="24:24" x14ac:dyDescent="0.25">
      <c r="X10571" s="258">
        <v>45802</v>
      </c>
    </row>
    <row r="10572" spans="24:24" x14ac:dyDescent="0.25">
      <c r="X10572" s="258">
        <v>45803</v>
      </c>
    </row>
    <row r="10573" spans="24:24" x14ac:dyDescent="0.25">
      <c r="X10573" s="258">
        <v>45804</v>
      </c>
    </row>
    <row r="10574" spans="24:24" x14ac:dyDescent="0.25">
      <c r="X10574" s="258">
        <v>45805</v>
      </c>
    </row>
    <row r="10575" spans="24:24" x14ac:dyDescent="0.25">
      <c r="X10575" s="258">
        <v>45806</v>
      </c>
    </row>
    <row r="10576" spans="24:24" x14ac:dyDescent="0.25">
      <c r="X10576" s="258">
        <v>45807</v>
      </c>
    </row>
    <row r="10577" spans="24:24" x14ac:dyDescent="0.25">
      <c r="X10577" s="258">
        <v>45808</v>
      </c>
    </row>
    <row r="10578" spans="24:24" x14ac:dyDescent="0.25">
      <c r="X10578" s="258">
        <v>45809</v>
      </c>
    </row>
    <row r="10579" spans="24:24" x14ac:dyDescent="0.25">
      <c r="X10579" s="258">
        <v>45810</v>
      </c>
    </row>
    <row r="10580" spans="24:24" x14ac:dyDescent="0.25">
      <c r="X10580" s="258">
        <v>45811</v>
      </c>
    </row>
    <row r="10581" spans="24:24" x14ac:dyDescent="0.25">
      <c r="X10581" s="258">
        <v>45812</v>
      </c>
    </row>
    <row r="10582" spans="24:24" x14ac:dyDescent="0.25">
      <c r="X10582" s="258">
        <v>45813</v>
      </c>
    </row>
    <row r="10583" spans="24:24" x14ac:dyDescent="0.25">
      <c r="X10583" s="258">
        <v>45814</v>
      </c>
    </row>
    <row r="10584" spans="24:24" x14ac:dyDescent="0.25">
      <c r="X10584" s="258">
        <v>45815</v>
      </c>
    </row>
    <row r="10585" spans="24:24" x14ac:dyDescent="0.25">
      <c r="X10585" s="258">
        <v>45816</v>
      </c>
    </row>
    <row r="10586" spans="24:24" x14ac:dyDescent="0.25">
      <c r="X10586" s="258">
        <v>45817</v>
      </c>
    </row>
    <row r="10587" spans="24:24" x14ac:dyDescent="0.25">
      <c r="X10587" s="258">
        <v>45818</v>
      </c>
    </row>
    <row r="10588" spans="24:24" x14ac:dyDescent="0.25">
      <c r="X10588" s="258">
        <v>45819</v>
      </c>
    </row>
    <row r="10589" spans="24:24" x14ac:dyDescent="0.25">
      <c r="X10589" s="258">
        <v>45820</v>
      </c>
    </row>
    <row r="10590" spans="24:24" x14ac:dyDescent="0.25">
      <c r="X10590" s="258">
        <v>45821</v>
      </c>
    </row>
    <row r="10591" spans="24:24" x14ac:dyDescent="0.25">
      <c r="X10591" s="258">
        <v>45822</v>
      </c>
    </row>
    <row r="10592" spans="24:24" x14ac:dyDescent="0.25">
      <c r="X10592" s="258">
        <v>45823</v>
      </c>
    </row>
    <row r="10593" spans="24:24" x14ac:dyDescent="0.25">
      <c r="X10593" s="258">
        <v>45824</v>
      </c>
    </row>
    <row r="10594" spans="24:24" x14ac:dyDescent="0.25">
      <c r="X10594" s="258">
        <v>45825</v>
      </c>
    </row>
    <row r="10595" spans="24:24" x14ac:dyDescent="0.25">
      <c r="X10595" s="258">
        <v>45826</v>
      </c>
    </row>
    <row r="10596" spans="24:24" x14ac:dyDescent="0.25">
      <c r="X10596" s="258">
        <v>45827</v>
      </c>
    </row>
    <row r="10597" spans="24:24" x14ac:dyDescent="0.25">
      <c r="X10597" s="258">
        <v>45828</v>
      </c>
    </row>
    <row r="10598" spans="24:24" x14ac:dyDescent="0.25">
      <c r="X10598" s="258">
        <v>45829</v>
      </c>
    </row>
    <row r="10599" spans="24:24" x14ac:dyDescent="0.25">
      <c r="X10599" s="258">
        <v>45830</v>
      </c>
    </row>
    <row r="10600" spans="24:24" x14ac:dyDescent="0.25">
      <c r="X10600" s="258">
        <v>45831</v>
      </c>
    </row>
    <row r="10601" spans="24:24" x14ac:dyDescent="0.25">
      <c r="X10601" s="258">
        <v>45832</v>
      </c>
    </row>
    <row r="10602" spans="24:24" x14ac:dyDescent="0.25">
      <c r="X10602" s="258">
        <v>45833</v>
      </c>
    </row>
    <row r="10603" spans="24:24" x14ac:dyDescent="0.25">
      <c r="X10603" s="258">
        <v>45834</v>
      </c>
    </row>
    <row r="10604" spans="24:24" x14ac:dyDescent="0.25">
      <c r="X10604" s="258">
        <v>45835</v>
      </c>
    </row>
    <row r="10605" spans="24:24" x14ac:dyDescent="0.25">
      <c r="X10605" s="258">
        <v>45836</v>
      </c>
    </row>
    <row r="10606" spans="24:24" x14ac:dyDescent="0.25">
      <c r="X10606" s="258">
        <v>45837</v>
      </c>
    </row>
    <row r="10607" spans="24:24" x14ac:dyDescent="0.25">
      <c r="X10607" s="258">
        <v>45838</v>
      </c>
    </row>
    <row r="10608" spans="24:24" x14ac:dyDescent="0.25">
      <c r="X10608" s="258">
        <v>45839</v>
      </c>
    </row>
    <row r="10609" spans="24:24" x14ac:dyDescent="0.25">
      <c r="X10609" s="258">
        <v>45840</v>
      </c>
    </row>
    <row r="10610" spans="24:24" x14ac:dyDescent="0.25">
      <c r="X10610" s="258">
        <v>45841</v>
      </c>
    </row>
    <row r="10611" spans="24:24" x14ac:dyDescent="0.25">
      <c r="X10611" s="258">
        <v>45842</v>
      </c>
    </row>
    <row r="10612" spans="24:24" x14ac:dyDescent="0.25">
      <c r="X10612" s="258">
        <v>45843</v>
      </c>
    </row>
    <row r="10613" spans="24:24" x14ac:dyDescent="0.25">
      <c r="X10613" s="258">
        <v>45844</v>
      </c>
    </row>
    <row r="10614" spans="24:24" x14ac:dyDescent="0.25">
      <c r="X10614" s="258">
        <v>45845</v>
      </c>
    </row>
    <row r="10615" spans="24:24" x14ac:dyDescent="0.25">
      <c r="X10615" s="258">
        <v>45846</v>
      </c>
    </row>
    <row r="10616" spans="24:24" x14ac:dyDescent="0.25">
      <c r="X10616" s="258">
        <v>45847</v>
      </c>
    </row>
    <row r="10617" spans="24:24" x14ac:dyDescent="0.25">
      <c r="X10617" s="258">
        <v>45848</v>
      </c>
    </row>
    <row r="10618" spans="24:24" x14ac:dyDescent="0.25">
      <c r="X10618" s="258">
        <v>45849</v>
      </c>
    </row>
    <row r="10619" spans="24:24" x14ac:dyDescent="0.25">
      <c r="X10619" s="258">
        <v>45850</v>
      </c>
    </row>
    <row r="10620" spans="24:24" x14ac:dyDescent="0.25">
      <c r="X10620" s="258">
        <v>45851</v>
      </c>
    </row>
    <row r="10621" spans="24:24" x14ac:dyDescent="0.25">
      <c r="X10621" s="258">
        <v>45852</v>
      </c>
    </row>
    <row r="10622" spans="24:24" x14ac:dyDescent="0.25">
      <c r="X10622" s="258">
        <v>45853</v>
      </c>
    </row>
    <row r="10623" spans="24:24" x14ac:dyDescent="0.25">
      <c r="X10623" s="258">
        <v>45854</v>
      </c>
    </row>
    <row r="10624" spans="24:24" x14ac:dyDescent="0.25">
      <c r="X10624" s="258">
        <v>45855</v>
      </c>
    </row>
    <row r="10625" spans="24:24" x14ac:dyDescent="0.25">
      <c r="X10625" s="258">
        <v>45856</v>
      </c>
    </row>
    <row r="10626" spans="24:24" x14ac:dyDescent="0.25">
      <c r="X10626" s="258">
        <v>45857</v>
      </c>
    </row>
    <row r="10627" spans="24:24" x14ac:dyDescent="0.25">
      <c r="X10627" s="258">
        <v>45858</v>
      </c>
    </row>
    <row r="10628" spans="24:24" x14ac:dyDescent="0.25">
      <c r="X10628" s="258">
        <v>45859</v>
      </c>
    </row>
    <row r="10629" spans="24:24" x14ac:dyDescent="0.25">
      <c r="X10629" s="258">
        <v>45860</v>
      </c>
    </row>
    <row r="10630" spans="24:24" x14ac:dyDescent="0.25">
      <c r="X10630" s="258">
        <v>45861</v>
      </c>
    </row>
    <row r="10631" spans="24:24" x14ac:dyDescent="0.25">
      <c r="X10631" s="258">
        <v>45862</v>
      </c>
    </row>
    <row r="10632" spans="24:24" x14ac:dyDescent="0.25">
      <c r="X10632" s="258">
        <v>45863</v>
      </c>
    </row>
    <row r="10633" spans="24:24" x14ac:dyDescent="0.25">
      <c r="X10633" s="258">
        <v>45864</v>
      </c>
    </row>
    <row r="10634" spans="24:24" x14ac:dyDescent="0.25">
      <c r="X10634" s="258">
        <v>45865</v>
      </c>
    </row>
    <row r="10635" spans="24:24" x14ac:dyDescent="0.25">
      <c r="X10635" s="258">
        <v>45866</v>
      </c>
    </row>
    <row r="10636" spans="24:24" x14ac:dyDescent="0.25">
      <c r="X10636" s="258">
        <v>45867</v>
      </c>
    </row>
    <row r="10637" spans="24:24" x14ac:dyDescent="0.25">
      <c r="X10637" s="258">
        <v>45868</v>
      </c>
    </row>
    <row r="10638" spans="24:24" x14ac:dyDescent="0.25">
      <c r="X10638" s="258">
        <v>45869</v>
      </c>
    </row>
    <row r="10639" spans="24:24" x14ac:dyDescent="0.25">
      <c r="X10639" s="258">
        <v>45870</v>
      </c>
    </row>
    <row r="10640" spans="24:24" x14ac:dyDescent="0.25">
      <c r="X10640" s="258">
        <v>45871</v>
      </c>
    </row>
    <row r="10641" spans="24:24" x14ac:dyDescent="0.25">
      <c r="X10641" s="258">
        <v>45872</v>
      </c>
    </row>
    <row r="10642" spans="24:24" x14ac:dyDescent="0.25">
      <c r="X10642" s="258">
        <v>45873</v>
      </c>
    </row>
    <row r="10643" spans="24:24" x14ac:dyDescent="0.25">
      <c r="X10643" s="258">
        <v>45874</v>
      </c>
    </row>
    <row r="10644" spans="24:24" x14ac:dyDescent="0.25">
      <c r="X10644" s="258">
        <v>45875</v>
      </c>
    </row>
    <row r="10645" spans="24:24" x14ac:dyDescent="0.25">
      <c r="X10645" s="258">
        <v>45876</v>
      </c>
    </row>
    <row r="10646" spans="24:24" x14ac:dyDescent="0.25">
      <c r="X10646" s="258">
        <v>45877</v>
      </c>
    </row>
    <row r="10647" spans="24:24" x14ac:dyDescent="0.25">
      <c r="X10647" s="258">
        <v>45878</v>
      </c>
    </row>
    <row r="10648" spans="24:24" x14ac:dyDescent="0.25">
      <c r="X10648" s="258">
        <v>45879</v>
      </c>
    </row>
    <row r="10649" spans="24:24" x14ac:dyDescent="0.25">
      <c r="X10649" s="258">
        <v>45880</v>
      </c>
    </row>
    <row r="10650" spans="24:24" x14ac:dyDescent="0.25">
      <c r="X10650" s="258">
        <v>45881</v>
      </c>
    </row>
    <row r="10651" spans="24:24" x14ac:dyDescent="0.25">
      <c r="X10651" s="258">
        <v>45882</v>
      </c>
    </row>
    <row r="10652" spans="24:24" x14ac:dyDescent="0.25">
      <c r="X10652" s="258">
        <v>45883</v>
      </c>
    </row>
    <row r="10653" spans="24:24" x14ac:dyDescent="0.25">
      <c r="X10653" s="258">
        <v>45884</v>
      </c>
    </row>
    <row r="10654" spans="24:24" x14ac:dyDescent="0.25">
      <c r="X10654" s="258">
        <v>45885</v>
      </c>
    </row>
    <row r="10655" spans="24:24" x14ac:dyDescent="0.25">
      <c r="X10655" s="258">
        <v>45886</v>
      </c>
    </row>
    <row r="10656" spans="24:24" x14ac:dyDescent="0.25">
      <c r="X10656" s="258">
        <v>45887</v>
      </c>
    </row>
    <row r="10657" spans="24:24" x14ac:dyDescent="0.25">
      <c r="X10657" s="258">
        <v>45888</v>
      </c>
    </row>
    <row r="10658" spans="24:24" x14ac:dyDescent="0.25">
      <c r="X10658" s="258">
        <v>45889</v>
      </c>
    </row>
    <row r="10659" spans="24:24" x14ac:dyDescent="0.25">
      <c r="X10659" s="258">
        <v>45890</v>
      </c>
    </row>
    <row r="10660" spans="24:24" x14ac:dyDescent="0.25">
      <c r="X10660" s="258">
        <v>45891</v>
      </c>
    </row>
    <row r="10661" spans="24:24" x14ac:dyDescent="0.25">
      <c r="X10661" s="258">
        <v>45892</v>
      </c>
    </row>
    <row r="10662" spans="24:24" x14ac:dyDescent="0.25">
      <c r="X10662" s="258">
        <v>45893</v>
      </c>
    </row>
    <row r="10663" spans="24:24" x14ac:dyDescent="0.25">
      <c r="X10663" s="258">
        <v>45894</v>
      </c>
    </row>
    <row r="10664" spans="24:24" x14ac:dyDescent="0.25">
      <c r="X10664" s="258">
        <v>45895</v>
      </c>
    </row>
    <row r="10665" spans="24:24" x14ac:dyDescent="0.25">
      <c r="X10665" s="258">
        <v>45896</v>
      </c>
    </row>
    <row r="10666" spans="24:24" x14ac:dyDescent="0.25">
      <c r="X10666" s="258">
        <v>45897</v>
      </c>
    </row>
    <row r="10667" spans="24:24" x14ac:dyDescent="0.25">
      <c r="X10667" s="258">
        <v>45898</v>
      </c>
    </row>
    <row r="10668" spans="24:24" x14ac:dyDescent="0.25">
      <c r="X10668" s="258">
        <v>45899</v>
      </c>
    </row>
    <row r="10669" spans="24:24" x14ac:dyDescent="0.25">
      <c r="X10669" s="258">
        <v>45900</v>
      </c>
    </row>
    <row r="10670" spans="24:24" x14ac:dyDescent="0.25">
      <c r="X10670" s="258">
        <v>45901</v>
      </c>
    </row>
    <row r="10671" spans="24:24" x14ac:dyDescent="0.25">
      <c r="X10671" s="258">
        <v>45902</v>
      </c>
    </row>
    <row r="10672" spans="24:24" x14ac:dyDescent="0.25">
      <c r="X10672" s="258">
        <v>45903</v>
      </c>
    </row>
    <row r="10673" spans="24:24" x14ac:dyDescent="0.25">
      <c r="X10673" s="258">
        <v>45904</v>
      </c>
    </row>
    <row r="10674" spans="24:24" x14ac:dyDescent="0.25">
      <c r="X10674" s="258">
        <v>45905</v>
      </c>
    </row>
    <row r="10675" spans="24:24" x14ac:dyDescent="0.25">
      <c r="X10675" s="258">
        <v>45906</v>
      </c>
    </row>
    <row r="10676" spans="24:24" x14ac:dyDescent="0.25">
      <c r="X10676" s="258">
        <v>45907</v>
      </c>
    </row>
    <row r="10677" spans="24:24" x14ac:dyDescent="0.25">
      <c r="X10677" s="258">
        <v>45908</v>
      </c>
    </row>
    <row r="10678" spans="24:24" x14ac:dyDescent="0.25">
      <c r="X10678" s="258">
        <v>45909</v>
      </c>
    </row>
    <row r="10679" spans="24:24" x14ac:dyDescent="0.25">
      <c r="X10679" s="258">
        <v>45910</v>
      </c>
    </row>
    <row r="10680" spans="24:24" x14ac:dyDescent="0.25">
      <c r="X10680" s="258">
        <v>45911</v>
      </c>
    </row>
    <row r="10681" spans="24:24" x14ac:dyDescent="0.25">
      <c r="X10681" s="258">
        <v>45912</v>
      </c>
    </row>
    <row r="10682" spans="24:24" x14ac:dyDescent="0.25">
      <c r="X10682" s="258">
        <v>45913</v>
      </c>
    </row>
    <row r="10683" spans="24:24" x14ac:dyDescent="0.25">
      <c r="X10683" s="258">
        <v>45914</v>
      </c>
    </row>
    <row r="10684" spans="24:24" x14ac:dyDescent="0.25">
      <c r="X10684" s="258">
        <v>45915</v>
      </c>
    </row>
    <row r="10685" spans="24:24" x14ac:dyDescent="0.25">
      <c r="X10685" s="258">
        <v>45916</v>
      </c>
    </row>
    <row r="10686" spans="24:24" x14ac:dyDescent="0.25">
      <c r="X10686" s="258">
        <v>45917</v>
      </c>
    </row>
    <row r="10687" spans="24:24" x14ac:dyDescent="0.25">
      <c r="X10687" s="258">
        <v>45918</v>
      </c>
    </row>
    <row r="10688" spans="24:24" x14ac:dyDescent="0.25">
      <c r="X10688" s="258">
        <v>45919</v>
      </c>
    </row>
    <row r="10689" spans="24:24" x14ac:dyDescent="0.25">
      <c r="X10689" s="258">
        <v>45920</v>
      </c>
    </row>
    <row r="10690" spans="24:24" x14ac:dyDescent="0.25">
      <c r="X10690" s="258">
        <v>45921</v>
      </c>
    </row>
    <row r="10691" spans="24:24" x14ac:dyDescent="0.25">
      <c r="X10691" s="258">
        <v>45922</v>
      </c>
    </row>
    <row r="10692" spans="24:24" x14ac:dyDescent="0.25">
      <c r="X10692" s="258">
        <v>45923</v>
      </c>
    </row>
    <row r="10693" spans="24:24" x14ac:dyDescent="0.25">
      <c r="X10693" s="258">
        <v>45924</v>
      </c>
    </row>
    <row r="10694" spans="24:24" x14ac:dyDescent="0.25">
      <c r="X10694" s="258">
        <v>45925</v>
      </c>
    </row>
    <row r="10695" spans="24:24" x14ac:dyDescent="0.25">
      <c r="X10695" s="258">
        <v>45926</v>
      </c>
    </row>
    <row r="10696" spans="24:24" x14ac:dyDescent="0.25">
      <c r="X10696" s="258">
        <v>45927</v>
      </c>
    </row>
    <row r="10697" spans="24:24" x14ac:dyDescent="0.25">
      <c r="X10697" s="258">
        <v>45928</v>
      </c>
    </row>
    <row r="10698" spans="24:24" x14ac:dyDescent="0.25">
      <c r="X10698" s="258">
        <v>45929</v>
      </c>
    </row>
    <row r="10699" spans="24:24" x14ac:dyDescent="0.25">
      <c r="X10699" s="258">
        <v>45930</v>
      </c>
    </row>
    <row r="10700" spans="24:24" x14ac:dyDescent="0.25">
      <c r="X10700" s="258">
        <v>45931</v>
      </c>
    </row>
    <row r="10701" spans="24:24" x14ac:dyDescent="0.25">
      <c r="X10701" s="258">
        <v>45932</v>
      </c>
    </row>
    <row r="10702" spans="24:24" x14ac:dyDescent="0.25">
      <c r="X10702" s="258">
        <v>45933</v>
      </c>
    </row>
    <row r="10703" spans="24:24" x14ac:dyDescent="0.25">
      <c r="X10703" s="258">
        <v>45934</v>
      </c>
    </row>
    <row r="10704" spans="24:24" x14ac:dyDescent="0.25">
      <c r="X10704" s="258">
        <v>45935</v>
      </c>
    </row>
    <row r="10705" spans="24:24" x14ac:dyDescent="0.25">
      <c r="X10705" s="258">
        <v>45936</v>
      </c>
    </row>
    <row r="10706" spans="24:24" x14ac:dyDescent="0.25">
      <c r="X10706" s="258">
        <v>45937</v>
      </c>
    </row>
    <row r="10707" spans="24:24" x14ac:dyDescent="0.25">
      <c r="X10707" s="258">
        <v>45938</v>
      </c>
    </row>
    <row r="10708" spans="24:24" x14ac:dyDescent="0.25">
      <c r="X10708" s="258">
        <v>45939</v>
      </c>
    </row>
    <row r="10709" spans="24:24" x14ac:dyDescent="0.25">
      <c r="X10709" s="258">
        <v>45940</v>
      </c>
    </row>
    <row r="10710" spans="24:24" x14ac:dyDescent="0.25">
      <c r="X10710" s="258">
        <v>45941</v>
      </c>
    </row>
    <row r="10711" spans="24:24" x14ac:dyDescent="0.25">
      <c r="X10711" s="258">
        <v>45942</v>
      </c>
    </row>
    <row r="10712" spans="24:24" x14ac:dyDescent="0.25">
      <c r="X10712" s="258">
        <v>45943</v>
      </c>
    </row>
    <row r="10713" spans="24:24" x14ac:dyDescent="0.25">
      <c r="X10713" s="258">
        <v>45944</v>
      </c>
    </row>
    <row r="10714" spans="24:24" x14ac:dyDescent="0.25">
      <c r="X10714" s="258">
        <v>45945</v>
      </c>
    </row>
    <row r="10715" spans="24:24" x14ac:dyDescent="0.25">
      <c r="X10715" s="258">
        <v>45946</v>
      </c>
    </row>
    <row r="10716" spans="24:24" x14ac:dyDescent="0.25">
      <c r="X10716" s="258">
        <v>45947</v>
      </c>
    </row>
    <row r="10717" spans="24:24" x14ac:dyDescent="0.25">
      <c r="X10717" s="258">
        <v>45948</v>
      </c>
    </row>
    <row r="10718" spans="24:24" x14ac:dyDescent="0.25">
      <c r="X10718" s="258">
        <v>45949</v>
      </c>
    </row>
    <row r="10719" spans="24:24" x14ac:dyDescent="0.25">
      <c r="X10719" s="258">
        <v>45950</v>
      </c>
    </row>
    <row r="10720" spans="24:24" x14ac:dyDescent="0.25">
      <c r="X10720" s="258">
        <v>45951</v>
      </c>
    </row>
    <row r="10721" spans="24:24" x14ac:dyDescent="0.25">
      <c r="X10721" s="258">
        <v>45952</v>
      </c>
    </row>
    <row r="10722" spans="24:24" x14ac:dyDescent="0.25">
      <c r="X10722" s="258">
        <v>45953</v>
      </c>
    </row>
    <row r="10723" spans="24:24" x14ac:dyDescent="0.25">
      <c r="X10723" s="258">
        <v>45954</v>
      </c>
    </row>
    <row r="10724" spans="24:24" x14ac:dyDescent="0.25">
      <c r="X10724" s="258">
        <v>45955</v>
      </c>
    </row>
    <row r="10725" spans="24:24" x14ac:dyDescent="0.25">
      <c r="X10725" s="258">
        <v>45956</v>
      </c>
    </row>
    <row r="10726" spans="24:24" x14ac:dyDescent="0.25">
      <c r="X10726" s="258">
        <v>45957</v>
      </c>
    </row>
    <row r="10727" spans="24:24" x14ac:dyDescent="0.25">
      <c r="X10727" s="258">
        <v>45958</v>
      </c>
    </row>
    <row r="10728" spans="24:24" x14ac:dyDescent="0.25">
      <c r="X10728" s="258">
        <v>45959</v>
      </c>
    </row>
    <row r="10729" spans="24:24" x14ac:dyDescent="0.25">
      <c r="X10729" s="258">
        <v>45960</v>
      </c>
    </row>
    <row r="10730" spans="24:24" x14ac:dyDescent="0.25">
      <c r="X10730" s="258">
        <v>45961</v>
      </c>
    </row>
    <row r="10731" spans="24:24" x14ac:dyDescent="0.25">
      <c r="X10731" s="258">
        <v>45962</v>
      </c>
    </row>
    <row r="10732" spans="24:24" x14ac:dyDescent="0.25">
      <c r="X10732" s="258">
        <v>45963</v>
      </c>
    </row>
    <row r="10733" spans="24:24" x14ac:dyDescent="0.25">
      <c r="X10733" s="258">
        <v>45964</v>
      </c>
    </row>
    <row r="10734" spans="24:24" x14ac:dyDescent="0.25">
      <c r="X10734" s="258">
        <v>45965</v>
      </c>
    </row>
    <row r="10735" spans="24:24" x14ac:dyDescent="0.25">
      <c r="X10735" s="258">
        <v>45966</v>
      </c>
    </row>
    <row r="10736" spans="24:24" x14ac:dyDescent="0.25">
      <c r="X10736" s="258">
        <v>45967</v>
      </c>
    </row>
    <row r="10737" spans="24:24" x14ac:dyDescent="0.25">
      <c r="X10737" s="258">
        <v>45968</v>
      </c>
    </row>
    <row r="10738" spans="24:24" x14ac:dyDescent="0.25">
      <c r="X10738" s="258">
        <v>45969</v>
      </c>
    </row>
    <row r="10739" spans="24:24" x14ac:dyDescent="0.25">
      <c r="X10739" s="258">
        <v>45970</v>
      </c>
    </row>
    <row r="10740" spans="24:24" x14ac:dyDescent="0.25">
      <c r="X10740" s="258">
        <v>45971</v>
      </c>
    </row>
    <row r="10741" spans="24:24" x14ac:dyDescent="0.25">
      <c r="X10741" s="258">
        <v>45972</v>
      </c>
    </row>
    <row r="10742" spans="24:24" x14ac:dyDescent="0.25">
      <c r="X10742" s="258">
        <v>45973</v>
      </c>
    </row>
    <row r="10743" spans="24:24" x14ac:dyDescent="0.25">
      <c r="X10743" s="258">
        <v>45974</v>
      </c>
    </row>
    <row r="10744" spans="24:24" x14ac:dyDescent="0.25">
      <c r="X10744" s="258">
        <v>45975</v>
      </c>
    </row>
    <row r="10745" spans="24:24" x14ac:dyDescent="0.25">
      <c r="X10745" s="258">
        <v>45976</v>
      </c>
    </row>
    <row r="10746" spans="24:24" x14ac:dyDescent="0.25">
      <c r="X10746" s="258">
        <v>45977</v>
      </c>
    </row>
    <row r="10747" spans="24:24" x14ac:dyDescent="0.25">
      <c r="X10747" s="258">
        <v>45978</v>
      </c>
    </row>
    <row r="10748" spans="24:24" x14ac:dyDescent="0.25">
      <c r="X10748" s="258">
        <v>45979</v>
      </c>
    </row>
    <row r="10749" spans="24:24" x14ac:dyDescent="0.25">
      <c r="X10749" s="258">
        <v>45980</v>
      </c>
    </row>
    <row r="10750" spans="24:24" x14ac:dyDescent="0.25">
      <c r="X10750" s="258">
        <v>45981</v>
      </c>
    </row>
    <row r="10751" spans="24:24" x14ac:dyDescent="0.25">
      <c r="X10751" s="258">
        <v>45982</v>
      </c>
    </row>
    <row r="10752" spans="24:24" x14ac:dyDescent="0.25">
      <c r="X10752" s="258">
        <v>45983</v>
      </c>
    </row>
    <row r="10753" spans="24:24" x14ac:dyDescent="0.25">
      <c r="X10753" s="258">
        <v>45984</v>
      </c>
    </row>
    <row r="10754" spans="24:24" x14ac:dyDescent="0.25">
      <c r="X10754" s="258">
        <v>45985</v>
      </c>
    </row>
    <row r="10755" spans="24:24" x14ac:dyDescent="0.25">
      <c r="X10755" s="258">
        <v>45986</v>
      </c>
    </row>
    <row r="10756" spans="24:24" x14ac:dyDescent="0.25">
      <c r="X10756" s="258">
        <v>45987</v>
      </c>
    </row>
    <row r="10757" spans="24:24" x14ac:dyDescent="0.25">
      <c r="X10757" s="258">
        <v>45988</v>
      </c>
    </row>
    <row r="10758" spans="24:24" x14ac:dyDescent="0.25">
      <c r="X10758" s="258">
        <v>45989</v>
      </c>
    </row>
    <row r="10759" spans="24:24" x14ac:dyDescent="0.25">
      <c r="X10759" s="258">
        <v>45990</v>
      </c>
    </row>
    <row r="10760" spans="24:24" x14ac:dyDescent="0.25">
      <c r="X10760" s="258">
        <v>45991</v>
      </c>
    </row>
    <row r="10761" spans="24:24" x14ac:dyDescent="0.25">
      <c r="X10761" s="258">
        <v>45992</v>
      </c>
    </row>
    <row r="10762" spans="24:24" x14ac:dyDescent="0.25">
      <c r="X10762" s="258">
        <v>45993</v>
      </c>
    </row>
    <row r="10763" spans="24:24" x14ac:dyDescent="0.25">
      <c r="X10763" s="258">
        <v>45994</v>
      </c>
    </row>
    <row r="10764" spans="24:24" x14ac:dyDescent="0.25">
      <c r="X10764" s="258">
        <v>45995</v>
      </c>
    </row>
    <row r="10765" spans="24:24" x14ac:dyDescent="0.25">
      <c r="X10765" s="258">
        <v>45996</v>
      </c>
    </row>
    <row r="10766" spans="24:24" x14ac:dyDescent="0.25">
      <c r="X10766" s="258">
        <v>45997</v>
      </c>
    </row>
    <row r="10767" spans="24:24" x14ac:dyDescent="0.25">
      <c r="X10767" s="258">
        <v>45998</v>
      </c>
    </row>
    <row r="10768" spans="24:24" x14ac:dyDescent="0.25">
      <c r="X10768" s="258">
        <v>45999</v>
      </c>
    </row>
    <row r="10769" spans="24:24" x14ac:dyDescent="0.25">
      <c r="X10769" s="258">
        <v>46000</v>
      </c>
    </row>
    <row r="10770" spans="24:24" x14ac:dyDescent="0.25">
      <c r="X10770" s="258">
        <v>46001</v>
      </c>
    </row>
    <row r="10771" spans="24:24" x14ac:dyDescent="0.25">
      <c r="X10771" s="258">
        <v>46002</v>
      </c>
    </row>
    <row r="10772" spans="24:24" x14ac:dyDescent="0.25">
      <c r="X10772" s="258">
        <v>46003</v>
      </c>
    </row>
    <row r="10773" spans="24:24" x14ac:dyDescent="0.25">
      <c r="X10773" s="258">
        <v>46004</v>
      </c>
    </row>
    <row r="10774" spans="24:24" x14ac:dyDescent="0.25">
      <c r="X10774" s="258">
        <v>46005</v>
      </c>
    </row>
    <row r="10775" spans="24:24" x14ac:dyDescent="0.25">
      <c r="X10775" s="258">
        <v>46006</v>
      </c>
    </row>
    <row r="10776" spans="24:24" x14ac:dyDescent="0.25">
      <c r="X10776" s="258">
        <v>46007</v>
      </c>
    </row>
    <row r="10777" spans="24:24" x14ac:dyDescent="0.25">
      <c r="X10777" s="258">
        <v>46008</v>
      </c>
    </row>
    <row r="10778" spans="24:24" x14ac:dyDescent="0.25">
      <c r="X10778" s="258">
        <v>46009</v>
      </c>
    </row>
    <row r="10779" spans="24:24" x14ac:dyDescent="0.25">
      <c r="X10779" s="258">
        <v>46010</v>
      </c>
    </row>
    <row r="10780" spans="24:24" x14ac:dyDescent="0.25">
      <c r="X10780" s="258">
        <v>46011</v>
      </c>
    </row>
    <row r="10781" spans="24:24" x14ac:dyDescent="0.25">
      <c r="X10781" s="258">
        <v>46012</v>
      </c>
    </row>
    <row r="10782" spans="24:24" x14ac:dyDescent="0.25">
      <c r="X10782" s="258">
        <v>46013</v>
      </c>
    </row>
    <row r="10783" spans="24:24" x14ac:dyDescent="0.25">
      <c r="X10783" s="258">
        <v>46014</v>
      </c>
    </row>
    <row r="10784" spans="24:24" x14ac:dyDescent="0.25">
      <c r="X10784" s="258">
        <v>46015</v>
      </c>
    </row>
    <row r="10785" spans="24:24" x14ac:dyDescent="0.25">
      <c r="X10785" s="258">
        <v>46016</v>
      </c>
    </row>
    <row r="10786" spans="24:24" x14ac:dyDescent="0.25">
      <c r="X10786" s="258">
        <v>46017</v>
      </c>
    </row>
    <row r="10787" spans="24:24" x14ac:dyDescent="0.25">
      <c r="X10787" s="258">
        <v>46018</v>
      </c>
    </row>
    <row r="10788" spans="24:24" x14ac:dyDescent="0.25">
      <c r="X10788" s="258">
        <v>46019</v>
      </c>
    </row>
    <row r="10789" spans="24:24" x14ac:dyDescent="0.25">
      <c r="X10789" s="258">
        <v>46020</v>
      </c>
    </row>
    <row r="10790" spans="24:24" x14ac:dyDescent="0.25">
      <c r="X10790" s="258">
        <v>46021</v>
      </c>
    </row>
    <row r="10791" spans="24:24" x14ac:dyDescent="0.25">
      <c r="X10791" s="258">
        <v>46022</v>
      </c>
    </row>
  </sheetData>
  <sheetProtection selectLockedCells="1"/>
  <protectedRanges>
    <protectedRange algorithmName="SHA-512" hashValue="4JV879fsajUdJmWD2oA3Kv7fijDg7upzgAsMBCq+voODYfWm+XCEnDUlT/UA99wQ3dJSpLAZuePRu9PvPUoWfQ==" saltValue="lFG6bHMMuTuwTq9RfgCOmA==" spinCount="100000" sqref="A13:H164 A340:H10472" name="Aralık1_2"/>
    <protectedRange algorithmName="SHA-512" hashValue="4JV879fsajUdJmWD2oA3Kv7fijDg7upzgAsMBCq+voODYfWm+XCEnDUlT/UA99wQ3dJSpLAZuePRu9PvPUoWfQ==" saltValue="lFG6bHMMuTuwTq9RfgCOmA==" spinCount="100000" sqref="A176:B178 D176:H178 A179:H181 D182:H185 A182:B185 A186:H339 A165:H175" name="Aralık1"/>
  </protectedRanges>
  <autoFilter ref="B12:V10792" xr:uid="{00000000-0001-0000-0200-000000000000}"/>
  <mergeCells count="3">
    <mergeCell ref="Y10386:Z10386"/>
    <mergeCell ref="A5:L5"/>
    <mergeCell ref="A8:L8"/>
  </mergeCells>
  <conditionalFormatting sqref="F1:F2 F4 F6:F7 F9">
    <cfRule type="cellIs" dxfId="7" priority="39" operator="between">
      <formula>"Trendyol"</formula>
      <formula>"Trendsyol"</formula>
    </cfRule>
    <cfRule type="cellIs" dxfId="6" priority="40" operator="between">
      <formula>"Getir Yemek"</formula>
      <formula>"Getir Yemek"</formula>
    </cfRule>
    <cfRule type="cellIs" dxfId="5" priority="41" operator="between">
      <formula>"YemekSepeti"</formula>
      <formula>"YemekSepeti"</formula>
    </cfRule>
    <cfRule type="cellIs" dxfId="4" priority="42" operator="between">
      <formula>"Restoran Satış"</formula>
      <formula>"Restoran Satış"</formula>
    </cfRule>
  </conditionalFormatting>
  <conditionalFormatting sqref="F12:F1048576">
    <cfRule type="cellIs" dxfId="3" priority="1" operator="between">
      <formula>"Trendyol"</formula>
      <formula>"Trendsyol"</formula>
    </cfRule>
    <cfRule type="cellIs" dxfId="2" priority="2" operator="between">
      <formula>"Getir Yemek"</formula>
      <formula>"Getir Yemek"</formula>
    </cfRule>
    <cfRule type="cellIs" dxfId="1" priority="3" operator="between">
      <formula>"YemekSepeti"</formula>
      <formula>"YemekSepeti"</formula>
    </cfRule>
    <cfRule type="cellIs" dxfId="0" priority="4" operator="between">
      <formula>"Restoran Satış"</formula>
      <formula>"Restoran Satış"</formula>
    </cfRule>
  </conditionalFormatting>
  <conditionalFormatting sqref="U13:U164 U340:U10472">
    <cfRule type="colorScale" priority="4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0473:U10791">
    <cfRule type="colorScale" priority="4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65:W33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25" right="0.25" top="0.75" bottom="0.75" header="0.3" footer="0.3"/>
  <pageSetup paperSize="166" scale="51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5C93-981E-41C5-8311-10042707AEFC}">
  <dimension ref="A1"/>
  <sheetViews>
    <sheetView workbookViewId="0"/>
  </sheetViews>
  <sheetFormatPr defaultRowHeight="15.75" x14ac:dyDescent="0.25"/>
  <sheetData/>
  <pageMargins left="0.7" right="0.7" top="0.75" bottom="0.75" header="0.3" footer="0.3"/>
  <pageSetup paperSize="0" orientation="portrait" horizontalDpi="203" verticalDpi="20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��1 a�1
</file>

<file path=customXml/item2.xml>��1 a�1
</file>

<file path=customXml/item3.xml>��
</file>

<file path=customXml/itemProps1.xml><?xml version="1.0" encoding="utf-8"?>
<ds:datastoreItem xmlns:ds="http://schemas.openxmlformats.org/officeDocument/2006/customXml" ds:itemID="{37EDD338-23AE-4395-8AFB-FDE8935ADDE6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FD588941-91AF-4D12-8C9B-59FB39C4DF06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B5B947A8-0BEE-4BE8-AB07-D7F71C3126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12</vt:i4>
      </vt:variant>
      <vt:variant>
        <vt:lpstr>Adlandırılmış Aralıklar</vt:lpstr>
      </vt:variant>
      <vt:variant>
        <vt:i4>1</vt:i4>
      </vt:variant>
    </vt:vector>
  </HeadingPairs>
  <TitlesOfParts>
    <vt:vector size="13" baseType="lpstr">
      <vt:lpstr>DASHBOARD</vt:lpstr>
      <vt:lpstr>Ürün Maliyeti1</vt:lpstr>
      <vt:lpstr>BURGERATOR ÜRÜN MALİYETİ</vt:lpstr>
      <vt:lpstr>BURGERATOR ÜRÜN İÇERİK</vt:lpstr>
      <vt:lpstr>data</vt:lpstr>
      <vt:lpstr>Ciro</vt:lpstr>
      <vt:lpstr>Genel Gider</vt:lpstr>
      <vt:lpstr>servis maliyeti</vt:lpstr>
      <vt:lpstr>günlük genel gider maliyeti</vt:lpstr>
      <vt:lpstr>paketleme maliyeti</vt:lpstr>
      <vt:lpstr>AYLIK ANALİZ</vt:lpstr>
      <vt:lpstr>Sayfa1</vt:lpstr>
      <vt:lpstr>data!Yazdırma_Alanı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Can Şencan</cp:lastModifiedBy>
  <cp:lastPrinted>2023-10-02T11:42:16Z</cp:lastPrinted>
  <dcterms:created xsi:type="dcterms:W3CDTF">2021-06-25T15:25:08Z</dcterms:created>
  <dcterms:modified xsi:type="dcterms:W3CDTF">2025-07-09T11:14:35Z</dcterms:modified>
</cp:coreProperties>
</file>