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30" yWindow="-15" windowWidth="10575" windowHeight="10665"/>
  </bookViews>
  <sheets>
    <sheet name="Sheet1" sheetId="1" r:id="rId1"/>
    <sheet name="Sheet2" sheetId="2" r:id="rId2"/>
    <sheet name="Sheet3" sheetId="3" r:id="rId3"/>
  </sheets>
  <definedNames>
    <definedName name="acteff">Sheet1!$B$2:$XFD$2</definedName>
    <definedName name="acteng_bw">Sheet1!$B$3:$XFD$3</definedName>
    <definedName name="acteng_bw_at">Sheet1!$B$4:$XFD$4</definedName>
    <definedName name="acteng_bw_b">Sheet1!$B$5:$XFD$5</definedName>
    <definedName name="activ_time">Sheet1!$B$6:$XFD$6</definedName>
    <definedName name="activ_time_data">Sheet1!#REF!</definedName>
    <definedName name="activ_time_param">Sheet1!$B$7:$XFD$7</definedName>
    <definedName name="at">Sheet1!$B$8:$XFD$8</definedName>
    <definedName name="ateff">Sheet1!$B$9:$XFD$9</definedName>
    <definedName name="atf">Sheet1!$B$10:$XFD$10</definedName>
    <definedName name="bm_b">Sheet1!$B$11:$XFD$11</definedName>
    <definedName name="bw">Sheet1!$B$12:$XFD$12</definedName>
    <definedName name="bw_b">Sheet1!$B$13:$XFD$13</definedName>
    <definedName name="c_">Sheet1!$B$14:$XFD$14</definedName>
    <definedName name="c_b">Sheet1!$B$15:$XFD$15</definedName>
    <definedName name="c_bal">Sheet1!$B$198:$XFD$198</definedName>
    <definedName name="c_init">Sheet1!$B$16:$XFD$16</definedName>
    <definedName name="cal_c">Sheet1!$B$17:$XFD$17</definedName>
    <definedName name="cal_f">Sheet1!$B$18:$XFD$18</definedName>
    <definedName name="cal_p">Sheet1!$B$19:$XFD$19</definedName>
    <definedName name="carb_term">Sheet1!$B$20:$XFD$20</definedName>
    <definedName name="carbohydrate_intake_data">Sheet1!#REF!</definedName>
    <definedName name="cell_mass">Sheet1!$B$21:$XFD$21</definedName>
    <definedName name="cell_mass_b">Sheet1!$B$22:$XFD$22</definedName>
    <definedName name="ci_0">Sheet1!$B$23:$XFD$23</definedName>
    <definedName name="ci_b">Sheet1!$B$24:$XFD$24</definedName>
    <definedName name="ci_g">Sheet1!$B$25:$XFD$25</definedName>
    <definedName name="ci_input">Sheet1!$B$26:$XFD$26</definedName>
    <definedName name="ci_k">Sheet1!$B$27:$XFD$27</definedName>
    <definedName name="ciw">Sheet1!$B$28:$XFD$28</definedName>
    <definedName name="cox_a">Sheet1!$B$29:$XFD$29</definedName>
    <definedName name="cox_d">Sheet1!$B$30:$XFD$30</definedName>
    <definedName name="cox_k">Sheet1!$B$31:$XFD$31</definedName>
    <definedName name="cox_s">Sheet1!$B$32:$XFD$32</definedName>
    <definedName name="cox_s_k">Sheet1!$B$33:$XFD$33</definedName>
    <definedName name="d_ox_tee">Sheet1!$B$34:$XFD$34</definedName>
    <definedName name="dc">Sheet1!$B$35:$XFD$35</definedName>
    <definedName name="dc_b">Sheet1!$B$36:$XFD$36</definedName>
    <definedName name="dci">Sheet1!$B$37:$XFD$37</definedName>
    <definedName name="degc_p">Sheet1!$B$38:$XFD$38</definedName>
    <definedName name="del_at">Sheet1!$B$39:$XFD$39</definedName>
    <definedName name="depc_c">Sheet1!$B$40:$XFD$40</definedName>
    <definedName name="depc_f">Sheet1!$B$41:$XFD$41</definedName>
    <definedName name="depc_p">Sheet1!$B$42:$XFD$42</definedName>
    <definedName name="df">Sheet1!$B$43:$XFD$43</definedName>
    <definedName name="df_b">Sheet1!$B$221:$XFD$221</definedName>
    <definedName name="df_mol_b">Sheet1!$B$44:$XFD$44</definedName>
    <definedName name="dnl">Sheet1!$B$45:$XFD$45</definedName>
    <definedName name="dnl_b">Sheet1!$B$46:$XFD$46</definedName>
    <definedName name="dnl_i">Sheet1!$B$47:$XFD$47</definedName>
    <definedName name="dnl_in">Sheet1!$BI$3:$BI$1048576</definedName>
    <definedName name="dnl_o">Sheet1!$B$48:$XFD$48</definedName>
    <definedName name="dnleff">Sheet1!$B$49:$XFD$49</definedName>
    <definedName name="dp">Sheet1!$B$50:$XFD$50</definedName>
    <definedName name="dp_b">Sheet1!$B$51:$XFD$51</definedName>
    <definedName name="dp_mol_b">Sheet1!$B$52:$XFD$52</definedName>
    <definedName name="dpi">Sheet1!$B$53:$XFD$53</definedName>
    <definedName name="ec">Sheet1!$B$54:$XFD$54</definedName>
    <definedName name="ecw">Sheet1!$B$55:$XFD$55</definedName>
    <definedName name="ecw_b">Sheet1!$B$56:$XFD$56</definedName>
    <definedName name="eff_act_pox">Sheet1!$B$57:$XFD$57</definedName>
    <definedName name="eff_c_dnl">Sheet1!$B$58:$XFD$58</definedName>
    <definedName name="eff_c_dnl_b">Sheet1!$B$59:$XFD$59</definedName>
    <definedName name="eff_ci_cox">Sheet1!$B$60:$XFD$60</definedName>
    <definedName name="eff_ci_df">Sheet1!$B$61:$XFD$61</definedName>
    <definedName name="eff_ci_gngp">Sheet1!$B$62:$XFD$62</definedName>
    <definedName name="eff_dg_cox">Sheet1!$B$63:$XFD$63</definedName>
    <definedName name="eff_fox_p">Sheet1!$B$64:$XFD$64</definedName>
    <definedName name="eff_obes_df">Sheet1!$B$65:$XFD$65</definedName>
    <definedName name="eff_pi_gngp">Sheet1!$B$66:$XFD$66</definedName>
    <definedName name="eff_pi_pox">Sheet1!$B$67:$XFD$67</definedName>
    <definedName name="eff_suff_c">Sheet1!$B$68:$XFD$68</definedName>
    <definedName name="exog_glycerol_per_kcal_fat_intake">Sheet1!$B$69:$XFD$69</definedName>
    <definedName name="f">Sheet1!$B$70:$XFD$70</definedName>
    <definedName name="f_b">Sheet1!$B$71:$XFD$71</definedName>
    <definedName name="f_bal">Sheet1!$B$197:$XFD$197</definedName>
    <definedName name="f_init">Sheet1!$B$72:$XFD$72</definedName>
    <definedName name="fat_intake_data">Sheet1!#REF!</definedName>
    <definedName name="fat_term">Sheet1!$B$73:$XFD$73</definedName>
    <definedName name="fc">Sheet1!$B$74:$XFD$74</definedName>
    <definedName name="fc_s">Sheet1!$B$75:$XFD$75</definedName>
    <definedName name="fetw">Sheet1!$B$76:$XFD$76</definedName>
    <definedName name="ff">Sheet1!$B$77:$XFD$77</definedName>
    <definedName name="ff_s">Sheet1!$B$78:$XFD$78</definedName>
    <definedName name="fi_0">Sheet1!$B$79:$XFD$79</definedName>
    <definedName name="fi_b">Sheet1!$B$80:$XFD$80</definedName>
    <definedName name="fi_g">Sheet1!$B$81:$XFD$81</definedName>
    <definedName name="fi_input">Sheet1!$B$82:$XFD$82</definedName>
    <definedName name="fi_k">Sheet1!$B$83:$XFD$83</definedName>
    <definedName name="fiew">Sheet1!$B$84:$XFD$84</definedName>
    <definedName name="fox_a">Sheet1!$B$85:$XFD$85</definedName>
    <definedName name="fox_d">Sheet1!$B$86:$XFD$86</definedName>
    <definedName name="fox_k">Sheet1!$B$87:$XFD$87</definedName>
    <definedName name="fox_p">Sheet1!$B$88:$XFD$88</definedName>
    <definedName name="fox_s">Sheet1!$B$89:$XFD$89</definedName>
    <definedName name="fox_s_k">Sheet1!$B$90:$XFD$90</definedName>
    <definedName name="fp">Sheet1!$B$91:$XFD$91</definedName>
    <definedName name="fp_s">Sheet1!$B$92:$XFD$92</definedName>
    <definedName name="fw">Sheet1!$B$93:$XFD$93</definedName>
    <definedName name="fwcm">Sheet1!$B$94:$XFD$94</definedName>
    <definedName name="gap">Sheet1!$B$95:$XFD$95</definedName>
    <definedName name="gap_c">Sheet1!$B$96:$XFD$96</definedName>
    <definedName name="gap_f">Sheet1!$B$97:$XFD$97</definedName>
    <definedName name="gngeff">Sheet1!$B$98:$XFD$98</definedName>
    <definedName name="gngf">Sheet1!$B$99:$XFD$99</definedName>
    <definedName name="gngf_b">Sheet1!$B$100:$XFD$100</definedName>
    <definedName name="gngf_end">Sheet1!$B$101:$XFD$101</definedName>
    <definedName name="gngf_end_b">Sheet1!$B$102:$XFD$102</definedName>
    <definedName name="gngf_ex">Sheet1!$B$103:$XFD$103</definedName>
    <definedName name="gngf_ex_b">Sheet1!$B$104:$XFD$104</definedName>
    <definedName name="gngf_i">Sheet1!$B$105:$XFD$105</definedName>
    <definedName name="gngf_o">Sheet1!$B$106:$XFD$106</definedName>
    <definedName name="gngp">Sheet1!$B$107:$XFD$107</definedName>
    <definedName name="gngp_b">Sheet1!$B$108:$XFD$108</definedName>
    <definedName name="gngp_i">Sheet1!$B$109:$XFD$109</definedName>
    <definedName name="gngp_in">Sheet1!$DT$3:$DT$1048576</definedName>
    <definedName name="gngp_o">Sheet1!$B$110:$XFD$110</definedName>
    <definedName name="hc">Sheet1!$B$111:$XFD$111</definedName>
    <definedName name="hill_dnl">Sheet1!$B$112:$XFD$112</definedName>
    <definedName name="hp">Sheet1!$B$113:$XFD$113</definedName>
    <definedName name="ics">Sheet1!$B$114:$XFD$114</definedName>
    <definedName name="icw">Sheet1!$B$115:$XFD$115</definedName>
    <definedName name="icw_b">Sheet1!$B$116:$XFD$116</definedName>
    <definedName name="is_sufficient_carb">Sheet1!$B$117:$XFD$117</definedName>
    <definedName name="is_sufficient_fat">Sheet1!$B$118:$XFD$118</definedName>
    <definedName name="k_dnl">Sheet1!$B$119:$XFD$119</definedName>
    <definedName name="k_lip">Sheet1!$B$120:$XFD$120</definedName>
    <definedName name="kc">Sheet1!$B$121:$XFD$121</definedName>
    <definedName name="kf">Sheet1!$B$122:$XFD$122</definedName>
    <definedName name="kp">Sheet1!$B$123:$XFD$123</definedName>
    <definedName name="lean">Sheet1!$B$124:$XFD$124</definedName>
    <definedName name="lean_b">Sheet1!$B$125:$XFD$125</definedName>
    <definedName name="lipol_max">Sheet1!$B$126:$XFD$126</definedName>
    <definedName name="lipol_min">Sheet1!$B$127:$XFD$127</definedName>
    <definedName name="mass_ffa">Sheet1!$B$128:$XFD$128</definedName>
    <definedName name="mass_of_glycerol">Sheet1!$B$129:$XFD$129</definedName>
    <definedName name="mass_tg">Sheet1!$B$130:$XFD$130</definedName>
    <definedName name="massaa">Sheet1!$B$131:$XFD$131</definedName>
    <definedName name="massb">Sheet1!$B$132:$XFD$132</definedName>
    <definedName name="mbc">Sheet1!$B$133:$XFD$133</definedName>
    <definedName name="mbc_b">Sheet1!$B$218:$XFD$218</definedName>
    <definedName name="mc">Sheet1!$B$134:$XFD$134</definedName>
    <definedName name="mc_b">Sheet1!$B$220:$XFD$220</definedName>
    <definedName name="mei">Sheet1!$B$135:$XFD$135</definedName>
    <definedName name="mei_b">Sheet1!$B$136:$XFD$136</definedName>
    <definedName name="molar_caloric_dens_glycerol">Sheet1!$B$137:$XFD$137</definedName>
    <definedName name="molar_caloric_dens_tg">Sheet1!$B$138:$XFD$138</definedName>
    <definedName name="mt">Sheet1!$B$139:$XFD$139</definedName>
    <definedName name="mt_b">Sheet1!$B$219:$XFD$219</definedName>
    <definedName name="nacteng_bw">Sheet1!$B$140:$XFD$140</definedName>
    <definedName name="nc">Sheet1!$B$141:$XFD$141</definedName>
    <definedName name="ndc">Sheet1!$B$142:$XFD$142</definedName>
    <definedName name="ndci">Sheet1!$B$143:$XFD$143</definedName>
    <definedName name="ndf">Sheet1!$B$144:$XFD$144</definedName>
    <definedName name="ndmei">Sheet1!$B$145:$XFD$145</definedName>
    <definedName name="ndp">Sheet1!$B$146:$XFD$146</definedName>
    <definedName name="ndpi">Sheet1!$B$147:$XFD$147</definedName>
    <definedName name="new_eqns_1" localSheetId="0">Sheet1!$A$2:$B$195</definedName>
    <definedName name="np">Sheet1!$B$148:$XFD$148</definedName>
    <definedName name="ox">Sheet1!$B$149:$XFD$149</definedName>
    <definedName name="ox_p">Sheet1!$B$150:$XFD$150</definedName>
    <definedName name="ox_s">Sheet1!$B$151:$XFD$151</definedName>
    <definedName name="p">Sheet1!$B$152:$XFD$152</definedName>
    <definedName name="p_b">Sheet1!$B$153:$XFD$153</definedName>
    <definedName name="p_bal">Sheet1!$B$199:$XFD$199</definedName>
    <definedName name="p_init">Sheet1!$B$154:$XFD$154</definedName>
    <definedName name="pae">Sheet1!$B$155:$XFD$155</definedName>
    <definedName name="pae_b">Sheet1!$B$224:$XFD$224</definedName>
    <definedName name="pi_0">Sheet1!$B$156:$XFD$156</definedName>
    <definedName name="pi_b">Sheet1!$B$157:$XFD$157</definedName>
    <definedName name="pi_g">Sheet1!$B$158:$XFD$158</definedName>
    <definedName name="pi_input">Sheet1!$B$159:$XFD$159</definedName>
    <definedName name="pi_k">Sheet1!$B$160:$XFD$160</definedName>
    <definedName name="pox_a">Sheet1!$B$161:$XFD$161</definedName>
    <definedName name="pox_d">Sheet1!$B$162:$XFD$162</definedName>
    <definedName name="pox_k">Sheet1!$B$163:$XFD$163</definedName>
    <definedName name="pox_s">Sheet1!$B$164:$XFD$164</definedName>
    <definedName name="pox_s_k">Sheet1!$B$165:$XFD$165</definedName>
    <definedName name="prot_term">Sheet1!$B$166:$XFD$166</definedName>
    <definedName name="protein_fraction_of_cell_mass">Sheet1!$B$167:$XFD$167</definedName>
    <definedName name="protein_intake_data">Sheet1!#REF!</definedName>
    <definedName name="read_from_data">Sheet1!$B$168:$XFD$168</definedName>
    <definedName name="rmr">Sheet1!$B$169:$XFD$169</definedName>
    <definedName name="rmr_b">Sheet1!$B$222:$XFD$222</definedName>
    <definedName name="rmr_b_b">Sheet1!$B$170:$XFD$170</definedName>
    <definedName name="rmr_f_b">Sheet1!$B$171:$XFD$171</definedName>
    <definedName name="rmr_lean">Sheet1!$B$172:$XFD$172</definedName>
    <definedName name="rmr_lean_b">Sheet1!$B$173:$XFD$173</definedName>
    <definedName name="rmreff">Sheet1!$B$174:$XFD$174</definedName>
    <definedName name="sa">Sheet1!$B$175:$XFD$175</definedName>
    <definedName name="sci">Sheet1!$B$176:$XFD$176</definedName>
    <definedName name="see">Sheet1!$B$177:$XFD$177</definedName>
    <definedName name="see_b">Sheet1!$B$178:$XFD$178</definedName>
    <definedName name="spi">Sheet1!$B$179:$XFD$179</definedName>
    <definedName name="suff_c">Sheet1!$B$180:$XFD$180</definedName>
    <definedName name="tc">Sheet1!$B$181:$XFD$181</definedName>
    <definedName name="tee">Sheet1!$B$182:$XFD$182</definedName>
    <definedName name="tee_b">Sheet1!$B$183:$XFD$183</definedName>
    <definedName name="tef">Sheet1!$B$184:$XFD$184</definedName>
    <definedName name="tef_b">Sheet1!$B$223:$XFD$223</definedName>
    <definedName name="tef_c">Sheet1!$B$185:$XFD$185</definedName>
    <definedName name="tef_f">Sheet1!$B$186:$XFD$186</definedName>
    <definedName name="tef_p">Sheet1!$B$187:$XFD$187</definedName>
    <definedName name="time_step">Sheet1!$B$196:$XFD$196</definedName>
    <definedName name="wci">Sheet1!$B$188:$XFD$188</definedName>
    <definedName name="wf">Sheet1!$B$189:$XFD$189</definedName>
    <definedName name="wg">Sheet1!$B$190:$XFD$190</definedName>
    <definedName name="wpi">Sheet1!$B$191:$XFD$191</definedName>
    <definedName name="y">Sheet1!$B$192:$XFD$192</definedName>
    <definedName name="z">Sheet1!$B$193:$XFD$193</definedName>
    <definedName name="z_check_0">Sheet1!$B$194:$XFD$194</definedName>
    <definedName name="z_check_1">Sheet1!$B$195:$XFD$195</definedName>
  </definedNames>
  <calcPr calcId="124519"/>
</workbook>
</file>

<file path=xl/calcChain.xml><?xml version="1.0" encoding="utf-8"?>
<calcChain xmlns="http://schemas.openxmlformats.org/spreadsheetml/2006/main">
  <c r="B225" i="1"/>
  <c r="B16"/>
  <c r="B72"/>
  <c r="B154"/>
  <c r="C191"/>
  <c r="C188"/>
  <c r="C187"/>
  <c r="C186"/>
  <c r="C185"/>
  <c r="C181"/>
  <c r="C179"/>
  <c r="C176"/>
  <c r="C175"/>
  <c r="C173"/>
  <c r="C171"/>
  <c r="C170"/>
  <c r="C168"/>
  <c r="C167"/>
  <c r="C157"/>
  <c r="C159" s="1"/>
  <c r="C132"/>
  <c r="C131"/>
  <c r="C130"/>
  <c r="C129"/>
  <c r="C127"/>
  <c r="C126"/>
  <c r="C120"/>
  <c r="C119"/>
  <c r="C114"/>
  <c r="C113"/>
  <c r="C112"/>
  <c r="C111"/>
  <c r="C108"/>
  <c r="C98"/>
  <c r="C94"/>
  <c r="C93"/>
  <c r="C82"/>
  <c r="C83" s="1"/>
  <c r="C80"/>
  <c r="C76"/>
  <c r="C84" s="1"/>
  <c r="C59"/>
  <c r="C52"/>
  <c r="C51"/>
  <c r="C49"/>
  <c r="C46"/>
  <c r="C44"/>
  <c r="C102" s="1"/>
  <c r="C42"/>
  <c r="C41"/>
  <c r="C40"/>
  <c r="C39"/>
  <c r="C38"/>
  <c r="C36"/>
  <c r="C24"/>
  <c r="C136" s="1"/>
  <c r="C19"/>
  <c r="C18"/>
  <c r="C138" s="1"/>
  <c r="F138" s="1"/>
  <c r="C17"/>
  <c r="C15"/>
  <c r="C16" s="1"/>
  <c r="C13"/>
  <c r="C11"/>
  <c r="C9"/>
  <c r="C174" s="1"/>
  <c r="C7"/>
  <c r="C6"/>
  <c r="C5"/>
  <c r="C3"/>
  <c r="C140" s="1"/>
  <c r="C2"/>
  <c r="F3"/>
  <c r="F5"/>
  <c r="F6"/>
  <c r="F7"/>
  <c r="F8"/>
  <c r="F9"/>
  <c r="F13"/>
  <c r="F15"/>
  <c r="F17"/>
  <c r="F18"/>
  <c r="F19"/>
  <c r="F23"/>
  <c r="F24"/>
  <c r="F36"/>
  <c r="F38"/>
  <c r="F39"/>
  <c r="F40"/>
  <c r="F41"/>
  <c r="F42"/>
  <c r="F44"/>
  <c r="F46"/>
  <c r="F49"/>
  <c r="F51"/>
  <c r="F52"/>
  <c r="F59"/>
  <c r="F64"/>
  <c r="F68"/>
  <c r="F76"/>
  <c r="F79"/>
  <c r="F80"/>
  <c r="F82"/>
  <c r="F93"/>
  <c r="F94"/>
  <c r="F98"/>
  <c r="F108"/>
  <c r="F111"/>
  <c r="F112"/>
  <c r="F113"/>
  <c r="F114"/>
  <c r="F119"/>
  <c r="F120"/>
  <c r="F126"/>
  <c r="F127"/>
  <c r="F129"/>
  <c r="F130"/>
  <c r="F131"/>
  <c r="F132"/>
  <c r="F156"/>
  <c r="F157"/>
  <c r="F167"/>
  <c r="F168"/>
  <c r="F170"/>
  <c r="F171"/>
  <c r="F173"/>
  <c r="F175"/>
  <c r="F176"/>
  <c r="F179"/>
  <c r="F181"/>
  <c r="F185"/>
  <c r="F186"/>
  <c r="F187"/>
  <c r="F188"/>
  <c r="F191"/>
  <c r="F196"/>
  <c r="F2"/>
  <c r="D26"/>
  <c r="B26"/>
  <c r="D159"/>
  <c r="B159"/>
  <c r="D82"/>
  <c r="E82"/>
  <c r="E83" s="1"/>
  <c r="E81" s="1"/>
  <c r="B82"/>
  <c r="E13"/>
  <c r="E221"/>
  <c r="E219" s="1"/>
  <c r="E224"/>
  <c r="E5"/>
  <c r="E7"/>
  <c r="E6" s="1"/>
  <c r="E9"/>
  <c r="E2" s="1"/>
  <c r="E11"/>
  <c r="E15"/>
  <c r="E16"/>
  <c r="E14" s="1"/>
  <c r="E17"/>
  <c r="E18"/>
  <c r="E19"/>
  <c r="E24"/>
  <c r="E26" s="1"/>
  <c r="E36"/>
  <c r="E35" s="1"/>
  <c r="E142" s="1"/>
  <c r="E38"/>
  <c r="E39"/>
  <c r="E40"/>
  <c r="E41"/>
  <c r="E42"/>
  <c r="E44"/>
  <c r="E49"/>
  <c r="E52"/>
  <c r="E51" s="1"/>
  <c r="E76"/>
  <c r="E80"/>
  <c r="E84"/>
  <c r="E93"/>
  <c r="E56" s="1"/>
  <c r="E94"/>
  <c r="E98"/>
  <c r="E108"/>
  <c r="E111"/>
  <c r="E112"/>
  <c r="E113"/>
  <c r="E114"/>
  <c r="E119"/>
  <c r="E59" s="1"/>
  <c r="E46" s="1"/>
  <c r="E126"/>
  <c r="E127"/>
  <c r="E129"/>
  <c r="E69" s="1"/>
  <c r="E130"/>
  <c r="E128" s="1"/>
  <c r="E131"/>
  <c r="E132"/>
  <c r="E137"/>
  <c r="E138"/>
  <c r="E157"/>
  <c r="E136" s="1"/>
  <c r="E167"/>
  <c r="E168"/>
  <c r="E170"/>
  <c r="E171"/>
  <c r="E173"/>
  <c r="E172" s="1"/>
  <c r="E174"/>
  <c r="E175"/>
  <c r="E176"/>
  <c r="E179"/>
  <c r="E181"/>
  <c r="E185"/>
  <c r="E186"/>
  <c r="E187"/>
  <c r="E188"/>
  <c r="E191"/>
  <c r="D225"/>
  <c r="D218"/>
  <c r="D220"/>
  <c r="C221"/>
  <c r="C219" s="1"/>
  <c r="D221"/>
  <c r="D219" s="1"/>
  <c r="D222" s="1"/>
  <c r="D54" s="1"/>
  <c r="C223"/>
  <c r="D223"/>
  <c r="C224"/>
  <c r="D224"/>
  <c r="B54"/>
  <c r="B224"/>
  <c r="B223"/>
  <c r="B222"/>
  <c r="B219"/>
  <c r="B221"/>
  <c r="B220"/>
  <c r="B218"/>
  <c r="D217"/>
  <c r="B217"/>
  <c r="B215"/>
  <c r="B213"/>
  <c r="B211"/>
  <c r="B209"/>
  <c r="B206"/>
  <c r="B204"/>
  <c r="B202"/>
  <c r="D16"/>
  <c r="D72"/>
  <c r="D154"/>
  <c r="D191"/>
  <c r="D188"/>
  <c r="D187"/>
  <c r="D186"/>
  <c r="D185"/>
  <c r="D181"/>
  <c r="D179"/>
  <c r="D176"/>
  <c r="D175"/>
  <c r="D173"/>
  <c r="D171"/>
  <c r="D170"/>
  <c r="D168"/>
  <c r="D167"/>
  <c r="D160"/>
  <c r="D156"/>
  <c r="D157" s="1"/>
  <c r="D152"/>
  <c r="D132"/>
  <c r="D131"/>
  <c r="D130"/>
  <c r="D129"/>
  <c r="D127"/>
  <c r="D126"/>
  <c r="D120"/>
  <c r="D119"/>
  <c r="D114"/>
  <c r="D113"/>
  <c r="D112"/>
  <c r="D111"/>
  <c r="D108"/>
  <c r="D98"/>
  <c r="D94"/>
  <c r="D93"/>
  <c r="D83"/>
  <c r="D81" s="1"/>
  <c r="D79"/>
  <c r="D76"/>
  <c r="D84" s="1"/>
  <c r="D70"/>
  <c r="D88" s="1"/>
  <c r="D59"/>
  <c r="D52"/>
  <c r="D51"/>
  <c r="D49"/>
  <c r="D44"/>
  <c r="D102" s="1"/>
  <c r="D42"/>
  <c r="D41"/>
  <c r="D40"/>
  <c r="D39"/>
  <c r="D38"/>
  <c r="D36"/>
  <c r="D27"/>
  <c r="D23"/>
  <c r="D19"/>
  <c r="D18"/>
  <c r="D138" s="1"/>
  <c r="D17"/>
  <c r="D15"/>
  <c r="D14"/>
  <c r="D13"/>
  <c r="D11"/>
  <c r="D9"/>
  <c r="D174" s="1"/>
  <c r="D172" s="1"/>
  <c r="D7"/>
  <c r="D6"/>
  <c r="D5"/>
  <c r="D3"/>
  <c r="D140" s="1"/>
  <c r="D57" s="1"/>
  <c r="D2"/>
  <c r="F11"/>
  <c r="B120"/>
  <c r="B83"/>
  <c r="B27"/>
  <c r="B6"/>
  <c r="B129"/>
  <c r="B168"/>
  <c r="B130"/>
  <c r="B167"/>
  <c r="B160"/>
  <c r="B19"/>
  <c r="B18"/>
  <c r="B138" s="1"/>
  <c r="B17"/>
  <c r="B15"/>
  <c r="B13"/>
  <c r="B114"/>
  <c r="B111"/>
  <c r="B113"/>
  <c r="B52"/>
  <c r="B131"/>
  <c r="B36"/>
  <c r="B126"/>
  <c r="B127"/>
  <c r="B44"/>
  <c r="B40"/>
  <c r="B42"/>
  <c r="B38"/>
  <c r="B41"/>
  <c r="B132"/>
  <c r="B170"/>
  <c r="B171"/>
  <c r="B173"/>
  <c r="B39"/>
  <c r="B9"/>
  <c r="B5"/>
  <c r="B181"/>
  <c r="B7"/>
  <c r="B186"/>
  <c r="B185"/>
  <c r="B187"/>
  <c r="B108"/>
  <c r="B119"/>
  <c r="B112"/>
  <c r="B69"/>
  <c r="B98"/>
  <c r="B49"/>
  <c r="B188"/>
  <c r="B176"/>
  <c r="B191"/>
  <c r="B175"/>
  <c r="B179"/>
  <c r="B79"/>
  <c r="B93"/>
  <c r="B23"/>
  <c r="B24" s="1"/>
  <c r="B94"/>
  <c r="B156"/>
  <c r="B76"/>
  <c r="C57" l="1"/>
  <c r="F57" s="1"/>
  <c r="F140"/>
  <c r="C172"/>
  <c r="F174"/>
  <c r="C14"/>
  <c r="F16"/>
  <c r="C183"/>
  <c r="F136"/>
  <c r="F102"/>
  <c r="F84"/>
  <c r="C81"/>
  <c r="F83"/>
  <c r="C160"/>
  <c r="F159"/>
  <c r="C4"/>
  <c r="C26"/>
  <c r="C56"/>
  <c r="C69"/>
  <c r="C128"/>
  <c r="F128" s="1"/>
  <c r="C137"/>
  <c r="F137" s="1"/>
  <c r="E159"/>
  <c r="E27"/>
  <c r="E223"/>
  <c r="E183"/>
  <c r="E103"/>
  <c r="E104"/>
  <c r="E55"/>
  <c r="E116"/>
  <c r="E141"/>
  <c r="E58" s="1"/>
  <c r="E22"/>
  <c r="E3"/>
  <c r="E120"/>
  <c r="E102"/>
  <c r="D135"/>
  <c r="D25"/>
  <c r="D158"/>
  <c r="D53"/>
  <c r="D184"/>
  <c r="D4"/>
  <c r="D24"/>
  <c r="D35"/>
  <c r="D142" s="1"/>
  <c r="D46"/>
  <c r="D56"/>
  <c r="D55" s="1"/>
  <c r="D69"/>
  <c r="D80"/>
  <c r="D128"/>
  <c r="D137"/>
  <c r="D141"/>
  <c r="D58" s="1"/>
  <c r="B59"/>
  <c r="B46"/>
  <c r="B84"/>
  <c r="C104" l="1"/>
  <c r="C103"/>
  <c r="F103" s="1"/>
  <c r="F69"/>
  <c r="C55"/>
  <c r="F56"/>
  <c r="C27"/>
  <c r="F26"/>
  <c r="F4"/>
  <c r="C158"/>
  <c r="F158" s="1"/>
  <c r="C53"/>
  <c r="F160"/>
  <c r="F81"/>
  <c r="F183"/>
  <c r="C217"/>
  <c r="C141"/>
  <c r="C35"/>
  <c r="F172"/>
  <c r="C116"/>
  <c r="C22" s="1"/>
  <c r="C153" s="1"/>
  <c r="C154" s="1"/>
  <c r="F116"/>
  <c r="F153"/>
  <c r="E160"/>
  <c r="E217"/>
  <c r="E25"/>
  <c r="E45" s="1"/>
  <c r="E37"/>
  <c r="E143" s="1"/>
  <c r="D147"/>
  <c r="E153"/>
  <c r="E154" s="1"/>
  <c r="E100"/>
  <c r="E4"/>
  <c r="E140"/>
  <c r="E57" s="1"/>
  <c r="E47"/>
  <c r="E48"/>
  <c r="E125"/>
  <c r="E71" s="1"/>
  <c r="E72" s="1"/>
  <c r="E70" s="1"/>
  <c r="E178"/>
  <c r="D104"/>
  <c r="D100" s="1"/>
  <c r="D103"/>
  <c r="D67"/>
  <c r="D66"/>
  <c r="D45"/>
  <c r="D136"/>
  <c r="D183" s="1"/>
  <c r="D178" s="1"/>
  <c r="D123" s="1"/>
  <c r="D122"/>
  <c r="D189" s="1"/>
  <c r="D28"/>
  <c r="D115" s="1"/>
  <c r="D21" s="1"/>
  <c r="D116"/>
  <c r="D22" s="1"/>
  <c r="D153" s="1"/>
  <c r="D37"/>
  <c r="D145"/>
  <c r="B70"/>
  <c r="C152" l="1"/>
  <c r="F154"/>
  <c r="C142"/>
  <c r="C58"/>
  <c r="C147"/>
  <c r="F53"/>
  <c r="C135"/>
  <c r="C37"/>
  <c r="C25"/>
  <c r="F27"/>
  <c r="F55"/>
  <c r="F104"/>
  <c r="C100"/>
  <c r="C28"/>
  <c r="C125"/>
  <c r="C71" s="1"/>
  <c r="C72" s="1"/>
  <c r="F22"/>
  <c r="E220"/>
  <c r="E53"/>
  <c r="E158"/>
  <c r="E135"/>
  <c r="E62"/>
  <c r="E60"/>
  <c r="D143"/>
  <c r="D10"/>
  <c r="E152"/>
  <c r="E28"/>
  <c r="E218"/>
  <c r="E222" s="1"/>
  <c r="E121"/>
  <c r="E123"/>
  <c r="E65"/>
  <c r="E88"/>
  <c r="E122"/>
  <c r="D62"/>
  <c r="D60"/>
  <c r="D148"/>
  <c r="D107" s="1"/>
  <c r="D50"/>
  <c r="D133"/>
  <c r="D124"/>
  <c r="D12" s="1"/>
  <c r="D155" s="1"/>
  <c r="D195"/>
  <c r="D48"/>
  <c r="D47"/>
  <c r="D125"/>
  <c r="D71" s="1"/>
  <c r="D65" s="1"/>
  <c r="D121"/>
  <c r="D190" s="1"/>
  <c r="B88"/>
  <c r="C70" l="1"/>
  <c r="F72"/>
  <c r="F100"/>
  <c r="C220"/>
  <c r="C178"/>
  <c r="C45"/>
  <c r="F25"/>
  <c r="C184"/>
  <c r="F184" s="1"/>
  <c r="C143"/>
  <c r="F37"/>
  <c r="C145"/>
  <c r="F135"/>
  <c r="C67"/>
  <c r="C66"/>
  <c r="F66" s="1"/>
  <c r="F147"/>
  <c r="C148"/>
  <c r="C50"/>
  <c r="C115"/>
  <c r="C21"/>
  <c r="F125"/>
  <c r="E145"/>
  <c r="E184"/>
  <c r="E147"/>
  <c r="E189"/>
  <c r="E225"/>
  <c r="E54"/>
  <c r="E148"/>
  <c r="E50"/>
  <c r="E146" s="1"/>
  <c r="E115"/>
  <c r="E21" s="1"/>
  <c r="E195"/>
  <c r="E190"/>
  <c r="D63"/>
  <c r="D20" s="1"/>
  <c r="D194"/>
  <c r="D146"/>
  <c r="D110"/>
  <c r="D109"/>
  <c r="B80"/>
  <c r="B104"/>
  <c r="B137"/>
  <c r="B51"/>
  <c r="B56"/>
  <c r="B128"/>
  <c r="B102"/>
  <c r="B152"/>
  <c r="F152" s="1"/>
  <c r="B174"/>
  <c r="B157"/>
  <c r="B25"/>
  <c r="B11"/>
  <c r="B2"/>
  <c r="B14"/>
  <c r="F14" s="1"/>
  <c r="C133" l="1"/>
  <c r="C124"/>
  <c r="C146"/>
  <c r="C10"/>
  <c r="F10" s="1"/>
  <c r="F145"/>
  <c r="C62"/>
  <c r="F62" s="1"/>
  <c r="C60"/>
  <c r="F60" s="1"/>
  <c r="F143"/>
  <c r="C48"/>
  <c r="C47"/>
  <c r="F178"/>
  <c r="C123"/>
  <c r="F123" s="1"/>
  <c r="C121"/>
  <c r="C88"/>
  <c r="F88" s="1"/>
  <c r="C65"/>
  <c r="C12"/>
  <c r="F70"/>
  <c r="C122"/>
  <c r="F71"/>
  <c r="C218"/>
  <c r="C222" s="1"/>
  <c r="C54" s="1"/>
  <c r="E66"/>
  <c r="E67"/>
  <c r="E10"/>
  <c r="E107"/>
  <c r="E124"/>
  <c r="E12" s="1"/>
  <c r="E155" s="1"/>
  <c r="E133"/>
  <c r="E109"/>
  <c r="E110"/>
  <c r="E63"/>
  <c r="E194"/>
  <c r="B141"/>
  <c r="B35"/>
  <c r="F35" s="1"/>
  <c r="B3"/>
  <c r="B136"/>
  <c r="B172"/>
  <c r="B81"/>
  <c r="B116"/>
  <c r="B37"/>
  <c r="B135"/>
  <c r="B158"/>
  <c r="B53"/>
  <c r="B100"/>
  <c r="B184"/>
  <c r="B55"/>
  <c r="B28"/>
  <c r="F28" s="1"/>
  <c r="B103"/>
  <c r="B115"/>
  <c r="B21" s="1"/>
  <c r="F21" s="1"/>
  <c r="B58" l="1"/>
  <c r="F141"/>
  <c r="F115"/>
  <c r="C189"/>
  <c r="F122"/>
  <c r="C155"/>
  <c r="C190"/>
  <c r="F121"/>
  <c r="C107"/>
  <c r="F54"/>
  <c r="C225"/>
  <c r="E20"/>
  <c r="B147"/>
  <c r="B145"/>
  <c r="B143"/>
  <c r="B22"/>
  <c r="B133"/>
  <c r="F133" s="1"/>
  <c r="B183"/>
  <c r="B4"/>
  <c r="B140"/>
  <c r="B57" s="1"/>
  <c r="B142"/>
  <c r="F142" s="1"/>
  <c r="B124"/>
  <c r="F124" s="1"/>
  <c r="F58" l="1"/>
  <c r="B45"/>
  <c r="C110"/>
  <c r="C109"/>
  <c r="C63"/>
  <c r="C20" s="1"/>
  <c r="C194"/>
  <c r="C195"/>
  <c r="B12"/>
  <c r="F12" s="1"/>
  <c r="B155"/>
  <c r="F155" s="1"/>
  <c r="B178"/>
  <c r="B153"/>
  <c r="B125"/>
  <c r="B60"/>
  <c r="B62"/>
  <c r="B10"/>
  <c r="B66"/>
  <c r="B67"/>
  <c r="B214" l="1"/>
  <c r="F45"/>
  <c r="B47"/>
  <c r="F47" s="1"/>
  <c r="B48"/>
  <c r="F48" s="1"/>
  <c r="F67"/>
  <c r="E166" s="1"/>
  <c r="D166"/>
  <c r="B71"/>
  <c r="B65" s="1"/>
  <c r="B148"/>
  <c r="F148" s="1"/>
  <c r="B50"/>
  <c r="F50" s="1"/>
  <c r="B123"/>
  <c r="B121"/>
  <c r="B122"/>
  <c r="F65" l="1"/>
  <c r="C61" s="1"/>
  <c r="C144" s="1"/>
  <c r="E61"/>
  <c r="E144" s="1"/>
  <c r="C166"/>
  <c r="D61"/>
  <c r="B61"/>
  <c r="B189"/>
  <c r="F189" s="1"/>
  <c r="B190"/>
  <c r="F190" s="1"/>
  <c r="B146"/>
  <c r="F146" s="1"/>
  <c r="B107"/>
  <c r="E73" l="1"/>
  <c r="E43"/>
  <c r="E139" s="1"/>
  <c r="E101"/>
  <c r="E99" s="1"/>
  <c r="C43"/>
  <c r="C139" s="1"/>
  <c r="C101"/>
  <c r="C99" s="1"/>
  <c r="C73"/>
  <c r="B210"/>
  <c r="F107"/>
  <c r="C193"/>
  <c r="F61"/>
  <c r="D144"/>
  <c r="D43"/>
  <c r="D101"/>
  <c r="D73"/>
  <c r="B144"/>
  <c r="B110"/>
  <c r="F110" s="1"/>
  <c r="B109"/>
  <c r="F109" s="1"/>
  <c r="B166"/>
  <c r="F166" s="1"/>
  <c r="B63"/>
  <c r="B194"/>
  <c r="F194" s="1"/>
  <c r="B73"/>
  <c r="B195"/>
  <c r="F195" s="1"/>
  <c r="C106" l="1"/>
  <c r="C201" s="1"/>
  <c r="C105"/>
  <c r="C134"/>
  <c r="E105"/>
  <c r="E106"/>
  <c r="E201" s="1"/>
  <c r="E134"/>
  <c r="E169" s="1"/>
  <c r="E182" s="1"/>
  <c r="E193"/>
  <c r="E77"/>
  <c r="C169"/>
  <c r="C182" s="1"/>
  <c r="C177" s="1"/>
  <c r="C74"/>
  <c r="C30" s="1"/>
  <c r="C77"/>
  <c r="C86" s="1"/>
  <c r="C91"/>
  <c r="C162" s="1"/>
  <c r="C161" s="1"/>
  <c r="B20"/>
  <c r="F20" s="1"/>
  <c r="F63"/>
  <c r="F144"/>
  <c r="D99"/>
  <c r="D139"/>
  <c r="D193"/>
  <c r="D77"/>
  <c r="D106"/>
  <c r="D105"/>
  <c r="D134"/>
  <c r="B193"/>
  <c r="B91"/>
  <c r="B205" s="1"/>
  <c r="B43"/>
  <c r="B101"/>
  <c r="E74" l="1"/>
  <c r="E91"/>
  <c r="E177"/>
  <c r="E216"/>
  <c r="E86"/>
  <c r="C163"/>
  <c r="C85"/>
  <c r="C29"/>
  <c r="C180"/>
  <c r="F73"/>
  <c r="F43"/>
  <c r="F101"/>
  <c r="D169"/>
  <c r="D201"/>
  <c r="D91"/>
  <c r="D74"/>
  <c r="B99"/>
  <c r="B212" s="1"/>
  <c r="B139"/>
  <c r="B74"/>
  <c r="B203" s="1"/>
  <c r="B77"/>
  <c r="B207" s="1"/>
  <c r="E85" l="1"/>
  <c r="E87" s="1"/>
  <c r="E97"/>
  <c r="E118" s="1"/>
  <c r="E162"/>
  <c r="E161" s="1"/>
  <c r="E163" s="1"/>
  <c r="E30"/>
  <c r="C31"/>
  <c r="C87"/>
  <c r="C96"/>
  <c r="C97"/>
  <c r="C118" s="1"/>
  <c r="F99"/>
  <c r="F139"/>
  <c r="F193"/>
  <c r="D182"/>
  <c r="B105"/>
  <c r="B134"/>
  <c r="E29" l="1"/>
  <c r="E31" s="1"/>
  <c r="E150" s="1"/>
  <c r="E96"/>
  <c r="E180"/>
  <c r="C117"/>
  <c r="C95"/>
  <c r="C150"/>
  <c r="F77"/>
  <c r="F91"/>
  <c r="F74"/>
  <c r="F134"/>
  <c r="F105"/>
  <c r="D177"/>
  <c r="D216"/>
  <c r="B169"/>
  <c r="F169" s="1"/>
  <c r="E95" l="1"/>
  <c r="E117"/>
  <c r="C192"/>
  <c r="C216"/>
  <c r="D86"/>
  <c r="D30"/>
  <c r="D162"/>
  <c r="B182"/>
  <c r="B216" s="1"/>
  <c r="E192" l="1"/>
  <c r="E75"/>
  <c r="E32" s="1"/>
  <c r="C92"/>
  <c r="C164" s="1"/>
  <c r="C78"/>
  <c r="C89" s="1"/>
  <c r="C75"/>
  <c r="C32" s="1"/>
  <c r="F182"/>
  <c r="D161"/>
  <c r="D29"/>
  <c r="D180"/>
  <c r="D96"/>
  <c r="D85"/>
  <c r="D97"/>
  <c r="B177"/>
  <c r="B208" s="1"/>
  <c r="E33" l="1"/>
  <c r="E198"/>
  <c r="E92"/>
  <c r="E164" s="1"/>
  <c r="E78"/>
  <c r="E89" s="1"/>
  <c r="C33"/>
  <c r="C198"/>
  <c r="C90"/>
  <c r="C200"/>
  <c r="C197"/>
  <c r="C165"/>
  <c r="C199"/>
  <c r="F177"/>
  <c r="D118"/>
  <c r="D87"/>
  <c r="D117"/>
  <c r="D95"/>
  <c r="D31"/>
  <c r="D163"/>
  <c r="B162"/>
  <c r="F162" s="1"/>
  <c r="B86"/>
  <c r="F86" s="1"/>
  <c r="B30"/>
  <c r="F30" s="1"/>
  <c r="E90" l="1"/>
  <c r="E197"/>
  <c r="E200"/>
  <c r="E165"/>
  <c r="E199"/>
  <c r="E151"/>
  <c r="E149" s="1"/>
  <c r="E34" s="1"/>
  <c r="C151"/>
  <c r="C149" s="1"/>
  <c r="C34" s="1"/>
  <c r="D150"/>
  <c r="D192"/>
  <c r="D75"/>
  <c r="D78"/>
  <c r="B180"/>
  <c r="F180" s="1"/>
  <c r="B161"/>
  <c r="F161" s="1"/>
  <c r="D89" l="1"/>
  <c r="D32"/>
  <c r="D92"/>
  <c r="B163"/>
  <c r="F163" s="1"/>
  <c r="B85"/>
  <c r="F85" s="1"/>
  <c r="B29"/>
  <c r="F29" s="1"/>
  <c r="D164" l="1"/>
  <c r="D33"/>
  <c r="D198"/>
  <c r="D90"/>
  <c r="D200"/>
  <c r="D197"/>
  <c r="B31"/>
  <c r="F31" s="1"/>
  <c r="B96"/>
  <c r="F96" s="1"/>
  <c r="B87"/>
  <c r="F87" s="1"/>
  <c r="B97"/>
  <c r="B118" l="1"/>
  <c r="F118" s="1"/>
  <c r="F97"/>
  <c r="D165"/>
  <c r="D199"/>
  <c r="B117"/>
  <c r="F117" s="1"/>
  <c r="B95"/>
  <c r="F95" s="1"/>
  <c r="B150"/>
  <c r="F150" s="1"/>
  <c r="D151" l="1"/>
  <c r="B192"/>
  <c r="F192" s="1"/>
  <c r="D149" l="1"/>
  <c r="B92"/>
  <c r="F92" s="1"/>
  <c r="B78"/>
  <c r="F78" s="1"/>
  <c r="B75"/>
  <c r="F75" s="1"/>
  <c r="D34" l="1"/>
  <c r="B32"/>
  <c r="B106"/>
  <c r="B89"/>
  <c r="F89" s="1"/>
  <c r="B164"/>
  <c r="B199" l="1"/>
  <c r="F199" s="1"/>
  <c r="F164"/>
  <c r="B201"/>
  <c r="F201" s="1"/>
  <c r="F106"/>
  <c r="B198"/>
  <c r="F198" s="1"/>
  <c r="F32"/>
  <c r="B197"/>
  <c r="F197" s="1"/>
  <c r="B200"/>
  <c r="F200" s="1"/>
  <c r="B165"/>
  <c r="F165" s="1"/>
  <c r="B90"/>
  <c r="F90" s="1"/>
  <c r="B33"/>
  <c r="F33" s="1"/>
  <c r="B151" l="1"/>
  <c r="F151" s="1"/>
  <c r="B149" l="1"/>
  <c r="B34" l="1"/>
  <c r="F34" s="1"/>
  <c r="F149"/>
</calcChain>
</file>

<file path=xl/connections.xml><?xml version="1.0" encoding="utf-8"?>
<connections xmlns="http://schemas.openxmlformats.org/spreadsheetml/2006/main">
  <connection id="1" name="new_eqns" type="6" refreshedVersion="3" background="1" saveData="1">
    <textPr codePage="857" sourceFile="C:\projects\cinar-agaci-01\ari-kovani-01\python-01\tez-01\excel_converter01\new_eqns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<sst xmlns="http://schemas.openxmlformats.org/spreadsheetml/2006/main" count="242" uniqueCount="216">
  <si>
    <t>c_init</t>
  </si>
  <si>
    <t>p_init</t>
  </si>
  <si>
    <t>f_init</t>
  </si>
  <si>
    <t>kf</t>
  </si>
  <si>
    <t>kp</t>
  </si>
  <si>
    <t>gngf_b</t>
  </si>
  <si>
    <t>fetw</t>
  </si>
  <si>
    <t>cell_mass_b</t>
  </si>
  <si>
    <t>fiew</t>
  </si>
  <si>
    <t>gngf_ex_b</t>
  </si>
  <si>
    <t>see_b</t>
  </si>
  <si>
    <t>pi_0</t>
  </si>
  <si>
    <t>eff_c_dnl_b</t>
  </si>
  <si>
    <t>fwcm</t>
  </si>
  <si>
    <t>ci_0</t>
  </si>
  <si>
    <t>tee_b</t>
  </si>
  <si>
    <t>mei_b</t>
  </si>
  <si>
    <t>fw</t>
  </si>
  <si>
    <t>dnl_b</t>
  </si>
  <si>
    <t>z_check_0</t>
  </si>
  <si>
    <t>icw_b</t>
  </si>
  <si>
    <t>z_check_1</t>
  </si>
  <si>
    <t>fi_0</t>
  </si>
  <si>
    <t>kc</t>
  </si>
  <si>
    <t>eff_fox_p</t>
  </si>
  <si>
    <t>fox_p</t>
  </si>
  <si>
    <t>fox_a</t>
  </si>
  <si>
    <t>pox_s</t>
  </si>
  <si>
    <t>pox_s_k</t>
  </si>
  <si>
    <t>fox_s_k</t>
  </si>
  <si>
    <t>ox</t>
  </si>
  <si>
    <t>cox_s</t>
  </si>
  <si>
    <t>cox_s_k</t>
  </si>
  <si>
    <t>fox_s</t>
  </si>
  <si>
    <t>d_ox_tee</t>
  </si>
  <si>
    <t>ox_s</t>
  </si>
  <si>
    <t>y</t>
  </si>
  <si>
    <t>fc_s</t>
  </si>
  <si>
    <t>ff_s</t>
  </si>
  <si>
    <t>fp_s</t>
  </si>
  <si>
    <t>is_sufficient_fat</t>
  </si>
  <si>
    <t>is_sufficient_carb</t>
  </si>
  <si>
    <t>cox_a</t>
  </si>
  <si>
    <t>cox_d</t>
  </si>
  <si>
    <t>suff_c</t>
  </si>
  <si>
    <t>eff_suff_c</t>
  </si>
  <si>
    <t>gap</t>
  </si>
  <si>
    <t>f</t>
  </si>
  <si>
    <t>c</t>
  </si>
  <si>
    <t>gap_c</t>
  </si>
  <si>
    <t>gap_f</t>
  </si>
  <si>
    <t>cox_k</t>
  </si>
  <si>
    <t>p</t>
  </si>
  <si>
    <t>fox_k</t>
  </si>
  <si>
    <t>pox_k</t>
  </si>
  <si>
    <t>ox_p</t>
  </si>
  <si>
    <t>ec</t>
  </si>
  <si>
    <t>rmr</t>
  </si>
  <si>
    <t>z</t>
  </si>
  <si>
    <t>wf</t>
  </si>
  <si>
    <t>fat_term</t>
  </si>
  <si>
    <t>wg</t>
  </si>
  <si>
    <t>eff_dg_cox</t>
  </si>
  <si>
    <t>eff_act_pox</t>
  </si>
  <si>
    <t>spi</t>
  </si>
  <si>
    <t>sa</t>
  </si>
  <si>
    <t>eff_pi_pox</t>
  </si>
  <si>
    <t>eff_ci_cox</t>
  </si>
  <si>
    <t>wpi</t>
  </si>
  <si>
    <t>prot_term</t>
  </si>
  <si>
    <t>sci</t>
  </si>
  <si>
    <t>wci</t>
  </si>
  <si>
    <t>carb_term</t>
  </si>
  <si>
    <t>dnleff</t>
  </si>
  <si>
    <t>gngeff</t>
  </si>
  <si>
    <t>mc</t>
  </si>
  <si>
    <t>see</t>
  </si>
  <si>
    <t>dnl</t>
  </si>
  <si>
    <t>dnl_o</t>
  </si>
  <si>
    <t>pox_d</t>
  </si>
  <si>
    <t>gngf</t>
  </si>
  <si>
    <t>fox_d</t>
  </si>
  <si>
    <t>gngf_i</t>
  </si>
  <si>
    <t>gngf_o</t>
  </si>
  <si>
    <t>gngp_o</t>
  </si>
  <si>
    <t>dnl_i</t>
  </si>
  <si>
    <t>gngp</t>
  </si>
  <si>
    <t>eff_ci_gngp</t>
  </si>
  <si>
    <t>gngp_i</t>
  </si>
  <si>
    <t>pox_a</t>
  </si>
  <si>
    <t>gngf_end_b</t>
  </si>
  <si>
    <t>gngf_end</t>
  </si>
  <si>
    <t>gngf_ex</t>
  </si>
  <si>
    <t>exog_glycerol_per_kcal_fat_intake</t>
  </si>
  <si>
    <t>hill_dnl</t>
  </si>
  <si>
    <t>k_dnl</t>
  </si>
  <si>
    <t>eff_c_dnl</t>
  </si>
  <si>
    <t>dci</t>
  </si>
  <si>
    <t>ndci</t>
  </si>
  <si>
    <t>ndpi</t>
  </si>
  <si>
    <t>np</t>
  </si>
  <si>
    <t>dpi</t>
  </si>
  <si>
    <t>eff_pi_gngp</t>
  </si>
  <si>
    <t>gngp_b</t>
  </si>
  <si>
    <t>eff_ci_df</t>
  </si>
  <si>
    <t>df</t>
  </si>
  <si>
    <t>tef</t>
  </si>
  <si>
    <t>tef_p</t>
  </si>
  <si>
    <t>tef_c</t>
  </si>
  <si>
    <t>tef_f</t>
  </si>
  <si>
    <t>mt</t>
  </si>
  <si>
    <t>activ_time</t>
  </si>
  <si>
    <t>activ_time_param</t>
  </si>
  <si>
    <t>acteff</t>
  </si>
  <si>
    <t>acteng_bw</t>
  </si>
  <si>
    <t>acteng_bw_at</t>
  </si>
  <si>
    <t>at</t>
  </si>
  <si>
    <t>pae</t>
  </si>
  <si>
    <t>tc</t>
  </si>
  <si>
    <t>nacteng_bw</t>
  </si>
  <si>
    <t>atf</t>
  </si>
  <si>
    <t>acteng_bw_b</t>
  </si>
  <si>
    <t>ateff</t>
  </si>
  <si>
    <t>ndmei</t>
  </si>
  <si>
    <t>del_at</t>
  </si>
  <si>
    <t>lean</t>
  </si>
  <si>
    <t>mbc</t>
  </si>
  <si>
    <t>cell_mass</t>
  </si>
  <si>
    <t>rmr_lean_b</t>
  </si>
  <si>
    <t>rmreff</t>
  </si>
  <si>
    <t>rmr_f_b</t>
  </si>
  <si>
    <t>rmr_b_b</t>
  </si>
  <si>
    <t>rmr_lean</t>
  </si>
  <si>
    <t>bw</t>
  </si>
  <si>
    <t>massb</t>
  </si>
  <si>
    <t>depc_f</t>
  </si>
  <si>
    <t>degc_p</t>
  </si>
  <si>
    <t>depc_p</t>
  </si>
  <si>
    <t>depc_c</t>
  </si>
  <si>
    <t>eff_obes_df</t>
  </si>
  <si>
    <t>k_lip</t>
  </si>
  <si>
    <t>df_mol_b</t>
  </si>
  <si>
    <t>ndf</t>
  </si>
  <si>
    <t>lipol_min</t>
  </si>
  <si>
    <t>lipol_max</t>
  </si>
  <si>
    <t>nc</t>
  </si>
  <si>
    <t>ndc</t>
  </si>
  <si>
    <t>dc</t>
  </si>
  <si>
    <t>dp</t>
  </si>
  <si>
    <t>dc_b</t>
  </si>
  <si>
    <t>ndp</t>
  </si>
  <si>
    <t>massaa</t>
  </si>
  <si>
    <t>dp_b</t>
  </si>
  <si>
    <t>dp_mol_b</t>
  </si>
  <si>
    <t>tee</t>
  </si>
  <si>
    <t>ecw</t>
  </si>
  <si>
    <t>ecw_b</t>
  </si>
  <si>
    <t>hp</t>
  </si>
  <si>
    <t>hc</t>
  </si>
  <si>
    <t>ics</t>
  </si>
  <si>
    <t>icw</t>
  </si>
  <si>
    <t>ciw</t>
  </si>
  <si>
    <t>fi_g</t>
  </si>
  <si>
    <t xml:space="preserve">ci_g  </t>
  </si>
  <si>
    <t xml:space="preserve">pi_g  </t>
  </si>
  <si>
    <t>bw_b</t>
  </si>
  <si>
    <t>bm_b</t>
  </si>
  <si>
    <t>ci_b</t>
  </si>
  <si>
    <t>f_b</t>
  </si>
  <si>
    <t>fi_b</t>
  </si>
  <si>
    <t>c_b</t>
  </si>
  <si>
    <t>lean_b</t>
  </si>
  <si>
    <t>p_b</t>
  </si>
  <si>
    <t>pi_b</t>
  </si>
  <si>
    <t>molar_caloric_dens_glycerol</t>
  </si>
  <si>
    <t>cal_c</t>
  </si>
  <si>
    <t>cal_f</t>
  </si>
  <si>
    <t>cal_p</t>
  </si>
  <si>
    <t>ci_k</t>
  </si>
  <si>
    <t>ci_input</t>
  </si>
  <si>
    <t>pi_input</t>
  </si>
  <si>
    <t>fi_k</t>
  </si>
  <si>
    <t>fi_input</t>
  </si>
  <si>
    <t>protein_fraction_of_cell_mass</t>
  </si>
  <si>
    <t>molar_caloric_dens_tg</t>
  </si>
  <si>
    <t>mass_tg</t>
  </si>
  <si>
    <t>mass_ffa</t>
  </si>
  <si>
    <t>mei</t>
  </si>
  <si>
    <t>read_from_data</t>
  </si>
  <si>
    <t>mass_of_glycerol</t>
  </si>
  <si>
    <t>pi_k</t>
  </si>
  <si>
    <t>fc</t>
  </si>
  <si>
    <t>ff</t>
  </si>
  <si>
    <t>fp</t>
  </si>
  <si>
    <t>time_step</t>
  </si>
  <si>
    <t>f bal</t>
  </si>
  <si>
    <t>c bal</t>
  </si>
  <si>
    <t>p bal</t>
  </si>
  <si>
    <t>(fox_a + fox_s)</t>
  </si>
  <si>
    <t>( fi_g + dnl_i - gngf_o )</t>
  </si>
  <si>
    <t>70 kg bw_b</t>
  </si>
  <si>
    <t>init değerleri = base değerleri</t>
  </si>
  <si>
    <t>mbc_b</t>
  </si>
  <si>
    <t>mc_b</t>
  </si>
  <si>
    <t>mt_b</t>
  </si>
  <si>
    <t>df_b</t>
  </si>
  <si>
    <t>rmr_b</t>
  </si>
  <si>
    <t>tef_b</t>
  </si>
  <si>
    <t>pae_b</t>
  </si>
  <si>
    <t>rmr_lean * ( cell_mass_b - massb ) + rmr_b_b * massb + rmr_f_b * f_b</t>
  </si>
  <si>
    <t>( degc_p + depc_p ) * dp_b +depc_f * df_b +depc_c * dc_b</t>
  </si>
  <si>
    <t xml:space="preserve"> ( 1 - dnleff ) * dnl_b + ( 1- gngeff ) * ( gngf_b + gngp_b )</t>
  </si>
  <si>
    <t xml:space="preserve"> df_mol_b * mass_tg</t>
  </si>
  <si>
    <t>mbc_b + mt_b + mc_b</t>
  </si>
  <si>
    <t xml:space="preserve"> tef_c * ci_b + tef_f * fi_b + tef_p * pi_b</t>
  </si>
  <si>
    <t xml:space="preserve">  acteng_bw_b * bw_b</t>
  </si>
</sst>
</file>

<file path=xl/styles.xml><?xml version="1.0" encoding="utf-8"?>
<styleSheet xmlns="http://schemas.openxmlformats.org/spreadsheetml/2006/main">
  <numFmts count="1">
    <numFmt numFmtId="165" formatCode="0.000"/>
  </numFmts>
  <fonts count="2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 applyAlignment="1">
      <alignment horizontal="center"/>
    </xf>
    <xf numFmtId="0" fontId="1" fillId="2" borderId="0" xfId="0" applyFont="1" applyFill="1"/>
    <xf numFmtId="165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_eqn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5"/>
  <sheetViews>
    <sheetView tabSelected="1" topLeftCell="A65" workbookViewId="0">
      <pane xSplit="1" topLeftCell="B1" activePane="topRight" state="frozen"/>
      <selection pane="topRight" activeCell="B72" sqref="B72"/>
    </sheetView>
  </sheetViews>
  <sheetFormatPr defaultRowHeight="15"/>
  <cols>
    <col min="1" max="1" width="32.42578125" bestFit="1" customWidth="1"/>
    <col min="2" max="2" width="28.42578125" style="1" customWidth="1"/>
    <col min="3" max="3" width="17.140625" customWidth="1"/>
    <col min="4" max="4" width="20.42578125" customWidth="1"/>
    <col min="5" max="5" width="14.5703125" customWidth="1"/>
    <col min="6" max="6" width="16" customWidth="1"/>
  </cols>
  <sheetData>
    <row r="1" spans="1:6" ht="45" customHeight="1">
      <c r="B1" s="3" t="s">
        <v>200</v>
      </c>
      <c r="C1" s="4"/>
      <c r="D1" s="4" t="s">
        <v>201</v>
      </c>
    </row>
    <row r="2" spans="1:6">
      <c r="A2" t="s">
        <v>113</v>
      </c>
      <c r="B2" s="1">
        <f>1 + ateff * at</f>
        <v>1</v>
      </c>
      <c r="C2" s="1">
        <f>1 + ateff * at</f>
        <v>1</v>
      </c>
      <c r="D2" s="1">
        <f>1 + ateff * at</f>
        <v>1</v>
      </c>
      <c r="E2" s="1">
        <f>1 + ateff * at</f>
        <v>1</v>
      </c>
      <c r="F2" s="7">
        <f>C2-B2</f>
        <v>0</v>
      </c>
    </row>
    <row r="3" spans="1:6">
      <c r="A3" t="s">
        <v>114</v>
      </c>
      <c r="B3" s="1">
        <f>acteng_bw_b * ( 1 - 0.652218 * activ_time )</f>
        <v>2.56755E-2</v>
      </c>
      <c r="C3" s="1">
        <f>acteng_bw_b * ( 1 - 0.652218 * activ_time )</f>
        <v>2.56755E-2</v>
      </c>
      <c r="D3" s="1">
        <f>acteng_bw_b * ( 1 - 0.652218 * activ_time )</f>
        <v>2.56755E-2</v>
      </c>
      <c r="E3" s="1">
        <f>acteng_bw_b * ( 1 - 0.652218 * activ_time )</f>
        <v>2.56755E-2</v>
      </c>
      <c r="F3" s="7">
        <f t="shared" ref="F3:F66" si="0">C3-B3</f>
        <v>0</v>
      </c>
    </row>
    <row r="4" spans="1:6">
      <c r="A4" t="s">
        <v>115</v>
      </c>
      <c r="B4" s="1">
        <f>acteng_bw * acteff</f>
        <v>2.56755E-2</v>
      </c>
      <c r="C4" s="1">
        <f>acteng_bw * acteff</f>
        <v>2.56755E-2</v>
      </c>
      <c r="D4" s="1">
        <f>acteng_bw * acteff</f>
        <v>2.56755E-2</v>
      </c>
      <c r="E4" s="1">
        <f>acteng_bw * acteff</f>
        <v>2.56755E-2</v>
      </c>
      <c r="F4" s="7">
        <f t="shared" si="0"/>
        <v>0</v>
      </c>
    </row>
    <row r="5" spans="1:6">
      <c r="A5" t="s">
        <v>121</v>
      </c>
      <c r="B5" s="1">
        <f>0.0256755</f>
        <v>2.56755E-2</v>
      </c>
      <c r="C5" s="1">
        <f>0.0256755</f>
        <v>2.56755E-2</v>
      </c>
      <c r="D5" s="1">
        <f>0.0256755</f>
        <v>2.56755E-2</v>
      </c>
      <c r="E5" s="1">
        <f>0.0256755</f>
        <v>2.56755E-2</v>
      </c>
      <c r="F5" s="7">
        <f t="shared" si="0"/>
        <v>0</v>
      </c>
    </row>
    <row r="6" spans="1:6">
      <c r="A6" t="s">
        <v>111</v>
      </c>
      <c r="B6" s="1">
        <f>activ_time_param</f>
        <v>0</v>
      </c>
      <c r="C6" s="1">
        <f>activ_time_param</f>
        <v>0</v>
      </c>
      <c r="D6" s="1">
        <f>activ_time_param</f>
        <v>0</v>
      </c>
      <c r="E6" s="1">
        <f>activ_time_param</f>
        <v>0</v>
      </c>
      <c r="F6" s="7">
        <f t="shared" si="0"/>
        <v>0</v>
      </c>
    </row>
    <row r="7" spans="1:6">
      <c r="A7" t="s">
        <v>112</v>
      </c>
      <c r="B7" s="1">
        <f>0</f>
        <v>0</v>
      </c>
      <c r="C7" s="1">
        <f>0</f>
        <v>0</v>
      </c>
      <c r="D7" s="1">
        <f>0</f>
        <v>0</v>
      </c>
      <c r="E7" s="1">
        <f>0</f>
        <v>0</v>
      </c>
      <c r="F7" s="7">
        <f t="shared" si="0"/>
        <v>0</v>
      </c>
    </row>
    <row r="8" spans="1:6">
      <c r="A8" t="s">
        <v>116</v>
      </c>
      <c r="B8" s="1">
        <v>0</v>
      </c>
      <c r="C8" s="1">
        <v>0</v>
      </c>
      <c r="D8" s="1">
        <v>0</v>
      </c>
      <c r="E8" s="1">
        <v>0</v>
      </c>
      <c r="F8" s="7">
        <f t="shared" si="0"/>
        <v>0</v>
      </c>
    </row>
    <row r="9" spans="1:6">
      <c r="A9" t="s">
        <v>122</v>
      </c>
      <c r="B9" s="1">
        <f>0.52</f>
        <v>0.52</v>
      </c>
      <c r="C9" s="1">
        <f>0.52</f>
        <v>0.52</v>
      </c>
      <c r="D9" s="1">
        <f>0.52</f>
        <v>0.52</v>
      </c>
      <c r="E9" s="1">
        <f>0.52</f>
        <v>0.52</v>
      </c>
      <c r="F9" s="7">
        <f t="shared" si="0"/>
        <v>0</v>
      </c>
    </row>
    <row r="10" spans="1:6">
      <c r="A10" t="s">
        <v>120</v>
      </c>
      <c r="B10" s="1">
        <f>( tc * ndmei - at ) / del_at</f>
        <v>0</v>
      </c>
      <c r="C10" s="1">
        <f>( tc * ndmei - at ) / del_at</f>
        <v>0</v>
      </c>
      <c r="D10" s="1">
        <f>( tc * ndmei - at ) / del_at</f>
        <v>0</v>
      </c>
      <c r="E10" s="1">
        <f>( tc * ndmei - at ) / del_at</f>
        <v>0</v>
      </c>
      <c r="F10" s="7">
        <f t="shared" si="0"/>
        <v>0</v>
      </c>
    </row>
    <row r="11" spans="1:6">
      <c r="A11" t="s">
        <v>166</v>
      </c>
      <c r="B11" s="1">
        <f>0.04 * bw_b</f>
        <v>2800</v>
      </c>
      <c r="C11" s="1">
        <f>0.04 * bw_b</f>
        <v>3200</v>
      </c>
      <c r="D11" s="1">
        <f>0.04 * bw_b</f>
        <v>2800</v>
      </c>
      <c r="E11" s="1">
        <f>0.04 * bw_b</f>
        <v>3200</v>
      </c>
      <c r="F11" s="7">
        <f t="shared" si="0"/>
        <v>400</v>
      </c>
    </row>
    <row r="12" spans="1:6">
      <c r="A12" t="s">
        <v>133</v>
      </c>
      <c r="B12" s="1">
        <f>f + lean</f>
        <v>70000</v>
      </c>
      <c r="C12" s="1">
        <f>f + lean</f>
        <v>80000</v>
      </c>
      <c r="D12" s="1">
        <f>f + lean</f>
        <v>70000</v>
      </c>
      <c r="E12" s="1">
        <f>f + lean</f>
        <v>80000</v>
      </c>
      <c r="F12" s="7">
        <f t="shared" si="0"/>
        <v>10000</v>
      </c>
    </row>
    <row r="13" spans="1:6">
      <c r="A13" s="2" t="s">
        <v>165</v>
      </c>
      <c r="B13" s="1">
        <f>70000</f>
        <v>70000</v>
      </c>
      <c r="C13" s="1">
        <f>80000</f>
        <v>80000</v>
      </c>
      <c r="D13" s="1">
        <f>70000</f>
        <v>70000</v>
      </c>
      <c r="E13" s="1">
        <f>80000</f>
        <v>80000</v>
      </c>
      <c r="F13" s="7">
        <f t="shared" si="0"/>
        <v>10000</v>
      </c>
    </row>
    <row r="14" spans="1:6">
      <c r="A14" t="s">
        <v>48</v>
      </c>
      <c r="B14" s="1">
        <f>c_init</f>
        <v>400</v>
      </c>
      <c r="C14" s="1">
        <f>c_init</f>
        <v>400</v>
      </c>
      <c r="D14" s="1">
        <f>c_init</f>
        <v>400</v>
      </c>
      <c r="E14" s="1">
        <f>c_init</f>
        <v>400</v>
      </c>
      <c r="F14" s="7">
        <f t="shared" si="0"/>
        <v>0</v>
      </c>
    </row>
    <row r="15" spans="1:6">
      <c r="A15" t="s">
        <v>170</v>
      </c>
      <c r="B15" s="1">
        <f>400</f>
        <v>400</v>
      </c>
      <c r="C15" s="1">
        <f>400</f>
        <v>400</v>
      </c>
      <c r="D15" s="1">
        <f>400</f>
        <v>400</v>
      </c>
      <c r="E15" s="1">
        <f>400</f>
        <v>400</v>
      </c>
      <c r="F15" s="7">
        <f t="shared" si="0"/>
        <v>0</v>
      </c>
    </row>
    <row r="16" spans="1:6">
      <c r="A16" t="s">
        <v>0</v>
      </c>
      <c r="B16" s="1">
        <f>c_b</f>
        <v>400</v>
      </c>
      <c r="C16" s="1">
        <f>c_b</f>
        <v>400</v>
      </c>
      <c r="D16" s="1">
        <f>c_b</f>
        <v>400</v>
      </c>
      <c r="E16" s="1">
        <f>c_b</f>
        <v>400</v>
      </c>
      <c r="F16" s="7">
        <f t="shared" si="0"/>
        <v>0</v>
      </c>
    </row>
    <row r="17" spans="1:6">
      <c r="A17" t="s">
        <v>175</v>
      </c>
      <c r="B17" s="1">
        <f>4.18</f>
        <v>4.18</v>
      </c>
      <c r="C17" s="1">
        <f>4.18</f>
        <v>4.18</v>
      </c>
      <c r="D17" s="1">
        <f>4.18</f>
        <v>4.18</v>
      </c>
      <c r="E17" s="1">
        <f>4.18</f>
        <v>4.18</v>
      </c>
      <c r="F17" s="7">
        <f t="shared" si="0"/>
        <v>0</v>
      </c>
    </row>
    <row r="18" spans="1:6">
      <c r="A18" t="s">
        <v>176</v>
      </c>
      <c r="B18" s="1">
        <f>9.44</f>
        <v>9.44</v>
      </c>
      <c r="C18" s="1">
        <f>9.44</f>
        <v>9.44</v>
      </c>
      <c r="D18" s="1">
        <f>9.44</f>
        <v>9.44</v>
      </c>
      <c r="E18" s="1">
        <f>9.44</f>
        <v>9.44</v>
      </c>
      <c r="F18" s="7">
        <f t="shared" si="0"/>
        <v>0</v>
      </c>
    </row>
    <row r="19" spans="1:6">
      <c r="A19" t="s">
        <v>177</v>
      </c>
      <c r="B19" s="1">
        <f>4.7</f>
        <v>4.7</v>
      </c>
      <c r="C19" s="1">
        <f>4.7</f>
        <v>4.7</v>
      </c>
      <c r="D19" s="1">
        <f>4.7</f>
        <v>4.7</v>
      </c>
      <c r="E19" s="1">
        <f>4.7</f>
        <v>4.7</v>
      </c>
      <c r="F19" s="7">
        <f t="shared" si="0"/>
        <v>0</v>
      </c>
    </row>
    <row r="20" spans="1:6">
      <c r="A20" t="s">
        <v>72</v>
      </c>
      <c r="B20" s="1">
        <f>eff_dg_cox + MAX( 0, eff_ci_cox * ( c_ / (0.1 + c_) )  )</f>
        <v>3.88152461325845</v>
      </c>
      <c r="C20" s="1">
        <f>eff_dg_cox + MAX( 0, eff_ci_cox * ( c_ / (0.1 + c_) )  )</f>
        <v>4.1403481426702147</v>
      </c>
      <c r="D20" s="1">
        <f>eff_dg_cox + MAX( 0, eff_ci_cox * ( c_ / (0.1 + c_) )  )</f>
        <v>3.88152461325845</v>
      </c>
      <c r="E20" s="1">
        <f>eff_dg_cox + MAX( 0, eff_ci_cox * ( c_ / (0.1 + c_) )  )</f>
        <v>4.1403481426702147</v>
      </c>
      <c r="F20" s="7">
        <f t="shared" si="0"/>
        <v>0.25882352941176467</v>
      </c>
    </row>
    <row r="21" spans="1:6">
      <c r="A21" t="s">
        <v>127</v>
      </c>
      <c r="B21" s="1">
        <f>ics + c_ + p + icw</f>
        <v>43749.999999999993</v>
      </c>
      <c r="C21" s="1">
        <f>ics + c_ + p + icw</f>
        <v>49999.999999999993</v>
      </c>
      <c r="D21" s="1">
        <f>ics + c_ + p + icw</f>
        <v>43749.999999999993</v>
      </c>
      <c r="E21" s="1">
        <f>ics + c_ + p + icw</f>
        <v>49999.999999999993</v>
      </c>
      <c r="F21" s="7">
        <f t="shared" si="0"/>
        <v>6250</v>
      </c>
    </row>
    <row r="22" spans="1:6">
      <c r="A22" t="s">
        <v>7</v>
      </c>
      <c r="B22" s="1">
        <f>1/fwcm * icw_b</f>
        <v>43749.999999999993</v>
      </c>
      <c r="C22" s="1">
        <f>1/fwcm * icw_b</f>
        <v>49999.999999999993</v>
      </c>
      <c r="D22" s="1">
        <f>1/fwcm * icw_b</f>
        <v>43749.999999999993</v>
      </c>
      <c r="E22" s="1">
        <f>1/fwcm * icw_b</f>
        <v>49999.999999999993</v>
      </c>
      <c r="F22" s="7">
        <f t="shared" si="0"/>
        <v>6250</v>
      </c>
    </row>
    <row r="23" spans="1:6">
      <c r="A23" s="2" t="s">
        <v>14</v>
      </c>
      <c r="B23" s="1">
        <f>1500</f>
        <v>1500</v>
      </c>
      <c r="C23" s="1">
        <v>1200</v>
      </c>
      <c r="D23" s="1">
        <f>1500</f>
        <v>1500</v>
      </c>
      <c r="E23" s="1">
        <v>1200</v>
      </c>
      <c r="F23" s="7">
        <f t="shared" si="0"/>
        <v>-300</v>
      </c>
    </row>
    <row r="24" spans="1:6">
      <c r="A24" t="s">
        <v>167</v>
      </c>
      <c r="B24" s="1">
        <f>ci_0</f>
        <v>1500</v>
      </c>
      <c r="C24" s="1">
        <f>ci_0</f>
        <v>1200</v>
      </c>
      <c r="D24" s="1">
        <f>ci_0</f>
        <v>1500</v>
      </c>
      <c r="E24" s="1">
        <f>ci_0</f>
        <v>1200</v>
      </c>
      <c r="F24" s="7">
        <f t="shared" si="0"/>
        <v>-300</v>
      </c>
    </row>
    <row r="25" spans="1:6">
      <c r="A25" t="s">
        <v>163</v>
      </c>
      <c r="B25" s="1">
        <f xml:space="preserve"> ci_k / cal_c</f>
        <v>358.85167464114835</v>
      </c>
      <c r="C25" s="1">
        <f xml:space="preserve"> ci_k / cal_c</f>
        <v>287.08133971291869</v>
      </c>
      <c r="D25" s="1">
        <f xml:space="preserve"> ci_k / cal_c</f>
        <v>358.85167464114835</v>
      </c>
      <c r="E25" s="1">
        <f xml:space="preserve"> ci_k / cal_c</f>
        <v>287.08133971291869</v>
      </c>
      <c r="F25" s="7">
        <f t="shared" si="0"/>
        <v>-71.770334928229659</v>
      </c>
    </row>
    <row r="26" spans="1:6">
      <c r="A26" t="s">
        <v>179</v>
      </c>
      <c r="B26" s="1">
        <f>ci_b</f>
        <v>1500</v>
      </c>
      <c r="C26" s="1">
        <f>ci_b</f>
        <v>1200</v>
      </c>
      <c r="D26" s="1">
        <f>ci_b</f>
        <v>1500</v>
      </c>
      <c r="E26" s="1">
        <f>ci_b</f>
        <v>1200</v>
      </c>
      <c r="F26" s="7">
        <f t="shared" si="0"/>
        <v>-300</v>
      </c>
    </row>
    <row r="27" spans="1:6">
      <c r="A27" t="s">
        <v>178</v>
      </c>
      <c r="B27" s="1">
        <f>ci_input</f>
        <v>1500</v>
      </c>
      <c r="C27" s="1">
        <f>ci_input</f>
        <v>1200</v>
      </c>
      <c r="D27" s="1">
        <f>ci_input</f>
        <v>1500</v>
      </c>
      <c r="E27" s="1">
        <f>ci_input</f>
        <v>1200</v>
      </c>
      <c r="F27" s="7">
        <f t="shared" si="0"/>
        <v>-300</v>
      </c>
    </row>
    <row r="28" spans="1:6">
      <c r="A28" t="s">
        <v>161</v>
      </c>
      <c r="B28" s="1">
        <f>fiew * ecw_b - ( hc * c_init + hp * p_init)</f>
        <v>12029.560000000005</v>
      </c>
      <c r="C28" s="1">
        <f>fiew * ecw_b - ( hc * c_init + hp * p_init)</f>
        <v>12654.559999999994</v>
      </c>
      <c r="D28" s="1">
        <f>fiew * ecw_b - ( hc * c_init + hp * p_init)</f>
        <v>12029.560000000005</v>
      </c>
      <c r="E28" s="1">
        <f>fiew * ecw_b - ( hc * c_init + hp * p_init)</f>
        <v>12654.559999999994</v>
      </c>
      <c r="F28" s="7">
        <f t="shared" si="0"/>
        <v>624.99999999998909</v>
      </c>
    </row>
    <row r="29" spans="1:6">
      <c r="A29" t="s">
        <v>42</v>
      </c>
      <c r="B29" s="1">
        <f>cox_d / cal_c * eff_suff_c</f>
        <v>387.6828646443073</v>
      </c>
      <c r="C29" s="1">
        <f>cox_d / cal_c * eff_suff_c</f>
        <v>317.87716296692901</v>
      </c>
      <c r="D29" s="1">
        <f>cox_d / cal_c * eff_suff_c</f>
        <v>387.6828646443073</v>
      </c>
      <c r="E29" s="1">
        <f>cox_d / cal_c * eff_suff_c</f>
        <v>317.87716296692901</v>
      </c>
      <c r="F29" s="7">
        <f t="shared" si="0"/>
        <v>-69.805701677378295</v>
      </c>
    </row>
    <row r="30" spans="1:6">
      <c r="A30" t="s">
        <v>43</v>
      </c>
      <c r="B30" s="1">
        <f>fc * see + gngf + gngp</f>
        <v>1620.5143742132045</v>
      </c>
      <c r="C30" s="1">
        <f>fc * see + gngf + gngp</f>
        <v>1328.7265412017632</v>
      </c>
      <c r="D30" s="1">
        <f>fc * see + gngf + gngp</f>
        <v>1620.5143742132045</v>
      </c>
      <c r="E30" s="1">
        <f>fc * see + gngf + gngp</f>
        <v>1328.7265412017632</v>
      </c>
      <c r="F30" s="7">
        <f t="shared" si="0"/>
        <v>-291.78783301144131</v>
      </c>
    </row>
    <row r="31" spans="1:6">
      <c r="A31" t="s">
        <v>51</v>
      </c>
      <c r="B31" s="1">
        <f>cox_a * cal_c</f>
        <v>1620.5143742132045</v>
      </c>
      <c r="C31" s="1">
        <f>cox_a * cal_c</f>
        <v>1328.7265412017632</v>
      </c>
      <c r="D31" s="1">
        <f>cox_a * cal_c</f>
        <v>1620.5143742132045</v>
      </c>
      <c r="E31" s="1">
        <f>cox_a * cal_c</f>
        <v>1328.7265412017632</v>
      </c>
      <c r="F31" s="7">
        <f t="shared" si="0"/>
        <v>-291.78783301144131</v>
      </c>
    </row>
    <row r="32" spans="1:6">
      <c r="A32" t="s">
        <v>31</v>
      </c>
      <c r="B32" s="1">
        <f>fc_s * gap / cal_c</f>
        <v>0</v>
      </c>
      <c r="C32" s="1">
        <f>fc_s * gap / cal_c</f>
        <v>0</v>
      </c>
      <c r="D32" s="1">
        <f>fc_s * gap / cal_c</f>
        <v>0</v>
      </c>
      <c r="E32" s="1">
        <f>fc_s * gap / cal_c</f>
        <v>0</v>
      </c>
      <c r="F32" s="7">
        <f t="shared" si="0"/>
        <v>0</v>
      </c>
    </row>
    <row r="33" spans="1:6">
      <c r="A33" t="s">
        <v>32</v>
      </c>
      <c r="B33" s="1">
        <f>cox_s * cal_c</f>
        <v>0</v>
      </c>
      <c r="C33" s="1">
        <f>cox_s * cal_c</f>
        <v>0</v>
      </c>
      <c r="D33" s="1">
        <f>cox_s * cal_c</f>
        <v>0</v>
      </c>
      <c r="E33" s="1">
        <f>cox_s * cal_c</f>
        <v>0</v>
      </c>
      <c r="F33" s="7">
        <f t="shared" si="0"/>
        <v>0</v>
      </c>
    </row>
    <row r="34" spans="1:6">
      <c r="A34" t="s">
        <v>34</v>
      </c>
      <c r="B34" s="1">
        <f>IF(ox - tee &lt; 0.1, 0, ox-tee)</f>
        <v>0</v>
      </c>
      <c r="C34" s="1">
        <f>IF(ox - tee &lt; 0.1, 0, ox-tee)</f>
        <v>0</v>
      </c>
      <c r="D34" s="1">
        <f>IF(ox - tee &lt; 0.1, 0, ox-tee)</f>
        <v>0</v>
      </c>
      <c r="E34" s="1">
        <f>IF(ox - tee &lt; 0.1, 0, ox-tee)</f>
        <v>0</v>
      </c>
      <c r="F34" s="7">
        <f t="shared" si="0"/>
        <v>0</v>
      </c>
    </row>
    <row r="35" spans="1:6">
      <c r="A35" t="s">
        <v>147</v>
      </c>
      <c r="B35" s="1">
        <f>dc_b * c_ / c_b</f>
        <v>180</v>
      </c>
      <c r="C35" s="1">
        <f>dc_b * c_ / c_b</f>
        <v>180</v>
      </c>
      <c r="D35" s="1">
        <f>dc_b * c_ / c_b</f>
        <v>180</v>
      </c>
      <c r="E35" s="1">
        <f>dc_b * c_ / c_b</f>
        <v>180</v>
      </c>
      <c r="F35" s="7">
        <f t="shared" si="0"/>
        <v>0</v>
      </c>
    </row>
    <row r="36" spans="1:6">
      <c r="A36" t="s">
        <v>149</v>
      </c>
      <c r="B36" s="1">
        <f>180</f>
        <v>180</v>
      </c>
      <c r="C36" s="1">
        <f>180</f>
        <v>180</v>
      </c>
      <c r="D36" s="1">
        <f>180</f>
        <v>180</v>
      </c>
      <c r="E36" s="1">
        <f>180</f>
        <v>180</v>
      </c>
      <c r="F36" s="7">
        <f t="shared" si="0"/>
        <v>0</v>
      </c>
    </row>
    <row r="37" spans="1:6">
      <c r="A37" t="s">
        <v>97</v>
      </c>
      <c r="B37" s="1">
        <f>ci_k - ci_b</f>
        <v>0</v>
      </c>
      <c r="C37" s="1">
        <f>ci_k - ci_b</f>
        <v>0</v>
      </c>
      <c r="D37" s="1">
        <f>ci_k - ci_b</f>
        <v>0</v>
      </c>
      <c r="E37" s="1">
        <f>ci_k - ci_b</f>
        <v>0</v>
      </c>
      <c r="F37" s="7">
        <f t="shared" si="0"/>
        <v>0</v>
      </c>
    </row>
    <row r="38" spans="1:6">
      <c r="A38" t="s">
        <v>136</v>
      </c>
      <c r="B38" s="1">
        <f>0.172727</f>
        <v>0.17272699999999999</v>
      </c>
      <c r="C38" s="1">
        <f>0.172727</f>
        <v>0.17272699999999999</v>
      </c>
      <c r="D38" s="1">
        <f>0.172727</f>
        <v>0.17272699999999999</v>
      </c>
      <c r="E38" s="1">
        <f>0.172727</f>
        <v>0.17272699999999999</v>
      </c>
      <c r="F38" s="7">
        <f t="shared" si="0"/>
        <v>0</v>
      </c>
    </row>
    <row r="39" spans="1:6">
      <c r="A39" t="s">
        <v>124</v>
      </c>
      <c r="B39" s="1">
        <f>7</f>
        <v>7</v>
      </c>
      <c r="C39" s="1">
        <f>7</f>
        <v>7</v>
      </c>
      <c r="D39" s="1">
        <f>7</f>
        <v>7</v>
      </c>
      <c r="E39" s="1">
        <f>7</f>
        <v>7</v>
      </c>
      <c r="F39" s="7">
        <f t="shared" si="0"/>
        <v>0</v>
      </c>
    </row>
    <row r="40" spans="1:6">
      <c r="A40" t="s">
        <v>138</v>
      </c>
      <c r="B40" s="1">
        <f>0.211111</f>
        <v>0.21111099999999999</v>
      </c>
      <c r="C40" s="1">
        <f>0.211111</f>
        <v>0.21111099999999999</v>
      </c>
      <c r="D40" s="1">
        <f>0.211111</f>
        <v>0.21111099999999999</v>
      </c>
      <c r="E40" s="1">
        <f>0.211111</f>
        <v>0.21111099999999999</v>
      </c>
      <c r="F40" s="7">
        <f t="shared" si="0"/>
        <v>0</v>
      </c>
    </row>
    <row r="41" spans="1:6">
      <c r="A41" t="s">
        <v>135</v>
      </c>
      <c r="B41" s="1">
        <f>0.176744</f>
        <v>0.17674400000000001</v>
      </c>
      <c r="C41" s="1">
        <f>0.176744</f>
        <v>0.17674400000000001</v>
      </c>
      <c r="D41" s="1">
        <f>0.176744</f>
        <v>0.17674400000000001</v>
      </c>
      <c r="E41" s="1">
        <f>0.176744</f>
        <v>0.17674400000000001</v>
      </c>
      <c r="F41" s="7">
        <f t="shared" si="0"/>
        <v>0</v>
      </c>
    </row>
    <row r="42" spans="1:6">
      <c r="A42" t="s">
        <v>137</v>
      </c>
      <c r="B42" s="1">
        <f>0.863636</f>
        <v>0.86363599999999996</v>
      </c>
      <c r="C42" s="1">
        <f>0.863636</f>
        <v>0.86363599999999996</v>
      </c>
      <c r="D42" s="1">
        <f>0.863636</f>
        <v>0.86363599999999996</v>
      </c>
      <c r="E42" s="1">
        <f>0.863636</f>
        <v>0.86363599999999996</v>
      </c>
      <c r="F42" s="7">
        <f t="shared" si="0"/>
        <v>0</v>
      </c>
    </row>
    <row r="43" spans="1:6">
      <c r="A43" t="s">
        <v>105</v>
      </c>
      <c r="B43" s="1">
        <f>df_mol_b * ndf * mass_tg</f>
        <v>137.6</v>
      </c>
      <c r="C43" s="1">
        <f>df_mol_b * ndf * mass_tg</f>
        <v>137.6</v>
      </c>
      <c r="D43" s="1">
        <f>df_mol_b * ndf * mass_tg</f>
        <v>137.6</v>
      </c>
      <c r="E43" s="1">
        <f>df_mol_b * ndf * mass_tg</f>
        <v>137.6</v>
      </c>
      <c r="F43" s="7">
        <f t="shared" si="0"/>
        <v>0</v>
      </c>
    </row>
    <row r="44" spans="1:6">
      <c r="A44" t="s">
        <v>141</v>
      </c>
      <c r="B44" s="1">
        <f>0.16</f>
        <v>0.16</v>
      </c>
      <c r="C44" s="1">
        <f>0.16</f>
        <v>0.16</v>
      </c>
      <c r="D44" s="1">
        <f>0.16</f>
        <v>0.16</v>
      </c>
      <c r="E44" s="1">
        <f>0.16</f>
        <v>0.16</v>
      </c>
      <c r="F44" s="7">
        <f t="shared" si="0"/>
        <v>0</v>
      </c>
    </row>
    <row r="45" spans="1:6">
      <c r="A45" t="s">
        <v>77</v>
      </c>
      <c r="B45" s="1">
        <f>ci_g * eff_c_dnl * cal_c</f>
        <v>88.235294117647058</v>
      </c>
      <c r="C45" s="1">
        <f>ci_g * eff_c_dnl * cal_c</f>
        <v>70.588235294117638</v>
      </c>
      <c r="D45" s="1">
        <f>ci_g * eff_c_dnl * cal_c</f>
        <v>88.235294117647058</v>
      </c>
      <c r="E45" s="1">
        <f>ci_g * eff_c_dnl * cal_c</f>
        <v>70.588235294117638</v>
      </c>
      <c r="F45" s="7">
        <f t="shared" si="0"/>
        <v>-17.64705882352942</v>
      </c>
    </row>
    <row r="46" spans="1:6">
      <c r="A46" t="s">
        <v>18</v>
      </c>
      <c r="B46" s="1">
        <f>ci_0 * eff_c_dnl_b</f>
        <v>88.235294117647058</v>
      </c>
      <c r="C46" s="1">
        <f>ci_0 * eff_c_dnl_b</f>
        <v>70.588235294117652</v>
      </c>
      <c r="D46" s="1">
        <f>ci_0 * eff_c_dnl_b</f>
        <v>88.235294117647058</v>
      </c>
      <c r="E46" s="1">
        <f>ci_0 * eff_c_dnl_b</f>
        <v>70.588235294117652</v>
      </c>
      <c r="F46" s="7">
        <f t="shared" si="0"/>
        <v>-17.647058823529406</v>
      </c>
    </row>
    <row r="47" spans="1:6">
      <c r="A47" t="s">
        <v>85</v>
      </c>
      <c r="B47" s="1">
        <f>dnl / cal_f</f>
        <v>9.3469591226321036</v>
      </c>
      <c r="C47" s="1">
        <f>dnl / cal_f</f>
        <v>7.477567298105682</v>
      </c>
      <c r="D47" s="1">
        <f>dnl / cal_f</f>
        <v>9.3469591226321036</v>
      </c>
      <c r="E47" s="1">
        <f>dnl / cal_f</f>
        <v>7.477567298105682</v>
      </c>
      <c r="F47" s="7">
        <f t="shared" si="0"/>
        <v>-1.8693918245264216</v>
      </c>
    </row>
    <row r="48" spans="1:6">
      <c r="A48" t="s">
        <v>78</v>
      </c>
      <c r="B48" s="1">
        <f>MIN( dnl / cal_c, c_ / time_step )</f>
        <v>21.10892203771461</v>
      </c>
      <c r="C48" s="1">
        <f>MIN( dnl / cal_c, c_ / time_step )</f>
        <v>16.887137630171686</v>
      </c>
      <c r="D48" s="1">
        <f>MIN( dnl / cal_c, c_ / time_step )</f>
        <v>21.10892203771461</v>
      </c>
      <c r="E48" s="1">
        <f>MIN( dnl / cal_c, c_ / time_step )</f>
        <v>16.887137630171686</v>
      </c>
      <c r="F48" s="7">
        <f t="shared" si="0"/>
        <v>-4.2217844075429234</v>
      </c>
    </row>
    <row r="49" spans="1:6">
      <c r="A49" t="s">
        <v>73</v>
      </c>
      <c r="B49" s="1">
        <f>0.8</f>
        <v>0.8</v>
      </c>
      <c r="C49" s="1">
        <f>0.8</f>
        <v>0.8</v>
      </c>
      <c r="D49" s="1">
        <f>0.8</f>
        <v>0.8</v>
      </c>
      <c r="E49" s="1">
        <f>0.8</f>
        <v>0.8</v>
      </c>
      <c r="F49" s="7">
        <f t="shared" si="0"/>
        <v>0</v>
      </c>
    </row>
    <row r="50" spans="1:6">
      <c r="A50" t="s">
        <v>148</v>
      </c>
      <c r="B50" s="1">
        <f>dp_b * p / p_b</f>
        <v>300.3</v>
      </c>
      <c r="C50" s="1">
        <f>dp_b * p / p_b</f>
        <v>300.3</v>
      </c>
      <c r="D50" s="1">
        <f>dp_b * p / p_b</f>
        <v>300.3</v>
      </c>
      <c r="E50" s="1">
        <f>dp_b * p / p_b</f>
        <v>300.3</v>
      </c>
      <c r="F50" s="7">
        <f t="shared" si="0"/>
        <v>0</v>
      </c>
    </row>
    <row r="51" spans="1:6">
      <c r="A51" t="s">
        <v>152</v>
      </c>
      <c r="B51" s="1">
        <f>dp_mol_b * massaa</f>
        <v>300.3</v>
      </c>
      <c r="C51" s="1">
        <f>dp_mol_b * massaa</f>
        <v>300.3</v>
      </c>
      <c r="D51" s="1">
        <f>dp_mol_b * massaa</f>
        <v>300.3</v>
      </c>
      <c r="E51" s="1">
        <f>dp_mol_b * massaa</f>
        <v>300.3</v>
      </c>
      <c r="F51" s="7">
        <f t="shared" si="0"/>
        <v>0</v>
      </c>
    </row>
    <row r="52" spans="1:6">
      <c r="A52" t="s">
        <v>153</v>
      </c>
      <c r="B52" s="1">
        <f>2.73</f>
        <v>2.73</v>
      </c>
      <c r="C52" s="1">
        <f>2.73</f>
        <v>2.73</v>
      </c>
      <c r="D52" s="1">
        <f>2.73</f>
        <v>2.73</v>
      </c>
      <c r="E52" s="1">
        <f>2.73</f>
        <v>2.73</v>
      </c>
      <c r="F52" s="7">
        <f t="shared" si="0"/>
        <v>0</v>
      </c>
    </row>
    <row r="53" spans="1:6">
      <c r="A53" t="s">
        <v>101</v>
      </c>
      <c r="B53" s="1">
        <f>pi_k - pi_b</f>
        <v>0</v>
      </c>
      <c r="C53" s="1">
        <f>pi_k - pi_b</f>
        <v>0</v>
      </c>
      <c r="D53" s="1">
        <f>pi_k - pi_b</f>
        <v>0</v>
      </c>
      <c r="E53" s="1">
        <f>pi_k - pi_b</f>
        <v>0</v>
      </c>
      <c r="F53" s="7">
        <f t="shared" si="0"/>
        <v>0</v>
      </c>
    </row>
    <row r="54" spans="1:6">
      <c r="A54" t="s">
        <v>56</v>
      </c>
      <c r="B54" s="1">
        <f xml:space="preserve"> mei_b - (tef_b + pae_b + rmr_b )</f>
        <v>-865.3379200620393</v>
      </c>
      <c r="C54" s="1">
        <f xml:space="preserve"> mei_b - (tef_b + pae_b + rmr_b )</f>
        <v>-1817.0400007096314</v>
      </c>
      <c r="D54" s="1">
        <f xml:space="preserve"> mei_b - (tef_b + pae_b + rmr_b )</f>
        <v>-865.3379200620393</v>
      </c>
      <c r="E54" s="1">
        <f xml:space="preserve"> mei_b - (tef_b + pae_b + rmr_b )</f>
        <v>-1817.0400007096314</v>
      </c>
      <c r="F54" s="7">
        <f t="shared" si="0"/>
        <v>-951.70208064759208</v>
      </c>
    </row>
    <row r="55" spans="1:6">
      <c r="A55" t="s">
        <v>155</v>
      </c>
      <c r="B55" s="1">
        <f>ecw_b</f>
        <v>18374.999999999996</v>
      </c>
      <c r="C55" s="1">
        <f>ecw_b</f>
        <v>20999.999999999996</v>
      </c>
      <c r="D55" s="1">
        <f>ecw_b</f>
        <v>18374.999999999996</v>
      </c>
      <c r="E55" s="1">
        <f>ecw_b</f>
        <v>20999.999999999996</v>
      </c>
      <c r="F55" s="7">
        <f t="shared" si="0"/>
        <v>2625</v>
      </c>
    </row>
    <row r="56" spans="1:6">
      <c r="A56" t="s">
        <v>156</v>
      </c>
      <c r="B56" s="1">
        <f>fw * fetw * bw_b</f>
        <v>18374.999999999996</v>
      </c>
      <c r="C56" s="1">
        <f>fw * fetw * bw_b</f>
        <v>20999.999999999996</v>
      </c>
      <c r="D56" s="1">
        <f>fw * fetw * bw_b</f>
        <v>18374.999999999996</v>
      </c>
      <c r="E56" s="1">
        <f>fw * fetw * bw_b</f>
        <v>20999.999999999996</v>
      </c>
      <c r="F56" s="7">
        <f t="shared" si="0"/>
        <v>2625</v>
      </c>
    </row>
    <row r="57" spans="1:6">
      <c r="A57" t="s">
        <v>63</v>
      </c>
      <c r="B57" s="1">
        <f>sa * EXP( - LN(sa) * nacteng_bw )</f>
        <v>1</v>
      </c>
      <c r="C57" s="1">
        <f>sa * EXP( - LN(sa) * nacteng_bw )</f>
        <v>1</v>
      </c>
      <c r="D57" s="1">
        <f>sa * EXP( - LN(sa) * nacteng_bw )</f>
        <v>1</v>
      </c>
      <c r="E57" s="1">
        <f>sa * EXP( - LN(sa) * nacteng_bw )</f>
        <v>1</v>
      </c>
      <c r="F57" s="7">
        <f t="shared" si="0"/>
        <v>0</v>
      </c>
    </row>
    <row r="58" spans="1:6">
      <c r="A58" t="s">
        <v>96</v>
      </c>
      <c r="B58" s="1">
        <f>nc ^ hill_dnl / ( k_dnl ^ hill_dnl + nc ^ hill_dnl )</f>
        <v>5.8823529411764705E-2</v>
      </c>
      <c r="C58" s="1">
        <f>nc ^ hill_dnl / ( k_dnl ^ hill_dnl + nc ^ hill_dnl )</f>
        <v>5.8823529411764705E-2</v>
      </c>
      <c r="D58" s="1">
        <f>nc ^ hill_dnl / ( k_dnl ^ hill_dnl + nc ^ hill_dnl )</f>
        <v>5.8823529411764705E-2</v>
      </c>
      <c r="E58" s="1">
        <f>nc ^ hill_dnl / ( k_dnl ^ hill_dnl + nc ^ hill_dnl )</f>
        <v>5.8823529411764705E-2</v>
      </c>
      <c r="F58" s="7">
        <f t="shared" si="0"/>
        <v>0</v>
      </c>
    </row>
    <row r="59" spans="1:6">
      <c r="A59" t="s">
        <v>12</v>
      </c>
      <c r="B59" s="1">
        <f>1 / ( k_dnl ^ hill_dnl + 1 )</f>
        <v>5.8823529411764705E-2</v>
      </c>
      <c r="C59" s="1">
        <f>1 / ( k_dnl ^ hill_dnl + 1 )</f>
        <v>5.8823529411764705E-2</v>
      </c>
      <c r="D59" s="1">
        <f>1 / ( k_dnl ^ hill_dnl + 1 )</f>
        <v>5.8823529411764705E-2</v>
      </c>
      <c r="E59" s="1">
        <f>1 / ( k_dnl ^ hill_dnl + 1 )</f>
        <v>5.8823529411764705E-2</v>
      </c>
      <c r="F59" s="7">
        <f t="shared" si="0"/>
        <v>0</v>
      </c>
    </row>
    <row r="60" spans="1:6">
      <c r="A60" t="s">
        <v>67</v>
      </c>
      <c r="B60" s="1">
        <f>wci * ( 1 + sci * ndci )</f>
        <v>3.3141400000000001</v>
      </c>
      <c r="C60" s="1">
        <f>wci * ( 1 + sci * ndci )</f>
        <v>3.3141400000000001</v>
      </c>
      <c r="D60" s="1">
        <f>wci * ( 1 + sci * ndci )</f>
        <v>3.3141400000000001</v>
      </c>
      <c r="E60" s="1">
        <f>wci * ( 1 + sci * ndci )</f>
        <v>3.3141400000000001</v>
      </c>
      <c r="F60" s="7">
        <f t="shared" si="0"/>
        <v>0</v>
      </c>
    </row>
    <row r="61" spans="1:6">
      <c r="A61" t="s">
        <v>104</v>
      </c>
      <c r="B61" s="1">
        <f>1 + ( ( lipol_max - lipol_min )  * EXP( -k_lip * ci_g * cal_c / ci_b )+ lipol_min - 1 )/ MAX( 1, eff_obes_df )</f>
        <v>1</v>
      </c>
      <c r="C61" s="1">
        <f>1 + ( ( lipol_max - lipol_min )  * EXP( -k_lip * ci_g * cal_c / ci_b )+ lipol_min - 1 )/ MAX( 1, eff_obes_df )</f>
        <v>1</v>
      </c>
      <c r="D61" s="1">
        <f>1 + ( ( lipol_max - lipol_min )  * EXP( -k_lip * ci_g * cal_c / ci_b )+ lipol_min - 1 )/ MAX( 1, eff_obes_df )</f>
        <v>1</v>
      </c>
      <c r="E61" s="1">
        <f>1 + ( ( lipol_max - lipol_min )  * EXP( -k_lip * ci_g * cal_c / ci_b )+ lipol_min - 1 )/ MAX( 1, eff_obes_df )</f>
        <v>1</v>
      </c>
      <c r="F61" s="7">
        <f t="shared" si="0"/>
        <v>0</v>
      </c>
    </row>
    <row r="62" spans="1:6">
      <c r="A62" t="s">
        <v>87</v>
      </c>
      <c r="B62" s="1">
        <f>0.506 * ndci</f>
        <v>0</v>
      </c>
      <c r="C62" s="1">
        <f>0.506 * ndci</f>
        <v>0</v>
      </c>
      <c r="D62" s="1">
        <f>0.506 * ndci</f>
        <v>0</v>
      </c>
      <c r="E62" s="1">
        <f>0.506 * ndci</f>
        <v>0</v>
      </c>
      <c r="F62" s="7">
        <f t="shared" si="0"/>
        <v>0</v>
      </c>
    </row>
    <row r="63" spans="1:6">
      <c r="A63" t="s">
        <v>62</v>
      </c>
      <c r="B63" s="1">
        <f>wg * ndc</f>
        <v>0.56821294117647092</v>
      </c>
      <c r="C63" s="1">
        <f>wg * ndc</f>
        <v>0.82703647058823559</v>
      </c>
      <c r="D63" s="1">
        <f>wg * ndc</f>
        <v>0.56821294117647092</v>
      </c>
      <c r="E63" s="1">
        <f>wg * ndc</f>
        <v>0.82703647058823559</v>
      </c>
      <c r="F63" s="7">
        <f t="shared" si="0"/>
        <v>0.25882352941176467</v>
      </c>
    </row>
    <row r="64" spans="1:6">
      <c r="A64" t="s">
        <v>24</v>
      </c>
      <c r="B64" s="1">
        <v>1</v>
      </c>
      <c r="C64" s="1">
        <v>1</v>
      </c>
      <c r="D64" s="1">
        <v>1</v>
      </c>
      <c r="E64" s="1">
        <v>1</v>
      </c>
      <c r="F64" s="7">
        <f t="shared" si="0"/>
        <v>0</v>
      </c>
    </row>
    <row r="65" spans="1:6">
      <c r="A65" t="s">
        <v>139</v>
      </c>
      <c r="B65" s="1">
        <f>(f / f_b)^(2/3)</f>
        <v>1</v>
      </c>
      <c r="C65" s="1">
        <f>(f / f_b)^(2/3)</f>
        <v>1</v>
      </c>
      <c r="D65" s="1">
        <f>(f / f_b)^(2/3)</f>
        <v>1</v>
      </c>
      <c r="E65" s="1">
        <f>(f / f_b)^(2/3)</f>
        <v>1</v>
      </c>
      <c r="F65" s="7">
        <f t="shared" si="0"/>
        <v>0</v>
      </c>
    </row>
    <row r="66" spans="1:6">
      <c r="A66" t="s">
        <v>102</v>
      </c>
      <c r="B66" s="1">
        <f>0.306 * ndpi</f>
        <v>0</v>
      </c>
      <c r="C66" s="1">
        <f>0.306 * ndpi</f>
        <v>0</v>
      </c>
      <c r="D66" s="1">
        <f>0.306 * ndpi</f>
        <v>0</v>
      </c>
      <c r="E66" s="1">
        <f>0.306 * ndpi</f>
        <v>0</v>
      </c>
      <c r="F66" s="7">
        <f t="shared" si="0"/>
        <v>0</v>
      </c>
    </row>
    <row r="67" spans="1:6">
      <c r="A67" t="s">
        <v>66</v>
      </c>
      <c r="B67" s="1">
        <f>wpi * ( 1 + spi * ndpi )</f>
        <v>0.1</v>
      </c>
      <c r="C67" s="1">
        <f>wpi * ( 1 + spi * ndpi )</f>
        <v>0.1</v>
      </c>
      <c r="D67" s="1">
        <f>wpi * ( 1 + spi * ndpi )</f>
        <v>0.1</v>
      </c>
      <c r="E67" s="1">
        <f>wpi * ( 1 + spi * ndpi )</f>
        <v>0.1</v>
      </c>
      <c r="F67" s="7">
        <f t="shared" ref="F67:F130" si="1">C67-B67</f>
        <v>0</v>
      </c>
    </row>
    <row r="68" spans="1:6">
      <c r="A68" t="s">
        <v>45</v>
      </c>
      <c r="B68" s="1">
        <v>1</v>
      </c>
      <c r="C68" s="1">
        <v>1</v>
      </c>
      <c r="D68" s="1">
        <v>1</v>
      </c>
      <c r="E68" s="1">
        <v>1</v>
      </c>
      <c r="F68" s="7">
        <f t="shared" si="1"/>
        <v>0</v>
      </c>
    </row>
    <row r="69" spans="1:6">
      <c r="A69" t="s">
        <v>93</v>
      </c>
      <c r="B69" s="1">
        <f>mass_of_glycerol / ( cal_f * mass_tg )</f>
        <v>1.1332282223098148E-2</v>
      </c>
      <c r="C69" s="1">
        <f>mass_of_glycerol / ( cal_f * mass_tg )</f>
        <v>1.1332282223098148E-2</v>
      </c>
      <c r="D69" s="1">
        <f>mass_of_glycerol / ( cal_f * mass_tg )</f>
        <v>1.1332282223098148E-2</v>
      </c>
      <c r="E69" s="1">
        <f>mass_of_glycerol / ( cal_f * mass_tg )</f>
        <v>1.1332282223098148E-2</v>
      </c>
      <c r="F69" s="7">
        <f t="shared" si="1"/>
        <v>0</v>
      </c>
    </row>
    <row r="70" spans="1:6">
      <c r="A70" t="s">
        <v>47</v>
      </c>
      <c r="B70" s="1">
        <f>f_init</f>
        <v>5075.0000000000146</v>
      </c>
      <c r="C70" s="1">
        <f>f_init</f>
        <v>5800.0000000000146</v>
      </c>
      <c r="D70" s="1">
        <f>f_init</f>
        <v>5075.0000000000146</v>
      </c>
      <c r="E70" s="1">
        <f>f_init</f>
        <v>5800.0000000000146</v>
      </c>
      <c r="F70" s="7">
        <f t="shared" si="1"/>
        <v>725</v>
      </c>
    </row>
    <row r="71" spans="1:6">
      <c r="A71" t="s">
        <v>168</v>
      </c>
      <c r="B71" s="1">
        <f>bw_b - lean_b</f>
        <v>5075.0000000000146</v>
      </c>
      <c r="C71" s="1">
        <f>bw_b - lean_b</f>
        <v>5800.0000000000146</v>
      </c>
      <c r="D71" s="1">
        <f>bw_b - lean_b</f>
        <v>5075.0000000000146</v>
      </c>
      <c r="E71" s="1">
        <f>bw_b - lean_b</f>
        <v>5800.0000000000146</v>
      </c>
      <c r="F71" s="7">
        <f t="shared" si="1"/>
        <v>725</v>
      </c>
    </row>
    <row r="72" spans="1:6">
      <c r="A72" t="s">
        <v>2</v>
      </c>
      <c r="B72" s="1">
        <f>f_b</f>
        <v>5075.0000000000146</v>
      </c>
      <c r="C72" s="1">
        <f>f_b</f>
        <v>5800.0000000000146</v>
      </c>
      <c r="D72" s="1">
        <f>f_b</f>
        <v>5075.0000000000146</v>
      </c>
      <c r="E72" s="1">
        <f>f_b</f>
        <v>5800.0000000000146</v>
      </c>
      <c r="F72" s="7">
        <f t="shared" si="1"/>
        <v>725</v>
      </c>
    </row>
    <row r="73" spans="1:6">
      <c r="A73" t="s">
        <v>60</v>
      </c>
      <c r="B73" s="1">
        <f>MAX( 0, wf * ndf)</f>
        <v>2.6931760746690165</v>
      </c>
      <c r="C73" s="1">
        <f>MAX( 0, wf * ndf)</f>
        <v>2.827599439646951</v>
      </c>
      <c r="D73" s="1">
        <f>MAX( 0, wf * ndf)</f>
        <v>2.6931760746690165</v>
      </c>
      <c r="E73" s="1">
        <f>MAX( 0, wf * ndf)</f>
        <v>2.827599439646951</v>
      </c>
      <c r="F73" s="7">
        <f t="shared" si="1"/>
        <v>0.1344233649779345</v>
      </c>
    </row>
    <row r="74" spans="1:6">
      <c r="A74" t="s">
        <v>191</v>
      </c>
      <c r="B74" s="1">
        <f>carb_term / z</f>
        <v>0.50575582958749188</v>
      </c>
      <c r="C74" s="1">
        <f>carb_term / z</f>
        <v>0.51318480944828848</v>
      </c>
      <c r="D74" s="1">
        <f>carb_term / z</f>
        <v>0.50575582958749188</v>
      </c>
      <c r="E74" s="1">
        <f>carb_term / z</f>
        <v>0.51318480944828848</v>
      </c>
      <c r="F74" s="7">
        <f t="shared" si="1"/>
        <v>7.4289798607966029E-3</v>
      </c>
    </row>
    <row r="75" spans="1:6">
      <c r="A75" t="s">
        <v>37</v>
      </c>
      <c r="B75" s="1">
        <f>is_sufficient_carb * carb_term / y</f>
        <v>0.50575582958749177</v>
      </c>
      <c r="C75" s="1">
        <f>is_sufficient_carb * carb_term / y</f>
        <v>0.51318480944828848</v>
      </c>
      <c r="D75" s="1">
        <f>is_sufficient_carb * carb_term / y</f>
        <v>0.50575582958749177</v>
      </c>
      <c r="E75" s="1">
        <f>is_sufficient_carb * carb_term / y</f>
        <v>0.51318480944828848</v>
      </c>
      <c r="F75" s="7">
        <f t="shared" si="1"/>
        <v>7.4289798607967139E-3</v>
      </c>
    </row>
    <row r="76" spans="1:6">
      <c r="A76" t="s">
        <v>6</v>
      </c>
      <c r="B76" s="1">
        <f>3/8</f>
        <v>0.375</v>
      </c>
      <c r="C76" s="1">
        <f>3/8</f>
        <v>0.375</v>
      </c>
      <c r="D76" s="1">
        <f>3/8</f>
        <v>0.375</v>
      </c>
      <c r="E76" s="1">
        <f>3/8</f>
        <v>0.375</v>
      </c>
      <c r="F76" s="7">
        <f t="shared" si="1"/>
        <v>0</v>
      </c>
    </row>
    <row r="77" spans="1:6">
      <c r="A77" t="s">
        <v>192</v>
      </c>
      <c r="B77" s="1">
        <f>fat_term / z</f>
        <v>0.35091610528935197</v>
      </c>
      <c r="C77" s="1">
        <f>fat_term / z</f>
        <v>0.35047320409521632</v>
      </c>
      <c r="D77" s="1">
        <f>fat_term / z</f>
        <v>0.35091610528935197</v>
      </c>
      <c r="E77" s="1">
        <f>fat_term / z</f>
        <v>0.35047320409521632</v>
      </c>
      <c r="F77" s="7">
        <f t="shared" si="1"/>
        <v>-4.4290119413564755E-4</v>
      </c>
    </row>
    <row r="78" spans="1:6">
      <c r="A78" t="s">
        <v>38</v>
      </c>
      <c r="B78" s="1">
        <f>is_sufficient_fat * fat_term / y</f>
        <v>0.35091610528935191</v>
      </c>
      <c r="C78" s="1">
        <f>is_sufficient_fat * fat_term / y</f>
        <v>0.35047320409521632</v>
      </c>
      <c r="D78" s="1">
        <f>is_sufficient_fat * fat_term / y</f>
        <v>0.35091610528935191</v>
      </c>
      <c r="E78" s="1">
        <f>is_sufficient_fat * fat_term / y</f>
        <v>0.35047320409521632</v>
      </c>
      <c r="F78" s="7">
        <f t="shared" si="1"/>
        <v>-4.4290119413559204E-4</v>
      </c>
    </row>
    <row r="79" spans="1:6">
      <c r="A79" s="2" t="s">
        <v>22</v>
      </c>
      <c r="B79" s="1">
        <f>1000</f>
        <v>1000</v>
      </c>
      <c r="C79" s="1">
        <v>800</v>
      </c>
      <c r="D79" s="1">
        <f>1000</f>
        <v>1000</v>
      </c>
      <c r="E79" s="1">
        <v>800</v>
      </c>
      <c r="F79" s="7">
        <f t="shared" si="1"/>
        <v>-200</v>
      </c>
    </row>
    <row r="80" spans="1:6">
      <c r="A80" t="s">
        <v>169</v>
      </c>
      <c r="B80" s="1">
        <f>fi_0</f>
        <v>1000</v>
      </c>
      <c r="C80" s="1">
        <f>fi_0</f>
        <v>800</v>
      </c>
      <c r="D80" s="1">
        <f>fi_0</f>
        <v>1000</v>
      </c>
      <c r="E80" s="1">
        <f>fi_0</f>
        <v>800</v>
      </c>
      <c r="F80" s="7">
        <f t="shared" si="1"/>
        <v>-200</v>
      </c>
    </row>
    <row r="81" spans="1:6">
      <c r="A81" t="s">
        <v>162</v>
      </c>
      <c r="B81" s="1">
        <f>fi_k / cal_f</f>
        <v>105.93220338983052</v>
      </c>
      <c r="C81" s="1">
        <f>fi_k / cal_f</f>
        <v>84.745762711864415</v>
      </c>
      <c r="D81" s="1">
        <f>fi_k / cal_f</f>
        <v>105.93220338983052</v>
      </c>
      <c r="E81" s="1">
        <f>fi_k / cal_f</f>
        <v>84.745762711864415</v>
      </c>
      <c r="F81" s="7">
        <f t="shared" si="1"/>
        <v>-21.186440677966104</v>
      </c>
    </row>
    <row r="82" spans="1:6">
      <c r="A82" t="s">
        <v>182</v>
      </c>
      <c r="B82" s="1">
        <f>fi_0</f>
        <v>1000</v>
      </c>
      <c r="C82" s="1">
        <f>fi_0</f>
        <v>800</v>
      </c>
      <c r="D82" s="1">
        <f>fi_0</f>
        <v>1000</v>
      </c>
      <c r="E82" s="1">
        <f>fi_0</f>
        <v>800</v>
      </c>
      <c r="F82" s="7">
        <f t="shared" si="1"/>
        <v>-200</v>
      </c>
    </row>
    <row r="83" spans="1:6">
      <c r="A83" t="s">
        <v>181</v>
      </c>
      <c r="B83" s="1">
        <f>fi_input</f>
        <v>1000</v>
      </c>
      <c r="C83" s="1">
        <f>fi_input</f>
        <v>800</v>
      </c>
      <c r="D83" s="1">
        <f>fi_input</f>
        <v>1000</v>
      </c>
      <c r="E83" s="1">
        <f>fi_input</f>
        <v>800</v>
      </c>
      <c r="F83" s="7">
        <f t="shared" si="1"/>
        <v>-200</v>
      </c>
    </row>
    <row r="84" spans="1:6">
      <c r="A84" t="s">
        <v>8</v>
      </c>
      <c r="B84" s="1">
        <f>(1-fetw)/fetw</f>
        <v>1.6666666666666667</v>
      </c>
      <c r="C84" s="1">
        <f>(1-fetw)/fetw</f>
        <v>1.6666666666666667</v>
      </c>
      <c r="D84" s="1">
        <f>(1-fetw)/fetw</f>
        <v>1.6666666666666667</v>
      </c>
      <c r="E84" s="1">
        <f>(1-fetw)/fetw</f>
        <v>1.6666666666666667</v>
      </c>
      <c r="F84" s="7">
        <f t="shared" si="1"/>
        <v>0</v>
      </c>
    </row>
    <row r="85" spans="1:6">
      <c r="A85" t="s">
        <v>26</v>
      </c>
      <c r="B85" s="1">
        <f>fox_d / cal_f * eff_fox_p</f>
        <v>103.75449723713062</v>
      </c>
      <c r="C85" s="1">
        <f>fox_d / cal_f * eff_fox_p</f>
        <v>81.699434121333439</v>
      </c>
      <c r="D85" s="1">
        <f>fox_d / cal_f * eff_fox_p</f>
        <v>103.75449723713062</v>
      </c>
      <c r="E85" s="1">
        <f>fox_d / cal_f * eff_fox_p</f>
        <v>81.699434121333439</v>
      </c>
      <c r="F85" s="7">
        <f t="shared" si="1"/>
        <v>-22.055063115797182</v>
      </c>
    </row>
    <row r="86" spans="1:6">
      <c r="A86" t="s">
        <v>81</v>
      </c>
      <c r="B86" s="1">
        <f>ff * see</f>
        <v>979.44245391851302</v>
      </c>
      <c r="C86" s="1">
        <f>ff * see</f>
        <v>771.24265810538759</v>
      </c>
      <c r="D86" s="1">
        <f>ff * see</f>
        <v>979.44245391851302</v>
      </c>
      <c r="E86" s="1">
        <f>ff * see</f>
        <v>771.24265810538759</v>
      </c>
      <c r="F86" s="7">
        <f t="shared" si="1"/>
        <v>-208.19979581312543</v>
      </c>
    </row>
    <row r="87" spans="1:6">
      <c r="A87" t="s">
        <v>53</v>
      </c>
      <c r="B87" s="1">
        <f>fox_a * cal_f</f>
        <v>979.44245391851302</v>
      </c>
      <c r="C87" s="1">
        <f>fox_a * cal_f</f>
        <v>771.24265810538759</v>
      </c>
      <c r="D87" s="1">
        <f>fox_a * cal_f</f>
        <v>979.44245391851302</v>
      </c>
      <c r="E87" s="1">
        <f>fox_a * cal_f</f>
        <v>771.24265810538759</v>
      </c>
      <c r="F87" s="7">
        <f t="shared" si="1"/>
        <v>-208.19979581312543</v>
      </c>
    </row>
    <row r="88" spans="1:6">
      <c r="A88" t="s">
        <v>25</v>
      </c>
      <c r="B88" s="1">
        <f>f / time_step * cal_f</f>
        <v>47908.000000000138</v>
      </c>
      <c r="C88" s="1">
        <f>f / time_step * cal_f</f>
        <v>54752.000000000131</v>
      </c>
      <c r="D88" s="1">
        <f>f / time_step * cal_f</f>
        <v>47908.000000000138</v>
      </c>
      <c r="E88" s="1">
        <f>f / time_step * cal_f</f>
        <v>54752.000000000131</v>
      </c>
      <c r="F88" s="7">
        <f t="shared" si="1"/>
        <v>6843.9999999999927</v>
      </c>
    </row>
    <row r="89" spans="1:6">
      <c r="A89" t="s">
        <v>33</v>
      </c>
      <c r="B89" s="1">
        <f>ff_s * gap / cal_f</f>
        <v>0</v>
      </c>
      <c r="C89" s="1">
        <f>ff_s * gap / cal_f</f>
        <v>0</v>
      </c>
      <c r="D89" s="1">
        <f>ff_s * gap / cal_f</f>
        <v>0</v>
      </c>
      <c r="E89" s="1">
        <f>ff_s * gap / cal_f</f>
        <v>0</v>
      </c>
      <c r="F89" s="7">
        <f t="shared" si="1"/>
        <v>0</v>
      </c>
    </row>
    <row r="90" spans="1:6">
      <c r="A90" t="s">
        <v>29</v>
      </c>
      <c r="B90" s="1">
        <f>fox_s * cal_f</f>
        <v>0</v>
      </c>
      <c r="C90" s="1">
        <f>fox_s * cal_f</f>
        <v>0</v>
      </c>
      <c r="D90" s="1">
        <f>fox_s * cal_f</f>
        <v>0</v>
      </c>
      <c r="E90" s="1">
        <f>fox_s * cal_f</f>
        <v>0</v>
      </c>
      <c r="F90" s="7">
        <f t="shared" si="1"/>
        <v>0</v>
      </c>
    </row>
    <row r="91" spans="1:6">
      <c r="A91" t="s">
        <v>193</v>
      </c>
      <c r="B91" s="1">
        <f>prot_term / z</f>
        <v>0.14332806512315627</v>
      </c>
      <c r="C91" s="1">
        <f>prot_term / z</f>
        <v>0.1363419864564952</v>
      </c>
      <c r="D91" s="1">
        <f>prot_term / z</f>
        <v>0.14332806512315627</v>
      </c>
      <c r="E91" s="1">
        <f>prot_term / z</f>
        <v>0.1363419864564952</v>
      </c>
      <c r="F91" s="7">
        <f t="shared" si="1"/>
        <v>-6.9860786666610664E-3</v>
      </c>
    </row>
    <row r="92" spans="1:6">
      <c r="A92" t="s">
        <v>39</v>
      </c>
      <c r="B92" s="1">
        <f>prot_term / y</f>
        <v>0.14332806512315624</v>
      </c>
      <c r="C92" s="1">
        <f>prot_term / y</f>
        <v>0.1363419864564952</v>
      </c>
      <c r="D92" s="1">
        <f>prot_term / y</f>
        <v>0.14332806512315624</v>
      </c>
      <c r="E92" s="1">
        <f>prot_term / y</f>
        <v>0.1363419864564952</v>
      </c>
      <c r="F92" s="7">
        <f t="shared" si="1"/>
        <v>-6.9860786666610386E-3</v>
      </c>
    </row>
    <row r="93" spans="1:6">
      <c r="A93" t="s">
        <v>17</v>
      </c>
      <c r="B93" s="1">
        <f>7/10</f>
        <v>0.7</v>
      </c>
      <c r="C93" s="1">
        <f>7/10</f>
        <v>0.7</v>
      </c>
      <c r="D93" s="1">
        <f>7/10</f>
        <v>0.7</v>
      </c>
      <c r="E93" s="1">
        <f>7/10</f>
        <v>0.7</v>
      </c>
      <c r="F93" s="7">
        <f t="shared" si="1"/>
        <v>0</v>
      </c>
    </row>
    <row r="94" spans="1:6">
      <c r="A94" t="s">
        <v>13</v>
      </c>
      <c r="B94" s="1">
        <f>7/10</f>
        <v>0.7</v>
      </c>
      <c r="C94" s="1">
        <f>7/10</f>
        <v>0.7</v>
      </c>
      <c r="D94" s="1">
        <f>7/10</f>
        <v>0.7</v>
      </c>
      <c r="E94" s="1">
        <f>7/10</f>
        <v>0.7</v>
      </c>
      <c r="F94" s="7">
        <f t="shared" si="1"/>
        <v>0</v>
      </c>
    </row>
    <row r="95" spans="1:6">
      <c r="A95" t="s">
        <v>46</v>
      </c>
      <c r="B95" s="1">
        <f>gap_c + gap_f</f>
        <v>0</v>
      </c>
      <c r="C95" s="1">
        <f>gap_c + gap_f</f>
        <v>0</v>
      </c>
      <c r="D95" s="1">
        <f>gap_c + gap_f</f>
        <v>0</v>
      </c>
      <c r="E95" s="1">
        <f>gap_c + gap_f</f>
        <v>0</v>
      </c>
      <c r="F95" s="7">
        <f t="shared" si="1"/>
        <v>0</v>
      </c>
    </row>
    <row r="96" spans="1:6">
      <c r="A96" t="s">
        <v>49</v>
      </c>
      <c r="B96" s="1">
        <f>cox_d - cox_a * cal_c</f>
        <v>0</v>
      </c>
      <c r="C96" s="1">
        <f>cox_d - cox_a * cal_c</f>
        <v>0</v>
      </c>
      <c r="D96" s="1">
        <f>cox_d - cox_a * cal_c</f>
        <v>0</v>
      </c>
      <c r="E96" s="1">
        <f>cox_d - cox_a * cal_c</f>
        <v>0</v>
      </c>
      <c r="F96" s="7">
        <f t="shared" si="1"/>
        <v>0</v>
      </c>
    </row>
    <row r="97" spans="1:6">
      <c r="A97" t="s">
        <v>50</v>
      </c>
      <c r="B97" s="1">
        <f>fox_d - fox_a * cal_f</f>
        <v>0</v>
      </c>
      <c r="C97" s="1">
        <f>fox_d - fox_a * cal_f</f>
        <v>0</v>
      </c>
      <c r="D97" s="1">
        <f>fox_d - fox_a * cal_f</f>
        <v>0</v>
      </c>
      <c r="E97" s="1">
        <f>fox_d - fox_a * cal_f</f>
        <v>0</v>
      </c>
      <c r="F97" s="7">
        <f t="shared" si="1"/>
        <v>0</v>
      </c>
    </row>
    <row r="98" spans="1:6">
      <c r="A98" t="s">
        <v>74</v>
      </c>
      <c r="B98" s="1">
        <f>0.8</f>
        <v>0.8</v>
      </c>
      <c r="C98" s="1">
        <f>0.8</f>
        <v>0.8</v>
      </c>
      <c r="D98" s="1">
        <f>0.8</f>
        <v>0.8</v>
      </c>
      <c r="E98" s="1">
        <f>0.8</f>
        <v>0.8</v>
      </c>
      <c r="F98" s="7">
        <f t="shared" si="1"/>
        <v>0</v>
      </c>
    </row>
    <row r="99" spans="1:6">
      <c r="A99" t="s">
        <v>80</v>
      </c>
      <c r="B99" s="1">
        <f>gngf_end + gngf_ex</f>
        <v>108.89853969255026</v>
      </c>
      <c r="C99" s="1">
        <f>gngf_end + gngf_ex</f>
        <v>99.424751754040201</v>
      </c>
      <c r="D99" s="1">
        <f>gngf_end + gngf_ex</f>
        <v>108.89853969255026</v>
      </c>
      <c r="E99" s="1">
        <f>gngf_end + gngf_ex</f>
        <v>99.424751754040201</v>
      </c>
      <c r="F99" s="7">
        <f t="shared" si="1"/>
        <v>-9.473787938510057</v>
      </c>
    </row>
    <row r="100" spans="1:6">
      <c r="A100" t="s">
        <v>5</v>
      </c>
      <c r="B100" s="1">
        <f>gngf_end_b + gngf_ex_b</f>
        <v>108.89853969255026</v>
      </c>
      <c r="C100" s="1">
        <f>gngf_end_b + gngf_ex_b</f>
        <v>99.424751754040201</v>
      </c>
      <c r="D100" s="1">
        <f>gngf_end_b + gngf_ex_b</f>
        <v>108.89853969255026</v>
      </c>
      <c r="E100" s="1">
        <f>gngf_end_b + gngf_ex_b</f>
        <v>99.424751754040201</v>
      </c>
      <c r="F100" s="7">
        <f t="shared" si="1"/>
        <v>-9.473787938510057</v>
      </c>
    </row>
    <row r="101" spans="1:6">
      <c r="A101" t="s">
        <v>91</v>
      </c>
      <c r="B101" s="1">
        <f>gngf_end_b * ndf</f>
        <v>61.529599999999995</v>
      </c>
      <c r="C101" s="1">
        <f>gngf_end_b * ndf</f>
        <v>61.529599999999995</v>
      </c>
      <c r="D101" s="1">
        <f>gngf_end_b * ndf</f>
        <v>61.529599999999995</v>
      </c>
      <c r="E101" s="1">
        <f>gngf_end_b * ndf</f>
        <v>61.529599999999995</v>
      </c>
      <c r="F101" s="7">
        <f t="shared" si="1"/>
        <v>0</v>
      </c>
    </row>
    <row r="102" spans="1:6">
      <c r="A102" t="s">
        <v>90</v>
      </c>
      <c r="B102" s="1">
        <f>df_mol_b * mass_of_glycerol * cal_c</f>
        <v>61.529599999999995</v>
      </c>
      <c r="C102" s="1">
        <f>df_mol_b * mass_of_glycerol * cal_c</f>
        <v>61.529599999999995</v>
      </c>
      <c r="D102" s="1">
        <f>df_mol_b * mass_of_glycerol * cal_c</f>
        <v>61.529599999999995</v>
      </c>
      <c r="E102" s="1">
        <f>df_mol_b * mass_of_glycerol * cal_c</f>
        <v>61.529599999999995</v>
      </c>
      <c r="F102" s="7">
        <f t="shared" si="1"/>
        <v>0</v>
      </c>
    </row>
    <row r="103" spans="1:6">
      <c r="A103" t="s">
        <v>92</v>
      </c>
      <c r="B103" s="1">
        <f>exog_glycerol_per_kcal_fat_intake * fi_k * cal_c</f>
        <v>47.368939692550256</v>
      </c>
      <c r="C103" s="1">
        <f>exog_glycerol_per_kcal_fat_intake * fi_k * cal_c</f>
        <v>37.895151754040207</v>
      </c>
      <c r="D103" s="1">
        <f>exog_glycerol_per_kcal_fat_intake * fi_k * cal_c</f>
        <v>47.368939692550256</v>
      </c>
      <c r="E103" s="1">
        <f>exog_glycerol_per_kcal_fat_intake * fi_k * cal_c</f>
        <v>37.895151754040207</v>
      </c>
      <c r="F103" s="7">
        <f t="shared" si="1"/>
        <v>-9.4737879385100499</v>
      </c>
    </row>
    <row r="104" spans="1:6">
      <c r="A104" t="s">
        <v>9</v>
      </c>
      <c r="B104" s="1">
        <f>exog_glycerol_per_kcal_fat_intake * fi_0 * cal_c</f>
        <v>47.368939692550256</v>
      </c>
      <c r="C104" s="1">
        <f>exog_glycerol_per_kcal_fat_intake * fi_0 * cal_c</f>
        <v>37.895151754040207</v>
      </c>
      <c r="D104" s="1">
        <f>exog_glycerol_per_kcal_fat_intake * fi_0 * cal_c</f>
        <v>47.368939692550256</v>
      </c>
      <c r="E104" s="1">
        <f>exog_glycerol_per_kcal_fat_intake * fi_0 * cal_c</f>
        <v>37.895151754040207</v>
      </c>
      <c r="F104" s="7">
        <f t="shared" si="1"/>
        <v>-9.4737879385100499</v>
      </c>
    </row>
    <row r="105" spans="1:6">
      <c r="A105" t="s">
        <v>82</v>
      </c>
      <c r="B105" s="1">
        <f>gngf / cal_c</f>
        <v>26.05228222309815</v>
      </c>
      <c r="C105" s="1">
        <f>gngf / cal_c</f>
        <v>23.785825778478518</v>
      </c>
      <c r="D105" s="1">
        <f>gngf / cal_c</f>
        <v>26.05228222309815</v>
      </c>
      <c r="E105" s="1">
        <f>gngf / cal_c</f>
        <v>23.785825778478518</v>
      </c>
      <c r="F105" s="7">
        <f t="shared" si="1"/>
        <v>-2.2664564446196316</v>
      </c>
    </row>
    <row r="106" spans="1:6">
      <c r="A106" t="s">
        <v>83</v>
      </c>
      <c r="B106" s="1">
        <f>MIN( gngf / cal_f, f / time_step )</f>
        <v>11.535862255566766</v>
      </c>
      <c r="C106" s="1">
        <f>MIN( gngf / cal_f, f / time_step )</f>
        <v>10.532283024792395</v>
      </c>
      <c r="D106" s="1">
        <f>MIN( gngf / cal_f, f / time_step )</f>
        <v>11.535862255566766</v>
      </c>
      <c r="E106" s="1">
        <f>MIN( gngf / cal_f, f / time_step )</f>
        <v>10.532283024792395</v>
      </c>
      <c r="F106" s="7">
        <f t="shared" si="1"/>
        <v>-1.0035792307743705</v>
      </c>
    </row>
    <row r="107" spans="1:6">
      <c r="A107" t="s">
        <v>86</v>
      </c>
      <c r="B107" s="1">
        <f>MAX( 0, gngp_b * ( np - eff_ci_gngp + eff_pi_gngp ) )</f>
        <v>100</v>
      </c>
      <c r="C107" s="1">
        <f>MAX( 0, gngp_b * ( np - eff_ci_gngp + eff_pi_gngp ) )</f>
        <v>100</v>
      </c>
      <c r="D107" s="1">
        <f>MAX( 0, gngp_b * ( np - eff_ci_gngp + eff_pi_gngp ) )</f>
        <v>100</v>
      </c>
      <c r="E107" s="1">
        <f>MAX( 0, gngp_b * ( np - eff_ci_gngp + eff_pi_gngp ) )</f>
        <v>100</v>
      </c>
      <c r="F107" s="7">
        <f t="shared" si="1"/>
        <v>0</v>
      </c>
    </row>
    <row r="108" spans="1:6">
      <c r="A108" t="s">
        <v>103</v>
      </c>
      <c r="B108" s="1">
        <f>100</f>
        <v>100</v>
      </c>
      <c r="C108" s="1">
        <f>100</f>
        <v>100</v>
      </c>
      <c r="D108" s="1">
        <f>100</f>
        <v>100</v>
      </c>
      <c r="E108" s="1">
        <f>100</f>
        <v>100</v>
      </c>
      <c r="F108" s="7">
        <f t="shared" si="1"/>
        <v>0</v>
      </c>
    </row>
    <row r="109" spans="1:6">
      <c r="A109" t="s">
        <v>88</v>
      </c>
      <c r="B109" s="1">
        <f>gngp / cal_c</f>
        <v>23.923444976076556</v>
      </c>
      <c r="C109" s="1">
        <f>gngp / cal_c</f>
        <v>23.923444976076556</v>
      </c>
      <c r="D109" s="1">
        <f>gngp / cal_c</f>
        <v>23.923444976076556</v>
      </c>
      <c r="E109" s="1">
        <f>gngp / cal_c</f>
        <v>23.923444976076556</v>
      </c>
      <c r="F109" s="7">
        <f t="shared" si="1"/>
        <v>0</v>
      </c>
    </row>
    <row r="110" spans="1:6">
      <c r="A110" t="s">
        <v>84</v>
      </c>
      <c r="B110" s="1">
        <f>MAX( 0, gngp / cal_p)</f>
        <v>21.276595744680851</v>
      </c>
      <c r="C110" s="1">
        <f>MAX( 0, gngp / cal_p)</f>
        <v>21.276595744680851</v>
      </c>
      <c r="D110" s="1">
        <f>MAX( 0, gngp / cal_p)</f>
        <v>21.276595744680851</v>
      </c>
      <c r="E110" s="1">
        <f>MAX( 0, gngp / cal_p)</f>
        <v>21.276595744680851</v>
      </c>
      <c r="F110" s="7">
        <f t="shared" si="1"/>
        <v>0</v>
      </c>
    </row>
    <row r="111" spans="1:6">
      <c r="A111" t="s">
        <v>158</v>
      </c>
      <c r="B111" s="1">
        <f>2.7</f>
        <v>2.7</v>
      </c>
      <c r="C111" s="1">
        <f>2.7</f>
        <v>2.7</v>
      </c>
      <c r="D111" s="1">
        <f>2.7</f>
        <v>2.7</v>
      </c>
      <c r="E111" s="1">
        <f>2.7</f>
        <v>2.7</v>
      </c>
      <c r="F111" s="7">
        <f t="shared" si="1"/>
        <v>0</v>
      </c>
    </row>
    <row r="112" spans="1:6">
      <c r="A112" t="s">
        <v>94</v>
      </c>
      <c r="B112" s="1">
        <f>4</f>
        <v>4</v>
      </c>
      <c r="C112" s="1">
        <f>4</f>
        <v>4</v>
      </c>
      <c r="D112" s="1">
        <f>4</f>
        <v>4</v>
      </c>
      <c r="E112" s="1">
        <f>4</f>
        <v>4</v>
      </c>
      <c r="F112" s="7">
        <f t="shared" si="1"/>
        <v>0</v>
      </c>
    </row>
    <row r="113" spans="1:6">
      <c r="A113" t="s">
        <v>157</v>
      </c>
      <c r="B113" s="1">
        <f>2</f>
        <v>2</v>
      </c>
      <c r="C113" s="1">
        <f>2</f>
        <v>2</v>
      </c>
      <c r="D113" s="1">
        <f>2</f>
        <v>2</v>
      </c>
      <c r="E113" s="1">
        <f>2</f>
        <v>2</v>
      </c>
      <c r="F113" s="7">
        <f t="shared" si="1"/>
        <v>0</v>
      </c>
    </row>
    <row r="114" spans="1:6">
      <c r="A114" t="s">
        <v>159</v>
      </c>
      <c r="B114" s="1">
        <f>3967.28</f>
        <v>3967.28</v>
      </c>
      <c r="C114" s="1">
        <f>3967.28</f>
        <v>3967.28</v>
      </c>
      <c r="D114" s="1">
        <f>3967.28</f>
        <v>3967.28</v>
      </c>
      <c r="E114" s="1">
        <f>3967.28</f>
        <v>3967.28</v>
      </c>
      <c r="F114" s="7">
        <f t="shared" si="1"/>
        <v>0</v>
      </c>
    </row>
    <row r="115" spans="1:6">
      <c r="A115" t="s">
        <v>160</v>
      </c>
      <c r="B115" s="1">
        <f>hc * c_ + hp * p + ciw</f>
        <v>30624.999999999996</v>
      </c>
      <c r="C115" s="1">
        <f>hc * c_ + hp * p + ciw</f>
        <v>34999.999999999993</v>
      </c>
      <c r="D115" s="1">
        <f>hc * c_ + hp * p + ciw</f>
        <v>30624.999999999996</v>
      </c>
      <c r="E115" s="1">
        <f>hc * c_ + hp * p + ciw</f>
        <v>34999.999999999993</v>
      </c>
      <c r="F115" s="7">
        <f t="shared" si="1"/>
        <v>4374.9999999999964</v>
      </c>
    </row>
    <row r="116" spans="1:6">
      <c r="A116" t="s">
        <v>20</v>
      </c>
      <c r="B116" s="1">
        <f>fiew * ecw_b</f>
        <v>30624.999999999996</v>
      </c>
      <c r="C116" s="1">
        <f>fiew * ecw_b</f>
        <v>34999.999999999993</v>
      </c>
      <c r="D116" s="1">
        <f>fiew * ecw_b</f>
        <v>30624.999999999996</v>
      </c>
      <c r="E116" s="1">
        <f>fiew * ecw_b</f>
        <v>34999.999999999993</v>
      </c>
      <c r="F116" s="7">
        <f t="shared" si="1"/>
        <v>4374.9999999999964</v>
      </c>
    </row>
    <row r="117" spans="1:6">
      <c r="A117" t="s">
        <v>41</v>
      </c>
      <c r="B117" s="1">
        <f>IF(gap_c &lt; 0.1,1,0)</f>
        <v>1</v>
      </c>
      <c r="C117" s="1">
        <f>IF(gap_c &lt; 0.1,1,0)</f>
        <v>1</v>
      </c>
      <c r="D117" s="1">
        <f>IF(gap_c &lt; 0.1,1,0)</f>
        <v>1</v>
      </c>
      <c r="E117" s="1">
        <f>IF(gap_c &lt; 0.1,1,0)</f>
        <v>1</v>
      </c>
      <c r="F117" s="7">
        <f t="shared" si="1"/>
        <v>0</v>
      </c>
    </row>
    <row r="118" spans="1:6">
      <c r="A118" t="s">
        <v>40</v>
      </c>
      <c r="B118" s="1">
        <f>IF(gap_f &lt; 0.1,1,0)</f>
        <v>1</v>
      </c>
      <c r="C118" s="1">
        <f>IF(gap_f &lt; 0.1,1,0)</f>
        <v>1</v>
      </c>
      <c r="D118" s="1">
        <f>IF(gap_f &lt; 0.1,1,0)</f>
        <v>1</v>
      </c>
      <c r="E118" s="1">
        <f>IF(gap_f &lt; 0.1,1,0)</f>
        <v>1</v>
      </c>
      <c r="F118" s="7">
        <f t="shared" si="1"/>
        <v>0</v>
      </c>
    </row>
    <row r="119" spans="1:6">
      <c r="A119" t="s">
        <v>95</v>
      </c>
      <c r="B119" s="1">
        <f>2</f>
        <v>2</v>
      </c>
      <c r="C119" s="1">
        <f>2</f>
        <v>2</v>
      </c>
      <c r="D119" s="1">
        <f>2</f>
        <v>2</v>
      </c>
      <c r="E119" s="1">
        <f>2</f>
        <v>2</v>
      </c>
      <c r="F119" s="7">
        <f t="shared" si="1"/>
        <v>0</v>
      </c>
    </row>
    <row r="120" spans="1:6">
      <c r="A120" t="s">
        <v>140</v>
      </c>
      <c r="B120" s="1">
        <f>LN( ( lipol_max - lipol_min ) /( 1 - lipol_min ))</f>
        <v>3.0910424533583161</v>
      </c>
      <c r="C120" s="1">
        <f>LN( ( lipol_max - lipol_min ) /( 1 - lipol_min ))</f>
        <v>3.0910424533583161</v>
      </c>
      <c r="D120" s="1">
        <f>LN( ( lipol_max - lipol_min ) /( 1 - lipol_min ))</f>
        <v>3.0910424533583161</v>
      </c>
      <c r="E120" s="1">
        <f>LN( ( lipol_max - lipol_min ) /( 1 - lipol_min ))</f>
        <v>3.0910424533583161</v>
      </c>
      <c r="F120" s="7">
        <f t="shared" si="1"/>
        <v>0</v>
      </c>
    </row>
    <row r="121" spans="1:6">
      <c r="A121" t="s">
        <v>23</v>
      </c>
      <c r="B121" s="1">
        <f>( ci_0 - dnl_b ) / see_b</f>
        <v>0.50580916744131621</v>
      </c>
      <c r="C121" s="1">
        <f>( ci_0 - dnl_b ) / see_b</f>
        <v>0.51323478513453102</v>
      </c>
      <c r="D121" s="1">
        <f>( ci_0 - dnl_b ) / see_b</f>
        <v>0.50580916744131621</v>
      </c>
      <c r="E121" s="1">
        <f>( ci_0 - dnl_b ) / see_b</f>
        <v>0.51323478513453102</v>
      </c>
      <c r="F121" s="7">
        <f t="shared" si="1"/>
        <v>7.4256176932148144E-3</v>
      </c>
    </row>
    <row r="122" spans="1:6">
      <c r="A122" t="s">
        <v>3</v>
      </c>
      <c r="B122" s="1">
        <f>( fi_0 + dnl_b - gngf_b ) / see_b</f>
        <v>0.35087823511697763</v>
      </c>
      <c r="C122" s="1">
        <f>( fi_0 + dnl_b - gngf_b ) / see_b</f>
        <v>0.35043722506410924</v>
      </c>
      <c r="D122" s="1">
        <f>( fi_0 + dnl_b - gngf_b ) / see_b</f>
        <v>0.35087823511697763</v>
      </c>
      <c r="E122" s="1">
        <f>( fi_0 + dnl_b - gngf_b ) / see_b</f>
        <v>0.35043722506410924</v>
      </c>
      <c r="F122" s="7">
        <f t="shared" si="1"/>
        <v>-4.4101005286839579E-4</v>
      </c>
    </row>
    <row r="123" spans="1:6">
      <c r="A123" t="s">
        <v>4</v>
      </c>
      <c r="B123" s="1">
        <f>( pi_0 - gngp_b ) / see_b</f>
        <v>0.14331259744170627</v>
      </c>
      <c r="C123" s="1">
        <f>( pi_0 - gngp_b ) / see_b</f>
        <v>0.13632798980135979</v>
      </c>
      <c r="D123" s="1">
        <f>( pi_0 - gngp_b ) / see_b</f>
        <v>0.14331259744170627</v>
      </c>
      <c r="E123" s="1">
        <f>( pi_0 - gngp_b ) / see_b</f>
        <v>0.13632798980135979</v>
      </c>
      <c r="F123" s="7">
        <f t="shared" si="1"/>
        <v>-6.9846076403464741E-3</v>
      </c>
    </row>
    <row r="124" spans="1:6">
      <c r="A124" t="s">
        <v>125</v>
      </c>
      <c r="B124" s="1">
        <f>bm_b + ecw + cell_mass</f>
        <v>64924.999999999985</v>
      </c>
      <c r="C124" s="1">
        <f>bm_b + ecw + cell_mass</f>
        <v>74199.999999999985</v>
      </c>
      <c r="D124" s="1">
        <f>bm_b + ecw + cell_mass</f>
        <v>64924.999999999985</v>
      </c>
      <c r="E124" s="1">
        <f>bm_b + ecw + cell_mass</f>
        <v>74199.999999999985</v>
      </c>
      <c r="F124" s="7">
        <f t="shared" si="1"/>
        <v>9275</v>
      </c>
    </row>
    <row r="125" spans="1:6">
      <c r="A125" t="s">
        <v>171</v>
      </c>
      <c r="B125" s="1">
        <f>bm_b + ecw_b + cell_mass_b</f>
        <v>64924.999999999985</v>
      </c>
      <c r="C125" s="1">
        <f>bm_b + ecw_b + cell_mass_b</f>
        <v>74199.999999999985</v>
      </c>
      <c r="D125" s="1">
        <f>bm_b + ecw_b + cell_mass_b</f>
        <v>64924.999999999985</v>
      </c>
      <c r="E125" s="1">
        <f>bm_b + ecw_b + cell_mass_b</f>
        <v>74199.999999999985</v>
      </c>
      <c r="F125" s="7">
        <f t="shared" si="1"/>
        <v>9275</v>
      </c>
    </row>
    <row r="126" spans="1:6">
      <c r="A126" t="s">
        <v>144</v>
      </c>
      <c r="B126" s="1">
        <f>3.1</f>
        <v>3.1</v>
      </c>
      <c r="C126" s="1">
        <f>3.1</f>
        <v>3.1</v>
      </c>
      <c r="D126" s="1">
        <f>3.1</f>
        <v>3.1</v>
      </c>
      <c r="E126" s="1">
        <f>3.1</f>
        <v>3.1</v>
      </c>
      <c r="F126" s="7">
        <f t="shared" si="1"/>
        <v>0</v>
      </c>
    </row>
    <row r="127" spans="1:6">
      <c r="A127" t="s">
        <v>143</v>
      </c>
      <c r="B127" s="1">
        <f>0.9</f>
        <v>0.9</v>
      </c>
      <c r="C127" s="1">
        <f>0.9</f>
        <v>0.9</v>
      </c>
      <c r="D127" s="1">
        <f>0.9</f>
        <v>0.9</v>
      </c>
      <c r="E127" s="1">
        <f>0.9</f>
        <v>0.9</v>
      </c>
      <c r="F127" s="7">
        <f t="shared" si="1"/>
        <v>0</v>
      </c>
    </row>
    <row r="128" spans="1:6">
      <c r="A128" t="s">
        <v>186</v>
      </c>
      <c r="B128" s="1">
        <f>( cal_f * mass_tg - cal_c * mass_of_glycerol ) / ( 3 * cal_f)</f>
        <v>273.08757062146896</v>
      </c>
      <c r="C128" s="1">
        <f>( cal_f * mass_tg - cal_c * mass_of_glycerol ) / ( 3 * cal_f)</f>
        <v>273.08757062146896</v>
      </c>
      <c r="D128" s="1">
        <f>( cal_f * mass_tg - cal_c * mass_of_glycerol ) / ( 3 * cal_f)</f>
        <v>273.08757062146896</v>
      </c>
      <c r="E128" s="1">
        <f>( cal_f * mass_tg - cal_c * mass_of_glycerol ) / ( 3 * cal_f)</f>
        <v>273.08757062146896</v>
      </c>
      <c r="F128" s="7">
        <f t="shared" si="1"/>
        <v>0</v>
      </c>
    </row>
    <row r="129" spans="1:6">
      <c r="A129" t="s">
        <v>189</v>
      </c>
      <c r="B129" s="1">
        <f>92</f>
        <v>92</v>
      </c>
      <c r="C129" s="1">
        <f>92</f>
        <v>92</v>
      </c>
      <c r="D129" s="1">
        <f>92</f>
        <v>92</v>
      </c>
      <c r="E129" s="1">
        <f>92</f>
        <v>92</v>
      </c>
      <c r="F129" s="7">
        <f t="shared" si="1"/>
        <v>0</v>
      </c>
    </row>
    <row r="130" spans="1:6">
      <c r="A130" t="s">
        <v>185</v>
      </c>
      <c r="B130" s="1">
        <f>860</f>
        <v>860</v>
      </c>
      <c r="C130" s="1">
        <f>860</f>
        <v>860</v>
      </c>
      <c r="D130" s="1">
        <f>860</f>
        <v>860</v>
      </c>
      <c r="E130" s="1">
        <f>860</f>
        <v>860</v>
      </c>
      <c r="F130" s="7">
        <f t="shared" si="1"/>
        <v>0</v>
      </c>
    </row>
    <row r="131" spans="1:6">
      <c r="A131" t="s">
        <v>151</v>
      </c>
      <c r="B131" s="1">
        <f>110</f>
        <v>110</v>
      </c>
      <c r="C131" s="1">
        <f>110</f>
        <v>110</v>
      </c>
      <c r="D131" s="1">
        <f>110</f>
        <v>110</v>
      </c>
      <c r="E131" s="1">
        <f>110</f>
        <v>110</v>
      </c>
      <c r="F131" s="7">
        <f t="shared" ref="F131:F194" si="2">C131-B131</f>
        <v>0</v>
      </c>
    </row>
    <row r="132" spans="1:6">
      <c r="A132" t="s">
        <v>134</v>
      </c>
      <c r="B132" s="1">
        <f>1400</f>
        <v>1400</v>
      </c>
      <c r="C132" s="1">
        <f>1400</f>
        <v>1400</v>
      </c>
      <c r="D132" s="1">
        <f>1400</f>
        <v>1400</v>
      </c>
      <c r="E132" s="1">
        <f>1400</f>
        <v>1400</v>
      </c>
      <c r="F132" s="7">
        <f t="shared" si="2"/>
        <v>0</v>
      </c>
    </row>
    <row r="133" spans="1:6">
      <c r="A133" t="s">
        <v>126</v>
      </c>
      <c r="B133" s="1">
        <f>rmr_lean * ( cell_mass - massb ) + rmr_b_b * massb + rmr_f_b * f</f>
        <v>1372.5863899999999</v>
      </c>
      <c r="C133" s="1">
        <f>rmr_lean * ( cell_mass - massb ) + rmr_b_b * massb + rmr_f_b * f</f>
        <v>1525.4576400000001</v>
      </c>
      <c r="D133" s="1">
        <f>rmr_lean * ( cell_mass - massb ) + rmr_b_b * massb + rmr_f_b * f</f>
        <v>1372.5863899999999</v>
      </c>
      <c r="E133" s="1">
        <f>rmr_lean * ( cell_mass - massb ) + rmr_b_b * massb + rmr_f_b * f</f>
        <v>1525.4576400000001</v>
      </c>
      <c r="F133" s="7">
        <f t="shared" si="2"/>
        <v>152.87125000000015</v>
      </c>
    </row>
    <row r="134" spans="1:6">
      <c r="A134" t="s">
        <v>75</v>
      </c>
      <c r="B134" s="1">
        <f>( 1 - dnleff ) * dnl + ( 1- gngeff ) * ( gngf + gngp )</f>
        <v>59.426766762039449</v>
      </c>
      <c r="C134" s="1">
        <f>( 1 - dnleff ) * dnl + ( 1- gngeff ) * ( gngf + gngp )</f>
        <v>54.002597409631548</v>
      </c>
      <c r="D134" s="1">
        <f>( 1 - dnleff ) * dnl + ( 1- gngeff ) * ( gngf + gngp )</f>
        <v>59.426766762039449</v>
      </c>
      <c r="E134" s="1">
        <f>( 1 - dnleff ) * dnl + ( 1- gngeff ) * ( gngf + gngp )</f>
        <v>54.002597409631548</v>
      </c>
      <c r="F134" s="7">
        <f t="shared" si="2"/>
        <v>-5.4241693524079011</v>
      </c>
    </row>
    <row r="135" spans="1:6">
      <c r="A135" t="s">
        <v>187</v>
      </c>
      <c r="B135" s="1">
        <f>ci_k + fi_k + pi_k</f>
        <v>3000</v>
      </c>
      <c r="C135" s="1">
        <f>ci_k + fi_k + pi_k</f>
        <v>2400</v>
      </c>
      <c r="D135" s="1">
        <f>ci_k + fi_k + pi_k</f>
        <v>3000</v>
      </c>
      <c r="E135" s="1">
        <f>ci_k + fi_k + pi_k</f>
        <v>2400</v>
      </c>
      <c r="F135" s="7">
        <f t="shared" si="2"/>
        <v>-600</v>
      </c>
    </row>
    <row r="136" spans="1:6">
      <c r="A136" t="s">
        <v>16</v>
      </c>
      <c r="B136" s="1">
        <f>ci_b + fi_b +pi_b</f>
        <v>3000</v>
      </c>
      <c r="C136" s="1">
        <f>ci_b + fi_b +pi_b</f>
        <v>2400</v>
      </c>
      <c r="D136" s="1">
        <f>ci_b + fi_b +pi_b</f>
        <v>3000</v>
      </c>
      <c r="E136" s="1">
        <f>ci_b + fi_b +pi_b</f>
        <v>2400</v>
      </c>
      <c r="F136" s="7">
        <f t="shared" si="2"/>
        <v>-600</v>
      </c>
    </row>
    <row r="137" spans="1:6">
      <c r="A137" t="s">
        <v>174</v>
      </c>
      <c r="B137" s="1">
        <f>cal_c * mass_of_glycerol</f>
        <v>384.55999999999995</v>
      </c>
      <c r="C137" s="1">
        <f>cal_c * mass_of_glycerol</f>
        <v>384.55999999999995</v>
      </c>
      <c r="D137" s="1">
        <f>cal_c * mass_of_glycerol</f>
        <v>384.55999999999995</v>
      </c>
      <c r="E137" s="1">
        <f>cal_c * mass_of_glycerol</f>
        <v>384.55999999999995</v>
      </c>
      <c r="F137" s="7">
        <f t="shared" si="2"/>
        <v>0</v>
      </c>
    </row>
    <row r="138" spans="1:6">
      <c r="A138" t="s">
        <v>184</v>
      </c>
      <c r="B138" s="1">
        <f>cal_f * mass_tg</f>
        <v>8118.4</v>
      </c>
      <c r="C138" s="1">
        <f>cal_f * mass_tg</f>
        <v>8118.4</v>
      </c>
      <c r="D138" s="1">
        <f>cal_f * mass_tg</f>
        <v>8118.4</v>
      </c>
      <c r="E138" s="1">
        <f>cal_f * mass_tg</f>
        <v>8118.4</v>
      </c>
      <c r="F138" s="7">
        <f t="shared" si="2"/>
        <v>0</v>
      </c>
    </row>
    <row r="139" spans="1:6">
      <c r="A139" t="s">
        <v>110</v>
      </c>
      <c r="B139" s="1">
        <f>( degc_p + depc_p ) * dp +depc_f * df +depc_c * dc</f>
        <v>373.53976329999995</v>
      </c>
      <c r="C139" s="1">
        <f>( degc_p + depc_p ) * dp +depc_f * df +depc_c * dc</f>
        <v>373.53976329999995</v>
      </c>
      <c r="D139" s="1">
        <f>( degc_p + depc_p ) * dp +depc_f * df +depc_c * dc</f>
        <v>373.53976329999995</v>
      </c>
      <c r="E139" s="1">
        <f>( degc_p + depc_p ) * dp +depc_f * df +depc_c * dc</f>
        <v>373.53976329999995</v>
      </c>
      <c r="F139" s="7">
        <f t="shared" si="2"/>
        <v>0</v>
      </c>
    </row>
    <row r="140" spans="1:6">
      <c r="A140" t="s">
        <v>119</v>
      </c>
      <c r="B140" s="1">
        <f>acteng_bw / acteng_bw_b</f>
        <v>1</v>
      </c>
      <c r="C140" s="1">
        <f>acteng_bw / acteng_bw_b</f>
        <v>1</v>
      </c>
      <c r="D140" s="1">
        <f>acteng_bw / acteng_bw_b</f>
        <v>1</v>
      </c>
      <c r="E140" s="1">
        <f>acteng_bw / acteng_bw_b</f>
        <v>1</v>
      </c>
      <c r="F140" s="7">
        <f t="shared" si="2"/>
        <v>0</v>
      </c>
    </row>
    <row r="141" spans="1:6">
      <c r="A141" t="s">
        <v>145</v>
      </c>
      <c r="B141" s="1">
        <f>c_ / c_b</f>
        <v>1</v>
      </c>
      <c r="C141" s="1">
        <f>c_ / c_b</f>
        <v>1</v>
      </c>
      <c r="D141" s="1">
        <f>c_ / c_b</f>
        <v>1</v>
      </c>
      <c r="E141" s="1">
        <f>c_ / c_b</f>
        <v>1</v>
      </c>
      <c r="F141" s="7">
        <f t="shared" si="2"/>
        <v>0</v>
      </c>
    </row>
    <row r="142" spans="1:6">
      <c r="A142" t="s">
        <v>146</v>
      </c>
      <c r="B142" s="1">
        <f>dc / dc_b</f>
        <v>1</v>
      </c>
      <c r="C142" s="1">
        <f>dc / dc_b</f>
        <v>1</v>
      </c>
      <c r="D142" s="1">
        <f>dc / dc_b</f>
        <v>1</v>
      </c>
      <c r="E142" s="1">
        <f>dc / dc_b</f>
        <v>1</v>
      </c>
      <c r="F142" s="7">
        <f t="shared" si="2"/>
        <v>0</v>
      </c>
    </row>
    <row r="143" spans="1:6">
      <c r="A143" t="s">
        <v>98</v>
      </c>
      <c r="B143" s="1">
        <f>dci / ci_b</f>
        <v>0</v>
      </c>
      <c r="C143" s="1">
        <f>dci / ci_b</f>
        <v>0</v>
      </c>
      <c r="D143" s="1">
        <f>dci / ci_b</f>
        <v>0</v>
      </c>
      <c r="E143" s="1">
        <f>dci / ci_b</f>
        <v>0</v>
      </c>
      <c r="F143" s="7">
        <f t="shared" si="2"/>
        <v>0</v>
      </c>
    </row>
    <row r="144" spans="1:6">
      <c r="A144" t="s">
        <v>142</v>
      </c>
      <c r="B144" s="1">
        <f>eff_ci_df * eff_obes_df</f>
        <v>1</v>
      </c>
      <c r="C144" s="1">
        <f>eff_ci_df * eff_obes_df</f>
        <v>1</v>
      </c>
      <c r="D144" s="1">
        <f>eff_ci_df * eff_obes_df</f>
        <v>1</v>
      </c>
      <c r="E144" s="1">
        <f>eff_ci_df * eff_obes_df</f>
        <v>1</v>
      </c>
      <c r="F144" s="7">
        <f t="shared" si="2"/>
        <v>0</v>
      </c>
    </row>
    <row r="145" spans="1:6">
      <c r="A145" t="s">
        <v>123</v>
      </c>
      <c r="B145" s="1">
        <f>( mei - mei_b ) / mei_b</f>
        <v>0</v>
      </c>
      <c r="C145" s="1">
        <f>( mei - mei_b ) / mei_b</f>
        <v>0</v>
      </c>
      <c r="D145" s="1">
        <f>( mei - mei_b ) / mei_b</f>
        <v>0</v>
      </c>
      <c r="E145" s="1">
        <f>( mei - mei_b ) / mei_b</f>
        <v>0</v>
      </c>
      <c r="F145" s="7">
        <f t="shared" si="2"/>
        <v>0</v>
      </c>
    </row>
    <row r="146" spans="1:6">
      <c r="A146" t="s">
        <v>150</v>
      </c>
      <c r="B146" s="1">
        <f>dp / dp_b</f>
        <v>1</v>
      </c>
      <c r="C146" s="1">
        <f>dp / dp_b</f>
        <v>1</v>
      </c>
      <c r="D146" s="1">
        <f>dp / dp_b</f>
        <v>1</v>
      </c>
      <c r="E146" s="1">
        <f>dp / dp_b</f>
        <v>1</v>
      </c>
      <c r="F146" s="7">
        <f t="shared" si="2"/>
        <v>0</v>
      </c>
    </row>
    <row r="147" spans="1:6">
      <c r="A147" t="s">
        <v>99</v>
      </c>
      <c r="B147" s="1">
        <f>dpi / pi_b</f>
        <v>0</v>
      </c>
      <c r="C147" s="1">
        <f>dpi / pi_b</f>
        <v>0</v>
      </c>
      <c r="D147" s="1">
        <f>dpi / pi_b</f>
        <v>0</v>
      </c>
      <c r="E147" s="1">
        <f>dpi / pi_b</f>
        <v>0</v>
      </c>
      <c r="F147" s="7">
        <f t="shared" si="2"/>
        <v>0</v>
      </c>
    </row>
    <row r="148" spans="1:6">
      <c r="A148" t="s">
        <v>100</v>
      </c>
      <c r="B148" s="1">
        <f>p / p_b</f>
        <v>1</v>
      </c>
      <c r="C148" s="1">
        <f>p / p_b</f>
        <v>1</v>
      </c>
      <c r="D148" s="1">
        <f>p / p_b</f>
        <v>1</v>
      </c>
      <c r="E148" s="1">
        <f>p / p_b</f>
        <v>1</v>
      </c>
      <c r="F148" s="7">
        <f t="shared" si="2"/>
        <v>0</v>
      </c>
    </row>
    <row r="149" spans="1:6">
      <c r="A149" t="s">
        <v>30</v>
      </c>
      <c r="B149" s="1">
        <f>ox_p + ox_s</f>
        <v>3000</v>
      </c>
      <c r="C149" s="1">
        <f>ox_p + ox_s</f>
        <v>2400</v>
      </c>
      <c r="D149" s="1">
        <f>ox_p + ox_s</f>
        <v>3000</v>
      </c>
      <c r="E149" s="1">
        <f>ox_p + ox_s</f>
        <v>2400</v>
      </c>
      <c r="F149" s="7">
        <f t="shared" si="2"/>
        <v>-600</v>
      </c>
    </row>
    <row r="150" spans="1:6">
      <c r="A150" t="s">
        <v>55</v>
      </c>
      <c r="B150" s="1">
        <f>cox_k + fox_k + pox_k</f>
        <v>3000</v>
      </c>
      <c r="C150" s="1">
        <f>cox_k + fox_k + pox_k</f>
        <v>2400</v>
      </c>
      <c r="D150" s="1">
        <f>cox_k + fox_k + pox_k</f>
        <v>3000</v>
      </c>
      <c r="E150" s="1">
        <f>cox_k + fox_k + pox_k</f>
        <v>2400</v>
      </c>
      <c r="F150" s="7">
        <f t="shared" si="2"/>
        <v>-600</v>
      </c>
    </row>
    <row r="151" spans="1:6">
      <c r="A151" t="s">
        <v>35</v>
      </c>
      <c r="B151" s="1">
        <f>cox_s_k + fox_s_k + pox_s_k</f>
        <v>0</v>
      </c>
      <c r="C151" s="1">
        <f>cox_s_k + fox_s_k + pox_s_k</f>
        <v>0</v>
      </c>
      <c r="D151" s="1">
        <f>cox_s_k + fox_s_k + pox_s_k</f>
        <v>0</v>
      </c>
      <c r="E151" s="1">
        <f>cox_s_k + fox_s_k + pox_s_k</f>
        <v>0</v>
      </c>
      <c r="F151" s="7">
        <f t="shared" si="2"/>
        <v>0</v>
      </c>
    </row>
    <row r="152" spans="1:6">
      <c r="A152" t="s">
        <v>52</v>
      </c>
      <c r="B152" s="1">
        <f>p_init</f>
        <v>8757.7199999999957</v>
      </c>
      <c r="C152" s="1">
        <f>p_init</f>
        <v>10632.72</v>
      </c>
      <c r="D152" s="1">
        <f>p_init</f>
        <v>8757.7199999999957</v>
      </c>
      <c r="E152" s="1">
        <f>p_init</f>
        <v>10632.72</v>
      </c>
      <c r="F152" s="7">
        <f t="shared" si="2"/>
        <v>1875.0000000000036</v>
      </c>
    </row>
    <row r="153" spans="1:6">
      <c r="A153" t="s">
        <v>172</v>
      </c>
      <c r="B153" s="1">
        <f>cell_mass_b - icw_b - ics - c_b</f>
        <v>8757.7199999999957</v>
      </c>
      <c r="C153" s="1">
        <f>cell_mass_b - icw_b - ics - c_b</f>
        <v>10632.72</v>
      </c>
      <c r="D153" s="1">
        <f>cell_mass_b - icw_b - ics - c_b</f>
        <v>8757.7199999999957</v>
      </c>
      <c r="E153" s="1">
        <f>cell_mass_b - icw_b - ics - c_b</f>
        <v>10632.72</v>
      </c>
      <c r="F153" s="7">
        <f t="shared" si="2"/>
        <v>1875.0000000000036</v>
      </c>
    </row>
    <row r="154" spans="1:6">
      <c r="A154" t="s">
        <v>1</v>
      </c>
      <c r="B154" s="1">
        <f>p_b</f>
        <v>8757.7199999999957</v>
      </c>
      <c r="C154" s="1">
        <f>p_b</f>
        <v>10632.72</v>
      </c>
      <c r="D154" s="1">
        <f>p_b</f>
        <v>8757.7199999999957</v>
      </c>
      <c r="E154" s="1">
        <f>p_b</f>
        <v>10632.72</v>
      </c>
      <c r="F154" s="7">
        <f t="shared" si="2"/>
        <v>1875.0000000000036</v>
      </c>
    </row>
    <row r="155" spans="1:6">
      <c r="A155" t="s">
        <v>117</v>
      </c>
      <c r="B155" s="1">
        <f>acteng_bw_at * bw</f>
        <v>1797.2850000000001</v>
      </c>
      <c r="C155" s="1">
        <f>acteng_bw_at * bw</f>
        <v>2054.04</v>
      </c>
      <c r="D155" s="1">
        <f>acteng_bw_at * bw</f>
        <v>1797.2850000000001</v>
      </c>
      <c r="E155" s="1">
        <f>acteng_bw_at * bw</f>
        <v>2054.04</v>
      </c>
      <c r="F155" s="7">
        <f t="shared" si="2"/>
        <v>256.75499999999988</v>
      </c>
    </row>
    <row r="156" spans="1:6">
      <c r="A156" s="2" t="s">
        <v>11</v>
      </c>
      <c r="B156" s="1">
        <f>500</f>
        <v>500</v>
      </c>
      <c r="C156" s="1">
        <v>400</v>
      </c>
      <c r="D156" s="1">
        <f>500</f>
        <v>500</v>
      </c>
      <c r="E156" s="1">
        <v>400</v>
      </c>
      <c r="F156" s="7">
        <f t="shared" si="2"/>
        <v>-100</v>
      </c>
    </row>
    <row r="157" spans="1:6">
      <c r="A157" t="s">
        <v>173</v>
      </c>
      <c r="B157" s="1">
        <f>pi_0</f>
        <v>500</v>
      </c>
      <c r="C157" s="1">
        <f>pi_0</f>
        <v>400</v>
      </c>
      <c r="D157" s="1">
        <f>pi_0</f>
        <v>500</v>
      </c>
      <c r="E157" s="1">
        <f>pi_0</f>
        <v>400</v>
      </c>
      <c r="F157" s="7">
        <f t="shared" si="2"/>
        <v>-100</v>
      </c>
    </row>
    <row r="158" spans="1:6">
      <c r="A158" t="s">
        <v>164</v>
      </c>
      <c r="B158" s="1">
        <f xml:space="preserve"> pi_k / cal_p</f>
        <v>106.38297872340425</v>
      </c>
      <c r="C158" s="1">
        <f xml:space="preserve"> pi_k / cal_p</f>
        <v>85.106382978723403</v>
      </c>
      <c r="D158" s="1">
        <f xml:space="preserve"> pi_k / cal_p</f>
        <v>106.38297872340425</v>
      </c>
      <c r="E158" s="1">
        <f xml:space="preserve"> pi_k / cal_p</f>
        <v>85.106382978723403</v>
      </c>
      <c r="F158" s="7">
        <f t="shared" si="2"/>
        <v>-21.276595744680847</v>
      </c>
    </row>
    <row r="159" spans="1:6">
      <c r="A159" t="s">
        <v>180</v>
      </c>
      <c r="B159" s="1">
        <f xml:space="preserve"> pi_b</f>
        <v>500</v>
      </c>
      <c r="C159" s="1">
        <f xml:space="preserve"> pi_b</f>
        <v>400</v>
      </c>
      <c r="D159" s="1">
        <f xml:space="preserve"> pi_b</f>
        <v>500</v>
      </c>
      <c r="E159" s="1">
        <f xml:space="preserve"> pi_b</f>
        <v>400</v>
      </c>
      <c r="F159" s="7">
        <f t="shared" si="2"/>
        <v>-100</v>
      </c>
    </row>
    <row r="160" spans="1:6">
      <c r="A160" t="s">
        <v>190</v>
      </c>
      <c r="B160" s="1">
        <f>pi_input</f>
        <v>500</v>
      </c>
      <c r="C160" s="1">
        <f>pi_input</f>
        <v>400</v>
      </c>
      <c r="D160" s="1">
        <f>pi_input</f>
        <v>500</v>
      </c>
      <c r="E160" s="1">
        <f>pi_input</f>
        <v>400</v>
      </c>
      <c r="F160" s="7">
        <f t="shared" si="2"/>
        <v>-100</v>
      </c>
    </row>
    <row r="161" spans="1:6">
      <c r="A161" t="s">
        <v>89</v>
      </c>
      <c r="B161" s="1">
        <f>pox_d / cal_p</f>
        <v>85.115568482613327</v>
      </c>
      <c r="C161" s="1">
        <f>pox_d / cal_p</f>
        <v>63.836340572946632</v>
      </c>
      <c r="D161" s="1">
        <f>pox_d / cal_p</f>
        <v>85.115568482613327</v>
      </c>
      <c r="E161" s="1">
        <f>pox_d / cal_p</f>
        <v>63.836340572946632</v>
      </c>
      <c r="F161" s="7">
        <f t="shared" si="2"/>
        <v>-21.279227909666695</v>
      </c>
    </row>
    <row r="162" spans="1:6">
      <c r="A162" t="s">
        <v>79</v>
      </c>
      <c r="B162" s="1">
        <f>fp * see</f>
        <v>400.04317186828268</v>
      </c>
      <c r="C162" s="1">
        <f>fp * see</f>
        <v>300.0308006928492</v>
      </c>
      <c r="D162" s="1">
        <f>fp * see</f>
        <v>400.04317186828268</v>
      </c>
      <c r="E162" s="1">
        <f>fp * see</f>
        <v>300.0308006928492</v>
      </c>
      <c r="F162" s="7">
        <f t="shared" si="2"/>
        <v>-100.01237117543349</v>
      </c>
    </row>
    <row r="163" spans="1:6">
      <c r="A163" t="s">
        <v>54</v>
      </c>
      <c r="B163" s="1">
        <f>pox_a * cal_p</f>
        <v>400.04317186828263</v>
      </c>
      <c r="C163" s="1">
        <f>pox_a * cal_p</f>
        <v>300.0308006928492</v>
      </c>
      <c r="D163" s="1">
        <f>pox_a * cal_p</f>
        <v>400.04317186828263</v>
      </c>
      <c r="E163" s="1">
        <f>pox_a * cal_p</f>
        <v>300.0308006928492</v>
      </c>
      <c r="F163" s="7">
        <f t="shared" si="2"/>
        <v>-100.01237117543343</v>
      </c>
    </row>
    <row r="164" spans="1:6">
      <c r="A164" t="s">
        <v>27</v>
      </c>
      <c r="B164" s="1">
        <f>fp_s * gap / cal_p</f>
        <v>0</v>
      </c>
      <c r="C164" s="1">
        <f>fp_s * gap / cal_p</f>
        <v>0</v>
      </c>
      <c r="D164" s="1">
        <f>fp_s * gap / cal_p</f>
        <v>0</v>
      </c>
      <c r="E164" s="1">
        <f>fp_s * gap / cal_p</f>
        <v>0</v>
      </c>
      <c r="F164" s="7">
        <f t="shared" si="2"/>
        <v>0</v>
      </c>
    </row>
    <row r="165" spans="1:6">
      <c r="A165" t="s">
        <v>28</v>
      </c>
      <c r="B165" s="1">
        <f>pox_s * cal_p</f>
        <v>0</v>
      </c>
      <c r="C165" s="1">
        <f>pox_s * cal_p</f>
        <v>0</v>
      </c>
      <c r="D165" s="1">
        <f>pox_s * cal_p</f>
        <v>0</v>
      </c>
      <c r="E165" s="1">
        <f>pox_s * cal_p</f>
        <v>0</v>
      </c>
      <c r="F165" s="7">
        <f t="shared" si="2"/>
        <v>0</v>
      </c>
    </row>
    <row r="166" spans="1:6">
      <c r="A166" t="s">
        <v>69</v>
      </c>
      <c r="B166" s="1">
        <f>( ndp + MAX( 0, eff_pi_pox )  ) * eff_act_pox</f>
        <v>1.1000000000000001</v>
      </c>
      <c r="C166" s="1">
        <f>( ndp + MAX( 0, eff_pi_pox )  ) * eff_act_pox</f>
        <v>1.1000000000000001</v>
      </c>
      <c r="D166" s="1">
        <f>( ndp + MAX( 0, eff_pi_pox )  ) * eff_act_pox</f>
        <v>1.1000000000000001</v>
      </c>
      <c r="E166" s="1">
        <f>( ndp + MAX( 0, eff_pi_pox )  ) * eff_act_pox</f>
        <v>1.1000000000000001</v>
      </c>
      <c r="F166" s="7">
        <f t="shared" si="2"/>
        <v>0</v>
      </c>
    </row>
    <row r="167" spans="1:6">
      <c r="A167" t="s">
        <v>183</v>
      </c>
      <c r="B167" s="1">
        <f>0.2</f>
        <v>0.2</v>
      </c>
      <c r="C167" s="1">
        <f>0.2</f>
        <v>0.2</v>
      </c>
      <c r="D167" s="1">
        <f>0.2</f>
        <v>0.2</v>
      </c>
      <c r="E167" s="1">
        <f>0.2</f>
        <v>0.2</v>
      </c>
      <c r="F167" s="7">
        <f t="shared" si="2"/>
        <v>0</v>
      </c>
    </row>
    <row r="168" spans="1:6">
      <c r="A168" t="s">
        <v>188</v>
      </c>
      <c r="B168" s="1">
        <f>0</f>
        <v>0</v>
      </c>
      <c r="C168" s="1">
        <f>0</f>
        <v>0</v>
      </c>
      <c r="D168" s="1">
        <f>0</f>
        <v>0</v>
      </c>
      <c r="E168" s="1">
        <f>0</f>
        <v>0</v>
      </c>
      <c r="F168" s="7">
        <f t="shared" si="2"/>
        <v>0</v>
      </c>
    </row>
    <row r="169" spans="1:6">
      <c r="A169" t="s">
        <v>57</v>
      </c>
      <c r="B169" s="1">
        <f>mbc + mt + mc + ec</f>
        <v>940.21500000000015</v>
      </c>
      <c r="C169" s="1">
        <f>mbc + mt + mc + ec</f>
        <v>135.96000000000026</v>
      </c>
      <c r="D169" s="1">
        <f>mbc + mt + mc + ec</f>
        <v>940.21500000000015</v>
      </c>
      <c r="E169" s="1">
        <f>mbc + mt + mc + ec</f>
        <v>135.96000000000026</v>
      </c>
      <c r="F169" s="7">
        <f t="shared" si="2"/>
        <v>-804.25499999999988</v>
      </c>
    </row>
    <row r="170" spans="1:6">
      <c r="A170" t="s">
        <v>131</v>
      </c>
      <c r="B170" s="1">
        <f>0.24</f>
        <v>0.24</v>
      </c>
      <c r="C170" s="1">
        <f>0.24</f>
        <v>0.24</v>
      </c>
      <c r="D170" s="1">
        <f>0.24</f>
        <v>0.24</v>
      </c>
      <c r="E170" s="1">
        <f>0.24</f>
        <v>0.24</v>
      </c>
      <c r="F170" s="7">
        <f t="shared" si="2"/>
        <v>0</v>
      </c>
    </row>
    <row r="171" spans="1:6">
      <c r="A171" t="s">
        <v>130</v>
      </c>
      <c r="B171" s="1">
        <f>0.0045</f>
        <v>4.4999999999999997E-3</v>
      </c>
      <c r="C171" s="1">
        <f>0.0045</f>
        <v>4.4999999999999997E-3</v>
      </c>
      <c r="D171" s="1">
        <f>0.0045</f>
        <v>4.4999999999999997E-3</v>
      </c>
      <c r="E171" s="1">
        <f>0.0045</f>
        <v>4.4999999999999997E-3</v>
      </c>
      <c r="F171" s="7">
        <f t="shared" si="2"/>
        <v>0</v>
      </c>
    </row>
    <row r="172" spans="1:6">
      <c r="A172" t="s">
        <v>132</v>
      </c>
      <c r="B172" s="1">
        <f>rmr_lean_b * rmreff</f>
        <v>2.3937400000000001E-2</v>
      </c>
      <c r="C172" s="1">
        <f>rmr_lean_b * rmreff</f>
        <v>2.3937400000000001E-2</v>
      </c>
      <c r="D172" s="1">
        <f>rmr_lean_b * rmreff</f>
        <v>2.3937400000000001E-2</v>
      </c>
      <c r="E172" s="1">
        <f>rmr_lean_b * rmreff</f>
        <v>2.3937400000000001E-2</v>
      </c>
      <c r="F172" s="7">
        <f t="shared" si="2"/>
        <v>0</v>
      </c>
    </row>
    <row r="173" spans="1:6">
      <c r="A173" t="s">
        <v>128</v>
      </c>
      <c r="B173" s="1">
        <f>0.0239374</f>
        <v>2.3937400000000001E-2</v>
      </c>
      <c r="C173" s="1">
        <f>0.0239374</f>
        <v>2.3937400000000001E-2</v>
      </c>
      <c r="D173" s="1">
        <f>0.0239374</f>
        <v>2.3937400000000001E-2</v>
      </c>
      <c r="E173" s="1">
        <f>0.0239374</f>
        <v>2.3937400000000001E-2</v>
      </c>
      <c r="F173" s="7">
        <f t="shared" si="2"/>
        <v>0</v>
      </c>
    </row>
    <row r="174" spans="1:6">
      <c r="A174" t="s">
        <v>129</v>
      </c>
      <c r="B174" s="1">
        <f>1 + ( 1 - ateff ) * at</f>
        <v>1</v>
      </c>
      <c r="C174" s="1">
        <f>1 + ( 1 - ateff ) * at</f>
        <v>1</v>
      </c>
      <c r="D174" s="1">
        <f>1 + ( 1 - ateff ) * at</f>
        <v>1</v>
      </c>
      <c r="E174" s="1">
        <f>1 + ( 1 - ateff ) * at</f>
        <v>1</v>
      </c>
      <c r="F174" s="7">
        <f t="shared" si="2"/>
        <v>0</v>
      </c>
    </row>
    <row r="175" spans="1:6">
      <c r="A175" t="s">
        <v>65</v>
      </c>
      <c r="B175" s="1">
        <f>4</f>
        <v>4</v>
      </c>
      <c r="C175" s="1">
        <f>4</f>
        <v>4</v>
      </c>
      <c r="D175" s="1">
        <f>4</f>
        <v>4</v>
      </c>
      <c r="E175" s="1">
        <f>4</f>
        <v>4</v>
      </c>
      <c r="F175" s="7">
        <f t="shared" si="2"/>
        <v>0</v>
      </c>
    </row>
    <row r="176" spans="1:6">
      <c r="A176" t="s">
        <v>70</v>
      </c>
      <c r="B176" s="1">
        <f>0.761188</f>
        <v>0.76118799999999998</v>
      </c>
      <c r="C176" s="1">
        <f>0.761188</f>
        <v>0.76118799999999998</v>
      </c>
      <c r="D176" s="1">
        <f>0.761188</f>
        <v>0.76118799999999998</v>
      </c>
      <c r="E176" s="1">
        <f>0.761188</f>
        <v>0.76118799999999998</v>
      </c>
      <c r="F176" s="7">
        <f t="shared" si="2"/>
        <v>0</v>
      </c>
    </row>
    <row r="177" spans="1:6">
      <c r="A177" t="s">
        <v>76</v>
      </c>
      <c r="B177" s="1">
        <f>tee - gngp - gngf</f>
        <v>2791.1014603074495</v>
      </c>
      <c r="C177" s="1">
        <f>tee - gngp - gngf</f>
        <v>2200.5752482459598</v>
      </c>
      <c r="D177" s="1">
        <f>tee - gngp - gngf</f>
        <v>2791.1014603074495</v>
      </c>
      <c r="E177" s="1">
        <f>tee - gngp - gngf</f>
        <v>2200.5752482459598</v>
      </c>
      <c r="F177" s="7">
        <f t="shared" si="2"/>
        <v>-590.52621206148979</v>
      </c>
    </row>
    <row r="178" spans="1:6">
      <c r="A178" t="s">
        <v>10</v>
      </c>
      <c r="B178" s="1">
        <f>tee_b - gngp_b - gngf_b</f>
        <v>2791.1014603074495</v>
      </c>
      <c r="C178" s="1">
        <f>tee_b - gngp_b - gngf_b</f>
        <v>2200.5752482459598</v>
      </c>
      <c r="D178" s="1">
        <f>tee_b - gngp_b - gngf_b</f>
        <v>2791.1014603074495</v>
      </c>
      <c r="E178" s="1">
        <f>tee_b - gngp_b - gngf_b</f>
        <v>2200.5752482459598</v>
      </c>
      <c r="F178" s="7">
        <f t="shared" si="2"/>
        <v>-590.52621206148979</v>
      </c>
    </row>
    <row r="179" spans="1:6">
      <c r="A179" t="s">
        <v>64</v>
      </c>
      <c r="B179" s="1">
        <f>15.0253</f>
        <v>15.0253</v>
      </c>
      <c r="C179" s="1">
        <f>15.0253</f>
        <v>15.0253</v>
      </c>
      <c r="D179" s="1">
        <f>15.0253</f>
        <v>15.0253</v>
      </c>
      <c r="E179" s="1">
        <f>15.0253</f>
        <v>15.0253</v>
      </c>
      <c r="F179" s="7">
        <f t="shared" si="2"/>
        <v>0</v>
      </c>
    </row>
    <row r="180" spans="1:6">
      <c r="A180" t="s">
        <v>44</v>
      </c>
      <c r="B180" s="1">
        <f>c_ * cal_c / cox_d</f>
        <v>1.0317711626666644</v>
      </c>
      <c r="C180" s="1">
        <f>c_ * cal_c / cox_d</f>
        <v>1.2583477097460281</v>
      </c>
      <c r="D180" s="1">
        <f>c_ * cal_c / cox_d</f>
        <v>1.0317711626666644</v>
      </c>
      <c r="E180" s="1">
        <f>c_ * cal_c / cox_d</f>
        <v>1.2583477097460281</v>
      </c>
      <c r="F180" s="7">
        <f t="shared" si="2"/>
        <v>0.2265765470793637</v>
      </c>
    </row>
    <row r="181" spans="1:6">
      <c r="A181" t="s">
        <v>118</v>
      </c>
      <c r="B181" s="1">
        <f>0.8</f>
        <v>0.8</v>
      </c>
      <c r="C181" s="1">
        <f>0.8</f>
        <v>0.8</v>
      </c>
      <c r="D181" s="1">
        <f>0.8</f>
        <v>0.8</v>
      </c>
      <c r="E181" s="1">
        <f>0.8</f>
        <v>0.8</v>
      </c>
      <c r="F181" s="7">
        <f t="shared" si="2"/>
        <v>0</v>
      </c>
    </row>
    <row r="182" spans="1:6">
      <c r="A182" t="s">
        <v>154</v>
      </c>
      <c r="B182" s="1">
        <f>pae + rmr + tef</f>
        <v>3000</v>
      </c>
      <c r="C182" s="1">
        <f>pae + rmr + tef</f>
        <v>2400</v>
      </c>
      <c r="D182" s="1">
        <f>pae + rmr + tef</f>
        <v>3000</v>
      </c>
      <c r="E182" s="1">
        <f>pae + rmr + tef</f>
        <v>2400</v>
      </c>
      <c r="F182" s="7">
        <f t="shared" si="2"/>
        <v>-600</v>
      </c>
    </row>
    <row r="183" spans="1:6">
      <c r="A183" t="s">
        <v>15</v>
      </c>
      <c r="B183" s="1">
        <f>mei_b</f>
        <v>3000</v>
      </c>
      <c r="C183" s="1">
        <f>mei_b</f>
        <v>2400</v>
      </c>
      <c r="D183" s="1">
        <f>mei_b</f>
        <v>3000</v>
      </c>
      <c r="E183" s="1">
        <f>mei_b</f>
        <v>2400</v>
      </c>
      <c r="F183" s="7">
        <f t="shared" si="2"/>
        <v>-600</v>
      </c>
    </row>
    <row r="184" spans="1:6">
      <c r="A184" t="s">
        <v>106</v>
      </c>
      <c r="B184" s="1">
        <f>tef_c * cal_c * ci_g + tef_f * fi_k + tef_p * cal_p * pi_g</f>
        <v>262.5</v>
      </c>
      <c r="C184" s="1">
        <f>tef_c * cal_c * ci_g + tef_f * fi_k + tef_p * cal_p * pi_g</f>
        <v>210</v>
      </c>
      <c r="D184" s="1">
        <f>tef_c * cal_c * ci_g + tef_f * fi_k + tef_p * cal_p * pi_g</f>
        <v>262.5</v>
      </c>
      <c r="E184" s="1">
        <f>tef_c * cal_c * ci_g + tef_f * fi_k + tef_p * cal_p * pi_g</f>
        <v>210</v>
      </c>
      <c r="F184" s="7">
        <f t="shared" si="2"/>
        <v>-52.5</v>
      </c>
    </row>
    <row r="185" spans="1:6">
      <c r="A185" t="s">
        <v>108</v>
      </c>
      <c r="B185" s="1">
        <f>0.075</f>
        <v>7.4999999999999997E-2</v>
      </c>
      <c r="C185" s="1">
        <f>0.075</f>
        <v>7.4999999999999997E-2</v>
      </c>
      <c r="D185" s="1">
        <f>0.075</f>
        <v>7.4999999999999997E-2</v>
      </c>
      <c r="E185" s="1">
        <f>0.075</f>
        <v>7.4999999999999997E-2</v>
      </c>
      <c r="F185" s="7">
        <f t="shared" si="2"/>
        <v>0</v>
      </c>
    </row>
    <row r="186" spans="1:6">
      <c r="A186" t="s">
        <v>109</v>
      </c>
      <c r="B186" s="1">
        <f>0.025</f>
        <v>2.5000000000000001E-2</v>
      </c>
      <c r="C186" s="1">
        <f>0.025</f>
        <v>2.5000000000000001E-2</v>
      </c>
      <c r="D186" s="1">
        <f>0.025</f>
        <v>2.5000000000000001E-2</v>
      </c>
      <c r="E186" s="1">
        <f>0.025</f>
        <v>2.5000000000000001E-2</v>
      </c>
      <c r="F186" s="7">
        <f t="shared" si="2"/>
        <v>0</v>
      </c>
    </row>
    <row r="187" spans="1:6">
      <c r="A187" t="s">
        <v>107</v>
      </c>
      <c r="B187" s="1">
        <f>0.25</f>
        <v>0.25</v>
      </c>
      <c r="C187" s="1">
        <f>0.25</f>
        <v>0.25</v>
      </c>
      <c r="D187" s="1">
        <f>0.25</f>
        <v>0.25</v>
      </c>
      <c r="E187" s="1">
        <f>0.25</f>
        <v>0.25</v>
      </c>
      <c r="F187" s="7">
        <f t="shared" si="2"/>
        <v>0</v>
      </c>
    </row>
    <row r="188" spans="1:6">
      <c r="A188" t="s">
        <v>71</v>
      </c>
      <c r="B188" s="1">
        <f>3.31414</f>
        <v>3.3141400000000001</v>
      </c>
      <c r="C188" s="1">
        <f>3.31414</f>
        <v>3.3141400000000001</v>
      </c>
      <c r="D188" s="1">
        <f>3.31414</f>
        <v>3.3141400000000001</v>
      </c>
      <c r="E188" s="1">
        <f>3.31414</f>
        <v>3.3141400000000001</v>
      </c>
      <c r="F188" s="7">
        <f t="shared" si="2"/>
        <v>0</v>
      </c>
    </row>
    <row r="189" spans="1:6">
      <c r="A189" t="s">
        <v>59</v>
      </c>
      <c r="B189" s="1">
        <f>(1 + wpi) * kf / kp</f>
        <v>2.6931760746690165</v>
      </c>
      <c r="C189" s="1">
        <f>(1 + wpi) * kf / kp</f>
        <v>2.827599439646951</v>
      </c>
      <c r="D189" s="1">
        <f>(1 + wpi) * kf / kp</f>
        <v>2.6931760746690165</v>
      </c>
      <c r="E189" s="1">
        <f>(1 + wpi) * kf / kp</f>
        <v>2.827599439646951</v>
      </c>
      <c r="F189" s="7">
        <f t="shared" si="2"/>
        <v>0.1344233649779345</v>
      </c>
    </row>
    <row r="190" spans="1:6">
      <c r="A190" t="s">
        <v>61</v>
      </c>
      <c r="B190" s="1">
        <f>kc / kp * ( 1 + wpi )- wci</f>
        <v>0.56821294117647092</v>
      </c>
      <c r="C190" s="1">
        <f>kc / kp * ( 1 + wpi )- wci</f>
        <v>0.82703647058823559</v>
      </c>
      <c r="D190" s="1">
        <f>kc / kp * ( 1 + wpi )- wci</f>
        <v>0.56821294117647092</v>
      </c>
      <c r="E190" s="1">
        <f>kc / kp * ( 1 + wpi )- wci</f>
        <v>0.82703647058823559</v>
      </c>
      <c r="F190" s="7">
        <f t="shared" si="2"/>
        <v>0.25882352941176467</v>
      </c>
    </row>
    <row r="191" spans="1:6">
      <c r="A191" t="s">
        <v>68</v>
      </c>
      <c r="B191" s="1">
        <f>0.1</f>
        <v>0.1</v>
      </c>
      <c r="C191" s="1">
        <f>0.1</f>
        <v>0.1</v>
      </c>
      <c r="D191" s="1">
        <f>0.1</f>
        <v>0.1</v>
      </c>
      <c r="E191" s="1">
        <f>0.1</f>
        <v>0.1</v>
      </c>
      <c r="F191" s="7">
        <f t="shared" si="2"/>
        <v>0</v>
      </c>
    </row>
    <row r="192" spans="1:6">
      <c r="A192" t="s">
        <v>36</v>
      </c>
      <c r="B192" s="1">
        <f>prot_term + is_sufficient_carb * carb_term + is_sufficient_fat * fat_term</f>
        <v>7.6747006879274675</v>
      </c>
      <c r="C192" s="1">
        <f>prot_term + is_sufficient_carb * carb_term + is_sufficient_fat * fat_term</f>
        <v>8.0679475823171654</v>
      </c>
      <c r="D192" s="1">
        <f>prot_term + is_sufficient_carb * carb_term + is_sufficient_fat * fat_term</f>
        <v>7.6747006879274675</v>
      </c>
      <c r="E192" s="1">
        <f>prot_term + is_sufficient_carb * carb_term + is_sufficient_fat * fat_term</f>
        <v>8.0679475823171654</v>
      </c>
      <c r="F192" s="7">
        <f t="shared" si="2"/>
        <v>0.39324689438969784</v>
      </c>
    </row>
    <row r="193" spans="1:6">
      <c r="A193" t="s">
        <v>58</v>
      </c>
      <c r="B193" s="1">
        <f>carb_term + fat_term +prot_term</f>
        <v>7.6747006879274657</v>
      </c>
      <c r="C193" s="1">
        <f>carb_term + fat_term +prot_term</f>
        <v>8.0679475823171654</v>
      </c>
      <c r="D193" s="1">
        <f>carb_term + fat_term +prot_term</f>
        <v>7.6747006879274657</v>
      </c>
      <c r="E193" s="1">
        <f>carb_term + fat_term +prot_term</f>
        <v>8.0679475823171654</v>
      </c>
      <c r="F193" s="7">
        <f t="shared" si="2"/>
        <v>0.39324689438969962</v>
      </c>
    </row>
    <row r="194" spans="1:6">
      <c r="A194" t="s">
        <v>19</v>
      </c>
      <c r="B194" s="1">
        <f>1+wpi+wci+wg+wf</f>
        <v>7.6755290158454876</v>
      </c>
      <c r="C194" s="1">
        <f>1+wpi+wci+wg+wf</f>
        <v>8.0687759102351855</v>
      </c>
      <c r="D194" s="1">
        <f>1+wpi+wci+wg+wf</f>
        <v>7.6755290158454876</v>
      </c>
      <c r="E194" s="1">
        <f>1+wpi+wci+wg+wf</f>
        <v>8.0687759102351855</v>
      </c>
      <c r="F194" s="7">
        <f t="shared" si="2"/>
        <v>0.39324689438969784</v>
      </c>
    </row>
    <row r="195" spans="1:6">
      <c r="A195" t="s">
        <v>21</v>
      </c>
      <c r="B195" s="1">
        <f>wf/kf</f>
        <v>7.6755290158454867</v>
      </c>
      <c r="C195" s="1">
        <f>wf/kf</f>
        <v>8.0687759102351873</v>
      </c>
      <c r="D195" s="1">
        <f>wf/kf</f>
        <v>7.6755290158454867</v>
      </c>
      <c r="E195" s="1">
        <f>wf/kf</f>
        <v>8.0687759102351873</v>
      </c>
      <c r="F195" s="7">
        <f t="shared" ref="F195:F201" si="3">C195-B195</f>
        <v>0.39324689438970051</v>
      </c>
    </row>
    <row r="196" spans="1:6">
      <c r="A196" t="s">
        <v>194</v>
      </c>
      <c r="B196" s="1">
        <v>1</v>
      </c>
      <c r="C196" s="1">
        <v>1</v>
      </c>
      <c r="D196" s="1">
        <v>1</v>
      </c>
      <c r="E196" s="1">
        <v>1</v>
      </c>
      <c r="F196" s="7">
        <f t="shared" si="3"/>
        <v>0</v>
      </c>
    </row>
    <row r="197" spans="1:6" s="5" customFormat="1">
      <c r="A197" s="5" t="s">
        <v>195</v>
      </c>
      <c r="B197" s="6">
        <f xml:space="preserve"> (fox_a + fox_s) - ( fi_g + dnl_i - gngf_o )</f>
        <v>1.1196980234771559E-2</v>
      </c>
      <c r="C197" s="6">
        <f xml:space="preserve"> (fox_a + fox_s) - ( fi_g + dnl_i - gngf_o )</f>
        <v>8.3871361557328328E-3</v>
      </c>
      <c r="D197" s="6">
        <f xml:space="preserve"> (fox_a + fox_s) - ( fi_g + dnl_i - gngf_o )</f>
        <v>1.1196980234771559E-2</v>
      </c>
      <c r="E197" s="6">
        <f xml:space="preserve"> (fox_a + fox_s) - ( fi_g + dnl_i - gngf_o )</f>
        <v>8.3871361557328328E-3</v>
      </c>
      <c r="F197" s="7">
        <f t="shared" si="3"/>
        <v>-2.8098440790387258E-3</v>
      </c>
    </row>
    <row r="198" spans="1:6">
      <c r="A198" t="s">
        <v>196</v>
      </c>
      <c r="B198" s="1">
        <f xml:space="preserve"> (cox_a + cox_s) - (ci_g + gngf_i + gngp_i - dnl_o)</f>
        <v>-3.5615158301141037E-2</v>
      </c>
      <c r="C198" s="1">
        <f xml:space="preserve"> (cox_a + cox_s) - (ci_g + gngf_i + gngp_i - dnl_o)</f>
        <v>-2.6309870373040667E-2</v>
      </c>
      <c r="D198" s="1">
        <f xml:space="preserve"> (cox_a + cox_s) - (ci_g + gngf_i + gngp_i - dnl_o)</f>
        <v>-3.5615158301141037E-2</v>
      </c>
      <c r="E198" s="1">
        <f xml:space="preserve"> (cox_a + cox_s) - (ci_g + gngf_i + gngp_i - dnl_o)</f>
        <v>-2.6309870373040667E-2</v>
      </c>
      <c r="F198" s="7">
        <f t="shared" si="3"/>
        <v>9.3052879281003698E-3</v>
      </c>
    </row>
    <row r="199" spans="1:6">
      <c r="A199" t="s">
        <v>197</v>
      </c>
      <c r="B199" s="1">
        <f xml:space="preserve"> (pox_a + pox_s) - (pi_g - gngp_o)</f>
        <v>9.1855038899240071E-3</v>
      </c>
      <c r="C199" s="1">
        <f xml:space="preserve"> (pox_a + pox_s) - (pi_g - gngp_o)</f>
        <v>6.553338904076611E-3</v>
      </c>
      <c r="D199" s="1">
        <f xml:space="preserve"> (pox_a + pox_s) - (pi_g - gngp_o)</f>
        <v>9.1855038899240071E-3</v>
      </c>
      <c r="E199" s="1">
        <f xml:space="preserve"> (pox_a + pox_s) - (pi_g - gngp_o)</f>
        <v>6.553338904076611E-3</v>
      </c>
      <c r="F199" s="7">
        <f t="shared" si="3"/>
        <v>-2.6321649858473961E-3</v>
      </c>
    </row>
    <row r="200" spans="1:6">
      <c r="A200" t="s">
        <v>198</v>
      </c>
      <c r="B200" s="1">
        <f xml:space="preserve"> (fox_a + fox_s)</f>
        <v>103.75449723713062</v>
      </c>
      <c r="C200" s="1">
        <f xml:space="preserve"> (fox_a + fox_s)</f>
        <v>81.699434121333439</v>
      </c>
      <c r="D200" s="1">
        <f xml:space="preserve"> (fox_a + fox_s)</f>
        <v>103.75449723713062</v>
      </c>
      <c r="E200" s="1">
        <f xml:space="preserve"> (fox_a + fox_s)</f>
        <v>81.699434121333439</v>
      </c>
      <c r="F200" s="7">
        <f t="shared" si="3"/>
        <v>-22.055063115797182</v>
      </c>
    </row>
    <row r="201" spans="1:6">
      <c r="A201" t="s">
        <v>199</v>
      </c>
      <c r="B201" s="1">
        <f xml:space="preserve"> ( fi_g + dnl_i - gngf_o )</f>
        <v>103.74330025689585</v>
      </c>
      <c r="C201" s="1">
        <f xml:space="preserve"> ( fi_g + dnl_i - gngf_o )</f>
        <v>81.691046985177707</v>
      </c>
      <c r="D201" s="1">
        <f xml:space="preserve"> ( fi_g + dnl_i - gngf_o )</f>
        <v>103.74330025689585</v>
      </c>
      <c r="E201" s="1">
        <f xml:space="preserve"> ( fi_g + dnl_i - gngf_o )</f>
        <v>81.691046985177707</v>
      </c>
      <c r="F201" s="7">
        <f t="shared" si="3"/>
        <v>-22.052253271718143</v>
      </c>
    </row>
    <row r="202" spans="1:6">
      <c r="A202" t="s">
        <v>23</v>
      </c>
      <c r="B202" s="1">
        <f>kc</f>
        <v>0.50580916744131621</v>
      </c>
    </row>
    <row r="203" spans="1:6">
      <c r="A203" t="s">
        <v>191</v>
      </c>
      <c r="B203" s="1">
        <f>fc</f>
        <v>0.50575582958749188</v>
      </c>
    </row>
    <row r="204" spans="1:6">
      <c r="A204" t="s">
        <v>4</v>
      </c>
      <c r="B204" s="1">
        <f>kp</f>
        <v>0.14331259744170627</v>
      </c>
    </row>
    <row r="205" spans="1:6">
      <c r="A205" t="s">
        <v>193</v>
      </c>
      <c r="B205" s="1">
        <f>fp</f>
        <v>0.14332806512315627</v>
      </c>
    </row>
    <row r="206" spans="1:6">
      <c r="A206" t="s">
        <v>3</v>
      </c>
      <c r="B206" s="1">
        <f>kf</f>
        <v>0.35087823511697763</v>
      </c>
    </row>
    <row r="207" spans="1:6">
      <c r="A207" t="s">
        <v>192</v>
      </c>
      <c r="B207" s="1">
        <f>ff</f>
        <v>0.35091610528935197</v>
      </c>
    </row>
    <row r="208" spans="1:6">
      <c r="A208" t="s">
        <v>76</v>
      </c>
      <c r="B208" s="1">
        <f>see</f>
        <v>2791.1014603074495</v>
      </c>
    </row>
    <row r="209" spans="1:5">
      <c r="A209" t="s">
        <v>10</v>
      </c>
      <c r="B209" s="1">
        <f>see_b</f>
        <v>2791.1014603074495</v>
      </c>
    </row>
    <row r="210" spans="1:5">
      <c r="A210" t="s">
        <v>86</v>
      </c>
      <c r="B210" s="1">
        <f>gngp</f>
        <v>100</v>
      </c>
    </row>
    <row r="211" spans="1:5">
      <c r="A211" t="s">
        <v>103</v>
      </c>
      <c r="B211" s="1">
        <f>gngp_b</f>
        <v>100</v>
      </c>
    </row>
    <row r="212" spans="1:5">
      <c r="A212" t="s">
        <v>80</v>
      </c>
      <c r="B212" s="1">
        <f>gngf</f>
        <v>108.89853969255026</v>
      </c>
    </row>
    <row r="213" spans="1:5">
      <c r="A213" t="s">
        <v>5</v>
      </c>
      <c r="B213" s="1">
        <f>gngf_b</f>
        <v>108.89853969255026</v>
      </c>
    </row>
    <row r="214" spans="1:5">
      <c r="A214" t="s">
        <v>77</v>
      </c>
      <c r="B214" s="1">
        <f>dnl</f>
        <v>88.235294117647058</v>
      </c>
    </row>
    <row r="215" spans="1:5">
      <c r="A215" t="s">
        <v>18</v>
      </c>
      <c r="B215" s="1">
        <f>dnl_b</f>
        <v>88.235294117647058</v>
      </c>
    </row>
    <row r="216" spans="1:5">
      <c r="A216" t="s">
        <v>154</v>
      </c>
      <c r="B216" s="1">
        <f>tee</f>
        <v>3000</v>
      </c>
      <c r="C216" s="1">
        <f>tee</f>
        <v>2400</v>
      </c>
      <c r="D216" s="1">
        <f>tee</f>
        <v>3000</v>
      </c>
      <c r="E216" s="1">
        <f>tee</f>
        <v>2400</v>
      </c>
    </row>
    <row r="217" spans="1:5">
      <c r="A217" t="s">
        <v>15</v>
      </c>
      <c r="B217" s="1">
        <f>tee_b</f>
        <v>3000</v>
      </c>
      <c r="C217" s="1">
        <f>tee_b</f>
        <v>2400</v>
      </c>
      <c r="D217" s="1">
        <f>tee_b</f>
        <v>3000</v>
      </c>
      <c r="E217" s="1">
        <f>tee_b</f>
        <v>2400</v>
      </c>
    </row>
    <row r="218" spans="1:5">
      <c r="A218" t="s">
        <v>202</v>
      </c>
      <c r="B218" s="1">
        <f>rmr_lean * ( cell_mass_b - massb ) + rmr_b_b * massb + rmr_f_b * f_b</f>
        <v>1372.5863899999999</v>
      </c>
      <c r="C218" s="1">
        <f>rmr_lean * ( cell_mass_b - massb ) + rmr_b_b * massb + rmr_f_b * f_b</f>
        <v>1525.4576400000001</v>
      </c>
      <c r="D218" s="1">
        <f>rmr_lean * ( cell_mass_b - massb ) + rmr_b_b * massb + rmr_f_b * f_b</f>
        <v>1372.5863899999999</v>
      </c>
      <c r="E218" s="1">
        <f>rmr_lean * ( cell_mass_b - massb ) + rmr_b_b * massb + rmr_f_b * f_b</f>
        <v>1525.4576400000001</v>
      </c>
    </row>
    <row r="219" spans="1:5">
      <c r="A219" t="s">
        <v>204</v>
      </c>
      <c r="B219" s="1">
        <f>( degc_p + depc_p ) * dp_b +depc_f * df_b +depc_c * dc_b</f>
        <v>373.53976329999995</v>
      </c>
      <c r="C219" s="1">
        <f>( degc_p + depc_p ) * dp_b +depc_f * df_b +depc_c * dc_b</f>
        <v>373.53976329999995</v>
      </c>
      <c r="D219" s="1">
        <f>( degc_p + depc_p ) * dp_b +depc_f * df_b +depc_c * dc_b</f>
        <v>373.53976329999995</v>
      </c>
      <c r="E219" s="1">
        <f>( degc_p + depc_p ) * dp_b +depc_f * df_b +depc_c * dc_b</f>
        <v>373.53976329999995</v>
      </c>
    </row>
    <row r="220" spans="1:5">
      <c r="A220" t="s">
        <v>203</v>
      </c>
      <c r="B220" s="1">
        <f xml:space="preserve"> ( 1 - dnleff ) * dnl_b + ( 1- gngeff ) * ( gngf_b + gngp_b )</f>
        <v>59.426766762039449</v>
      </c>
      <c r="C220" s="1">
        <f xml:space="preserve"> ( 1 - dnleff ) * dnl_b + ( 1- gngeff ) * ( gngf_b + gngp_b )</f>
        <v>54.002597409631555</v>
      </c>
      <c r="D220" s="1">
        <f xml:space="preserve"> ( 1 - dnleff ) * dnl_b + ( 1- gngeff ) * ( gngf_b + gngp_b )</f>
        <v>59.426766762039449</v>
      </c>
      <c r="E220" s="1">
        <f xml:space="preserve"> ( 1 - dnleff ) * dnl_b + ( 1- gngeff ) * ( gngf_b + gngp_b )</f>
        <v>54.002597409631555</v>
      </c>
    </row>
    <row r="221" spans="1:5">
      <c r="A221" t="s">
        <v>205</v>
      </c>
      <c r="B221" s="1">
        <f xml:space="preserve"> df_mol_b * mass_tg</f>
        <v>137.6</v>
      </c>
      <c r="C221" s="1">
        <f xml:space="preserve"> df_mol_b * mass_tg</f>
        <v>137.6</v>
      </c>
      <c r="D221" s="1">
        <f xml:space="preserve"> df_mol_b * mass_tg</f>
        <v>137.6</v>
      </c>
      <c r="E221" s="1">
        <f xml:space="preserve"> df_mol_b * mass_tg</f>
        <v>137.6</v>
      </c>
    </row>
    <row r="222" spans="1:5">
      <c r="A222" t="s">
        <v>206</v>
      </c>
      <c r="B222" s="1">
        <f>mbc_b + mt_b + mc_b</f>
        <v>1805.5529200620394</v>
      </c>
      <c r="C222" s="1">
        <f>mbc_b + mt_b + mc_b</f>
        <v>1953.0000007096316</v>
      </c>
      <c r="D222" s="1">
        <f>mbc_b + mt_b + mc_b</f>
        <v>1805.5529200620394</v>
      </c>
      <c r="E222" s="1">
        <f>mbc_b + mt_b + mc_b</f>
        <v>1953.0000007096316</v>
      </c>
    </row>
    <row r="223" spans="1:5">
      <c r="A223" t="s">
        <v>207</v>
      </c>
      <c r="B223" s="1">
        <f xml:space="preserve"> tef_c * ci_b + tef_f * fi_b + tef_p * pi_b</f>
        <v>262.5</v>
      </c>
      <c r="C223" s="1">
        <f xml:space="preserve"> tef_c * ci_b + tef_f * fi_b + tef_p * pi_b</f>
        <v>210</v>
      </c>
      <c r="D223" s="1">
        <f xml:space="preserve"> tef_c * ci_b + tef_f * fi_b + tef_p * pi_b</f>
        <v>262.5</v>
      </c>
      <c r="E223" s="1">
        <f xml:space="preserve"> tef_c * ci_b + tef_f * fi_b + tef_p * pi_b</f>
        <v>210</v>
      </c>
    </row>
    <row r="224" spans="1:5">
      <c r="A224" t="s">
        <v>208</v>
      </c>
      <c r="B224" s="1">
        <f xml:space="preserve">  acteng_bw_b * bw_b</f>
        <v>1797.2850000000001</v>
      </c>
      <c r="C224" s="1">
        <f xml:space="preserve">  acteng_bw_b * bw_b</f>
        <v>2054.04</v>
      </c>
      <c r="D224" s="1">
        <f xml:space="preserve">  acteng_bw_b * bw_b</f>
        <v>1797.2850000000001</v>
      </c>
      <c r="E224" s="1">
        <f xml:space="preserve">  acteng_bw_b * bw_b</f>
        <v>2054.04</v>
      </c>
    </row>
    <row r="225" spans="1:5">
      <c r="A225" t="s">
        <v>56</v>
      </c>
      <c r="B225" s="1">
        <f xml:space="preserve"> mei_b - (tef_b + pae_b + rmr_b )</f>
        <v>-865.3379200620393</v>
      </c>
      <c r="C225" s="1">
        <f xml:space="preserve"> mei_b - (tef_b + pae_b + rmr_b )</f>
        <v>-1817.0400007096314</v>
      </c>
      <c r="D225" s="1">
        <f xml:space="preserve"> mei_b - (tef_b + pae_b + rmr_b )</f>
        <v>-865.3379200620393</v>
      </c>
      <c r="E225" s="1">
        <f xml:space="preserve"> mei_b - (tef_b + pae_b + rmr_b )</f>
        <v>-1817.0400007096314</v>
      </c>
    </row>
  </sheetData>
  <sortState ref="A1:B198">
    <sortCondition ref="A1"/>
  </sortState>
  <conditionalFormatting sqref="F2:F201">
    <cfRule type="cellIs" dxfId="0" priority="2" operator="greaterThan">
      <formula>0.001</formula>
    </cfRule>
    <cfRule type="cellIs" dxfId="1" priority="1" operator="lessThan">
      <formula>-0.001</formula>
    </cfRule>
  </conditionalFormatting>
  <pageMargins left="0.7" right="0.7" top="0.75" bottom="0.75" header="0.3" footer="0.3"/>
  <pageSetup paperSize="9" orientation="portrait" verticalDpi="0" r:id="rId1"/>
  <cellWatches>
    <cellWatch r="B85"/>
  </cellWatches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2" sqref="A2"/>
    </sheetView>
  </sheetViews>
  <sheetFormatPr defaultRowHeight="15"/>
  <cols>
    <col min="1" max="1" width="32.42578125" bestFit="1" customWidth="1"/>
    <col min="2" max="2" width="81.140625" bestFit="1" customWidth="1"/>
  </cols>
  <sheetData>
    <row r="1" spans="1:2">
      <c r="A1" t="s">
        <v>15</v>
      </c>
      <c r="B1" t="s">
        <v>15</v>
      </c>
    </row>
    <row r="2" spans="1:2">
      <c r="A2" t="s">
        <v>202</v>
      </c>
      <c r="B2" t="s">
        <v>209</v>
      </c>
    </row>
    <row r="3" spans="1:2">
      <c r="A3" t="s">
        <v>204</v>
      </c>
      <c r="B3" t="s">
        <v>210</v>
      </c>
    </row>
    <row r="4" spans="1:2">
      <c r="A4" t="s">
        <v>203</v>
      </c>
      <c r="B4" t="s">
        <v>211</v>
      </c>
    </row>
    <row r="5" spans="1:2">
      <c r="A5" t="s">
        <v>205</v>
      </c>
      <c r="B5" t="s">
        <v>212</v>
      </c>
    </row>
    <row r="6" spans="1:2">
      <c r="A6" t="s">
        <v>206</v>
      </c>
      <c r="B6" t="s">
        <v>213</v>
      </c>
    </row>
    <row r="7" spans="1:2">
      <c r="A7" t="s">
        <v>207</v>
      </c>
      <c r="B7" t="s">
        <v>214</v>
      </c>
    </row>
    <row r="8" spans="1:2">
      <c r="A8" t="s">
        <v>208</v>
      </c>
      <c r="B8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208</vt:i4>
      </vt:variant>
    </vt:vector>
  </HeadingPairs>
  <TitlesOfParts>
    <vt:vector size="211" baseType="lpstr">
      <vt:lpstr>Sheet1</vt:lpstr>
      <vt:lpstr>Sheet2</vt:lpstr>
      <vt:lpstr>Sheet3</vt:lpstr>
      <vt:lpstr>acteff</vt:lpstr>
      <vt:lpstr>acteng_bw</vt:lpstr>
      <vt:lpstr>acteng_bw_at</vt:lpstr>
      <vt:lpstr>acteng_bw_b</vt:lpstr>
      <vt:lpstr>activ_time</vt:lpstr>
      <vt:lpstr>activ_time_param</vt:lpstr>
      <vt:lpstr>at</vt:lpstr>
      <vt:lpstr>ateff</vt:lpstr>
      <vt:lpstr>atf</vt:lpstr>
      <vt:lpstr>bm_b</vt:lpstr>
      <vt:lpstr>bw</vt:lpstr>
      <vt:lpstr>bw_b</vt:lpstr>
      <vt:lpstr>c_</vt:lpstr>
      <vt:lpstr>c_b</vt:lpstr>
      <vt:lpstr>c_bal</vt:lpstr>
      <vt:lpstr>c_init</vt:lpstr>
      <vt:lpstr>cal_c</vt:lpstr>
      <vt:lpstr>cal_f</vt:lpstr>
      <vt:lpstr>cal_p</vt:lpstr>
      <vt:lpstr>carb_term</vt:lpstr>
      <vt:lpstr>cell_mass</vt:lpstr>
      <vt:lpstr>cell_mass_b</vt:lpstr>
      <vt:lpstr>ci_0</vt:lpstr>
      <vt:lpstr>ci_b</vt:lpstr>
      <vt:lpstr>ci_g</vt:lpstr>
      <vt:lpstr>ci_input</vt:lpstr>
      <vt:lpstr>ci_k</vt:lpstr>
      <vt:lpstr>ciw</vt:lpstr>
      <vt:lpstr>cox_a</vt:lpstr>
      <vt:lpstr>cox_d</vt:lpstr>
      <vt:lpstr>cox_k</vt:lpstr>
      <vt:lpstr>cox_s</vt:lpstr>
      <vt:lpstr>cox_s_k</vt:lpstr>
      <vt:lpstr>d_ox_tee</vt:lpstr>
      <vt:lpstr>dc</vt:lpstr>
      <vt:lpstr>dc_b</vt:lpstr>
      <vt:lpstr>dci</vt:lpstr>
      <vt:lpstr>degc_p</vt:lpstr>
      <vt:lpstr>del_at</vt:lpstr>
      <vt:lpstr>depc_c</vt:lpstr>
      <vt:lpstr>depc_f</vt:lpstr>
      <vt:lpstr>depc_p</vt:lpstr>
      <vt:lpstr>df</vt:lpstr>
      <vt:lpstr>df_b</vt:lpstr>
      <vt:lpstr>df_mol_b</vt:lpstr>
      <vt:lpstr>dnl</vt:lpstr>
      <vt:lpstr>dnl_b</vt:lpstr>
      <vt:lpstr>dnl_i</vt:lpstr>
      <vt:lpstr>dnl_in</vt:lpstr>
      <vt:lpstr>dnl_o</vt:lpstr>
      <vt:lpstr>dnleff</vt:lpstr>
      <vt:lpstr>dp</vt:lpstr>
      <vt:lpstr>dp_b</vt:lpstr>
      <vt:lpstr>dp_mol_b</vt:lpstr>
      <vt:lpstr>dpi</vt:lpstr>
      <vt:lpstr>ec</vt:lpstr>
      <vt:lpstr>ecw</vt:lpstr>
      <vt:lpstr>ecw_b</vt:lpstr>
      <vt:lpstr>eff_act_pox</vt:lpstr>
      <vt:lpstr>eff_c_dnl</vt:lpstr>
      <vt:lpstr>eff_c_dnl_b</vt:lpstr>
      <vt:lpstr>eff_ci_cox</vt:lpstr>
      <vt:lpstr>eff_ci_df</vt:lpstr>
      <vt:lpstr>eff_ci_gngp</vt:lpstr>
      <vt:lpstr>eff_dg_cox</vt:lpstr>
      <vt:lpstr>eff_fox_p</vt:lpstr>
      <vt:lpstr>eff_obes_df</vt:lpstr>
      <vt:lpstr>eff_pi_gngp</vt:lpstr>
      <vt:lpstr>eff_pi_pox</vt:lpstr>
      <vt:lpstr>eff_suff_c</vt:lpstr>
      <vt:lpstr>exog_glycerol_per_kcal_fat_intake</vt:lpstr>
      <vt:lpstr>f</vt:lpstr>
      <vt:lpstr>f_b</vt:lpstr>
      <vt:lpstr>f_bal</vt:lpstr>
      <vt:lpstr>f_init</vt:lpstr>
      <vt:lpstr>fat_term</vt:lpstr>
      <vt:lpstr>fc</vt:lpstr>
      <vt:lpstr>fc_s</vt:lpstr>
      <vt:lpstr>fetw</vt:lpstr>
      <vt:lpstr>ff</vt:lpstr>
      <vt:lpstr>ff_s</vt:lpstr>
      <vt:lpstr>fi_0</vt:lpstr>
      <vt:lpstr>fi_b</vt:lpstr>
      <vt:lpstr>fi_g</vt:lpstr>
      <vt:lpstr>fi_input</vt:lpstr>
      <vt:lpstr>fi_k</vt:lpstr>
      <vt:lpstr>fiew</vt:lpstr>
      <vt:lpstr>fox_a</vt:lpstr>
      <vt:lpstr>fox_d</vt:lpstr>
      <vt:lpstr>fox_k</vt:lpstr>
      <vt:lpstr>fox_p</vt:lpstr>
      <vt:lpstr>fox_s</vt:lpstr>
      <vt:lpstr>fox_s_k</vt:lpstr>
      <vt:lpstr>fp</vt:lpstr>
      <vt:lpstr>fp_s</vt:lpstr>
      <vt:lpstr>fw</vt:lpstr>
      <vt:lpstr>fwcm</vt:lpstr>
      <vt:lpstr>gap</vt:lpstr>
      <vt:lpstr>gap_c</vt:lpstr>
      <vt:lpstr>gap_f</vt:lpstr>
      <vt:lpstr>gngeff</vt:lpstr>
      <vt:lpstr>gngf</vt:lpstr>
      <vt:lpstr>gngf_b</vt:lpstr>
      <vt:lpstr>gngf_end</vt:lpstr>
      <vt:lpstr>gngf_end_b</vt:lpstr>
      <vt:lpstr>gngf_ex</vt:lpstr>
      <vt:lpstr>gngf_ex_b</vt:lpstr>
      <vt:lpstr>gngf_i</vt:lpstr>
      <vt:lpstr>gngf_o</vt:lpstr>
      <vt:lpstr>gngp</vt:lpstr>
      <vt:lpstr>gngp_b</vt:lpstr>
      <vt:lpstr>gngp_i</vt:lpstr>
      <vt:lpstr>gngp_in</vt:lpstr>
      <vt:lpstr>gngp_o</vt:lpstr>
      <vt:lpstr>hc</vt:lpstr>
      <vt:lpstr>hill_dnl</vt:lpstr>
      <vt:lpstr>hp</vt:lpstr>
      <vt:lpstr>ics</vt:lpstr>
      <vt:lpstr>icw</vt:lpstr>
      <vt:lpstr>icw_b</vt:lpstr>
      <vt:lpstr>is_sufficient_carb</vt:lpstr>
      <vt:lpstr>is_sufficient_fat</vt:lpstr>
      <vt:lpstr>k_dnl</vt:lpstr>
      <vt:lpstr>k_lip</vt:lpstr>
      <vt:lpstr>kc</vt:lpstr>
      <vt:lpstr>kf</vt:lpstr>
      <vt:lpstr>kp</vt:lpstr>
      <vt:lpstr>lean</vt:lpstr>
      <vt:lpstr>lean_b</vt:lpstr>
      <vt:lpstr>lipol_max</vt:lpstr>
      <vt:lpstr>lipol_min</vt:lpstr>
      <vt:lpstr>mass_ffa</vt:lpstr>
      <vt:lpstr>mass_of_glycerol</vt:lpstr>
      <vt:lpstr>mass_tg</vt:lpstr>
      <vt:lpstr>massaa</vt:lpstr>
      <vt:lpstr>massb</vt:lpstr>
      <vt:lpstr>mbc</vt:lpstr>
      <vt:lpstr>mbc_b</vt:lpstr>
      <vt:lpstr>mc</vt:lpstr>
      <vt:lpstr>mc_b</vt:lpstr>
      <vt:lpstr>mei</vt:lpstr>
      <vt:lpstr>mei_b</vt:lpstr>
      <vt:lpstr>molar_caloric_dens_glycerol</vt:lpstr>
      <vt:lpstr>molar_caloric_dens_tg</vt:lpstr>
      <vt:lpstr>mt</vt:lpstr>
      <vt:lpstr>mt_b</vt:lpstr>
      <vt:lpstr>nacteng_bw</vt:lpstr>
      <vt:lpstr>nc</vt:lpstr>
      <vt:lpstr>ndc</vt:lpstr>
      <vt:lpstr>ndci</vt:lpstr>
      <vt:lpstr>ndf</vt:lpstr>
      <vt:lpstr>ndmei</vt:lpstr>
      <vt:lpstr>ndp</vt:lpstr>
      <vt:lpstr>ndpi</vt:lpstr>
      <vt:lpstr>Sheet1!new_eqns_1</vt:lpstr>
      <vt:lpstr>np</vt:lpstr>
      <vt:lpstr>ox</vt:lpstr>
      <vt:lpstr>ox_p</vt:lpstr>
      <vt:lpstr>ox_s</vt:lpstr>
      <vt:lpstr>p</vt:lpstr>
      <vt:lpstr>p_b</vt:lpstr>
      <vt:lpstr>p_bal</vt:lpstr>
      <vt:lpstr>p_init</vt:lpstr>
      <vt:lpstr>pae</vt:lpstr>
      <vt:lpstr>pae_b</vt:lpstr>
      <vt:lpstr>pi_0</vt:lpstr>
      <vt:lpstr>pi_b</vt:lpstr>
      <vt:lpstr>pi_g</vt:lpstr>
      <vt:lpstr>pi_input</vt:lpstr>
      <vt:lpstr>pi_k</vt:lpstr>
      <vt:lpstr>pox_a</vt:lpstr>
      <vt:lpstr>pox_d</vt:lpstr>
      <vt:lpstr>pox_k</vt:lpstr>
      <vt:lpstr>pox_s</vt:lpstr>
      <vt:lpstr>pox_s_k</vt:lpstr>
      <vt:lpstr>prot_term</vt:lpstr>
      <vt:lpstr>protein_fraction_of_cell_mass</vt:lpstr>
      <vt:lpstr>read_from_data</vt:lpstr>
      <vt:lpstr>rmr</vt:lpstr>
      <vt:lpstr>rmr_b</vt:lpstr>
      <vt:lpstr>rmr_b_b</vt:lpstr>
      <vt:lpstr>rmr_f_b</vt:lpstr>
      <vt:lpstr>rmr_lean</vt:lpstr>
      <vt:lpstr>rmr_lean_b</vt:lpstr>
      <vt:lpstr>rmreff</vt:lpstr>
      <vt:lpstr>sa</vt:lpstr>
      <vt:lpstr>sci</vt:lpstr>
      <vt:lpstr>see</vt:lpstr>
      <vt:lpstr>see_b</vt:lpstr>
      <vt:lpstr>spi</vt:lpstr>
      <vt:lpstr>suff_c</vt:lpstr>
      <vt:lpstr>tc</vt:lpstr>
      <vt:lpstr>tee</vt:lpstr>
      <vt:lpstr>tee_b</vt:lpstr>
      <vt:lpstr>tef</vt:lpstr>
      <vt:lpstr>tef_b</vt:lpstr>
      <vt:lpstr>tef_c</vt:lpstr>
      <vt:lpstr>tef_f</vt:lpstr>
      <vt:lpstr>tef_p</vt:lpstr>
      <vt:lpstr>time_step</vt:lpstr>
      <vt:lpstr>wci</vt:lpstr>
      <vt:lpstr>wf</vt:lpstr>
      <vt:lpstr>wg</vt:lpstr>
      <vt:lpstr>wpi</vt:lpstr>
      <vt:lpstr>y</vt:lpstr>
      <vt:lpstr>z</vt:lpstr>
      <vt:lpstr>z_check_0</vt:lpstr>
      <vt:lpstr>z_check_1</vt:lpstr>
    </vt:vector>
  </TitlesOfParts>
  <Company>MN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2009-06-20T09:12:55Z</dcterms:created>
  <dcterms:modified xsi:type="dcterms:W3CDTF">2009-06-21T17:26:30Z</dcterms:modified>
</cp:coreProperties>
</file>