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975" windowHeight="7110"/>
  </bookViews>
  <sheets>
    <sheet name="output_alphabetical_excel" sheetId="1" r:id="rId1"/>
  </sheets>
  <definedNames>
    <definedName name="__pts_x_0">output_alphabetical_excel!$B$1:$F$1</definedName>
    <definedName name="__pts_x_1">output_alphabetical_excel!$B$2:$F$2</definedName>
    <definedName name="__pts_y_0">output_alphabetical_excel!$B$3:$F$3</definedName>
    <definedName name="__pts_y_1">output_alphabetical_excel!$B$4:$F$4</definedName>
    <definedName name="activ_time">output_alphabetical_excel!$B$5:$F$5</definedName>
    <definedName name="activ_time_data">output_alphabetical_excel!$B$6:$F$6</definedName>
    <definedName name="activ_time_param">output_alphabetical_excel!$B$7:$F$7</definedName>
    <definedName name="activity_efficiency">output_alphabetical_excel!$B$8:$F$8</definedName>
    <definedName name="activity_energy_per_body_weight">output_alphabetical_excel!$B$9:$F$9</definedName>
    <definedName name="activity_energy_spent_per_body_weight">output_alphabetical_excel!$B$10:$F$10</definedName>
    <definedName name="actual_carbox">output_alphabetical_excel!$B$11:$F$11</definedName>
    <definedName name="actual_fatox">output_alphabetical_excel!$B$12:$F$12</definedName>
    <definedName name="actual_protox">output_alphabetical_excel!$B$13:$F$13</definedName>
    <definedName name="adaptive_thermogenesis">output_alphabetical_excel!$B$14:$F$14</definedName>
    <definedName name="aminoacid_mass">output_alphabetical_excel!$B$15:$F$15</definedName>
    <definedName name="basal_rmr_efficiency">output_alphabetical_excel!$B$16:$F$16</definedName>
    <definedName name="basal_rmr_of_lean_tissues">output_alphabetical_excel!$B$17:$F$17</definedName>
    <definedName name="base_bone_mass">output_alphabetical_excel!$B$18:$F$18</definedName>
    <definedName name="base_carb">output_alphabetical_excel!$B$19:$F$19</definedName>
    <definedName name="base_deg_c">output_alphabetical_excel!$B$20:$F$20</definedName>
    <definedName name="base_gng_p">output_alphabetical_excel!$B$21:$F$21</definedName>
    <definedName name="base_molar_lipolysis">output_alphabetical_excel!$B$22:$F$22</definedName>
    <definedName name="base_rmr_brain">output_alphabetical_excel!$B$23:$F$23</definedName>
    <definedName name="base_rmr_fat">output_alphabetical_excel!$B$24:$F$24</definedName>
    <definedName name="baseline_activity_energy_per_body_weight">output_alphabetical_excel!$B$25:$F$25</definedName>
    <definedName name="baseline_basal_rmr_of_lean_tissues">output_alphabetical_excel!$B$26:$F$26</definedName>
    <definedName name="baseline_bodyweight">output_alphabetical_excel!$B$27:$F$27</definedName>
    <definedName name="baseline_carbohydrate_intake">output_alphabetical_excel!$B$28:$F$28</definedName>
    <definedName name="baseline_ecw">output_alphabetical_excel!$B$29:$F$29</definedName>
    <definedName name="baseline_fat">output_alphabetical_excel!$B$30:$F$30</definedName>
    <definedName name="baseline_fat_intake">output_alphabetical_excel!$B$31:$F$31</definedName>
    <definedName name="baseline_gng_fat_endog">output_alphabetical_excel!$B$32:$F$32</definedName>
    <definedName name="baseline_lean_mass">output_alphabetical_excel!$B$33:$F$33</definedName>
    <definedName name="baseline_metabolizable_energy_intake">output_alphabetical_excel!$B$34:$F$34</definedName>
    <definedName name="baseline_protein">output_alphabetical_excel!$B$35:$F$35</definedName>
    <definedName name="baseline_protein_intake">output_alphabetical_excel!$B$36:$F$36</definedName>
    <definedName name="baseline_proteolysis">output_alphabetical_excel!$B$37:$F$37</definedName>
    <definedName name="body_weight">output_alphabetical_excel!$B$38:$F$38</definedName>
    <definedName name="c_init">output_alphabetical_excel!$B$39:$F$39</definedName>
    <definedName name="cal_dens_c">output_alphabetical_excel!$B$40:$F$40</definedName>
    <definedName name="cal_dens_f">output_alphabetical_excel!$B$41:$F$41</definedName>
    <definedName name="cal_dens_p">output_alphabetical_excel!$B$42:$F$42</definedName>
    <definedName name="carb">output_alphabetical_excel!$B$43:$F$43</definedName>
    <definedName name="carb_sufficiency">output_alphabetical_excel!$B$44:$F$44</definedName>
    <definedName name="carb_term">output_alphabetical_excel!$B$45:$F$45</definedName>
    <definedName name="carbohydrate_intake">output_alphabetical_excel!$B$46:$F$46</definedName>
    <definedName name="carbohydrate_intake_data">output_alphabetical_excel!$B$47:$F$47</definedName>
    <definedName name="cell_mass">output_alphabetical_excel!$B$48:$F$48</definedName>
    <definedName name="cell_mass_b">output_alphabetical_excel!$B$49:$F$49</definedName>
    <definedName name="change_in_carbohydrate_intake">output_alphabetical_excel!$B$50:$F$50</definedName>
    <definedName name="change_in_protein_intake">output_alphabetical_excel!$B$51:$F$51</definedName>
    <definedName name="ci">output_alphabetical_excel!$B$52:$F$52</definedName>
    <definedName name="ci_0">output_alphabetical_excel!$B$53:$F$53</definedName>
    <definedName name="ci_input">output_alphabetical_excel!$B$54:$F$54</definedName>
    <definedName name="ciw">output_alphabetical_excel!$B$55:$F$55</definedName>
    <definedName name="deg_cost_p">output_alphabetical_excel!$B$56:$F$56</definedName>
    <definedName name="delay_in_adaptive_thermogenesis">output_alphabetical_excel!$B$57:$F$57</definedName>
    <definedName name="dep_cost_c">output_alphabetical_excel!$B$58:$F$58</definedName>
    <definedName name="dep_cost_fat">output_alphabetical_excel!$B$59:$F$59</definedName>
    <definedName name="dep_cost_p">output_alphabetical_excel!$B$60:$F$60</definedName>
    <definedName name="desired_carbox">output_alphabetical_excel!$B$61:$F$61</definedName>
    <definedName name="desired_fatox">output_alphabetical_excel!$B$62:$F$62</definedName>
    <definedName name="desired_protox">output_alphabetical_excel!$B$63:$F$63</definedName>
    <definedName name="df_b">output_alphabetical_excel!$B$64:$F$64</definedName>
    <definedName name="diff_bw_ox_and_tee">output_alphabetical_excel!$B$65:$F$65</definedName>
    <definedName name="dnl">output_alphabetical_excel!$B$66:$F$66</definedName>
    <definedName name="dnl_b">output_alphabetical_excel!$B$67:$F$67</definedName>
    <definedName name="dnl_i">output_alphabetical_excel!$B$68:$F$68</definedName>
    <definedName name="dnl_out">output_alphabetical_excel!$B$69:$F$69</definedName>
    <definedName name="ec">output_alphabetical_excel!$B$70:$F$70</definedName>
    <definedName name="eff_c_dnl_b">output_alphabetical_excel!$B$71:$F$71</definedName>
    <definedName name="eff_ci_on_gng_p">output_alphabetical_excel!$B$72:$F$72</definedName>
    <definedName name="eff_of_carb_intake_on_carb_oxidation">output_alphabetical_excel!$B$73:$F$73</definedName>
    <definedName name="eff_of_carb_sufficiency_on_carbox">output_alphabetical_excel!$B$74:$F$74</definedName>
    <definedName name="eff_of_glycogenolysis_on_carb_oxidation">output_alphabetical_excel!$B$75:$F$75</definedName>
    <definedName name="eff_of_physical_activity_on_prot_oxidation">output_alphabetical_excel!$B$76:$F$76</definedName>
    <definedName name="eff_of_possible_fatox">output_alphabetical_excel!$B$77:$F$77</definedName>
    <definedName name="eff_of_prot_intake_on_prot_oxidation">output_alphabetical_excel!$B$78:$F$78</definedName>
    <definedName name="eff_pi_on_gng_p">output_alphabetical_excel!$B$79:$F$79</definedName>
    <definedName name="effect_of_carb_intake_on_lipolysis">output_alphabetical_excel!$B$80:$F$80</definedName>
    <definedName name="effect_of_glycogen_on_dnl">output_alphabetical_excel!$B$81:$F$81</definedName>
    <definedName name="effect_of_metabolizable_energy_intake_on_thermogenesis">output_alphabetical_excel!$B$82:$F$82</definedName>
    <definedName name="effect_of_obesity_on_lipolysis">output_alphabetical_excel!$B$83:$F$83</definedName>
    <definedName name="efficiency_dnl">output_alphabetical_excel!$B$84:$F$84</definedName>
    <definedName name="efficiency_gng">output_alphabetical_excel!$B$85:$F$85</definedName>
    <definedName name="exog_glycerol_per_kcal_fat_intake">output_alphabetical_excel!$B$86:$F$86</definedName>
    <definedName name="extracel_water">output_alphabetical_excel!$B$87:$F$87</definedName>
    <definedName name="f_init">output_alphabetical_excel!$B$88:$F$88</definedName>
    <definedName name="fat">output_alphabetical_excel!$B$89:$F$89</definedName>
    <definedName name="fat_intake">output_alphabetical_excel!$B$90:$F$90</definedName>
    <definedName name="fat_intake_data">output_alphabetical_excel!$B$91:$F$91</definedName>
    <definedName name="fat_term">output_alphabetical_excel!$B$92:$F$92</definedName>
    <definedName name="fetw">output_alphabetical_excel!$B$93:$F$93</definedName>
    <definedName name="fi">output_alphabetical_excel!$B$94:$F$94</definedName>
    <definedName name="fi_0">output_alphabetical_excel!$B$95:$F$95</definedName>
    <definedName name="fi_input">output_alphabetical_excel!$B$96:$F$96</definedName>
    <definedName name="fiew">output_alphabetical_excel!$B$97:$F$97</definedName>
    <definedName name="frac_carbox">output_alphabetical_excel!$B$98:$F$98</definedName>
    <definedName name="frac_fatox">output_alphabetical_excel!$B$99:$F$99</definedName>
    <definedName name="frac_protox">output_alphabetical_excel!$B$100:$F$100</definedName>
    <definedName name="fw">output_alphabetical_excel!$B$101:$F$101</definedName>
    <definedName name="fwcm">output_alphabetical_excel!$B$102:$F$102</definedName>
    <definedName name="gap_carbox">output_alphabetical_excel!$B$103:$F$103</definedName>
    <definedName name="gap_fatox">output_alphabetical_excel!$B$104:$F$104</definedName>
    <definedName name="gap_total">output_alphabetical_excel!$B$105:$F$105</definedName>
    <definedName name="glycogen_hydration_coefficient">output_alphabetical_excel!$B$106:$F$106</definedName>
    <definedName name="glycogenolysis">output_alphabetical_excel!$B$107:$F$107</definedName>
    <definedName name="gng_fat">output_alphabetical_excel!$B$108:$F$108</definedName>
    <definedName name="gng_fat_endog">output_alphabetical_excel!$B$109:$F$109</definedName>
    <definedName name="gng_fat_exog">output_alphabetical_excel!$B$110:$F$110</definedName>
    <definedName name="gng_fat_in">output_alphabetical_excel!$B$111:$F$111</definedName>
    <definedName name="gng_fat_out">output_alphabetical_excel!$B$112:$F$112</definedName>
    <definedName name="gng_protein">output_alphabetical_excel!$B$113:$F$113</definedName>
    <definedName name="gng_protein_out">output_alphabetical_excel!$B$114:$F$114</definedName>
    <definedName name="gngf_b">output_alphabetical_excel!$B$115:$F$115</definedName>
    <definedName name="gngf_ex_b">output_alphabetical_excel!$B$116:$F$116</definedName>
    <definedName name="gngp_i">output_alphabetical_excel!$B$117:$F$117</definedName>
    <definedName name="hill_dnl">output_alphabetical_excel!$B$118:$F$118</definedName>
    <definedName name="icw_b">output_alphabetical_excel!$B$119:$F$119</definedName>
    <definedName name="intracel_solids">output_alphabetical_excel!$B$120:$F$120</definedName>
    <definedName name="intracel_water">output_alphabetical_excel!$B$121:$F$121</definedName>
    <definedName name="is_sufficient_carb">output_alphabetical_excel!$B$122:$F$122</definedName>
    <definedName name="is_sufficient_fat">output_alphabetical_excel!$B$123:$F$123</definedName>
    <definedName name="k_dnl">output_alphabetical_excel!$B$124:$F$124</definedName>
    <definedName name="k_lip">output_alphabetical_excel!$B$125:$F$125</definedName>
    <definedName name="kc">output_alphabetical_excel!$B$126:$F$126</definedName>
    <definedName name="kf">output_alphabetical_excel!$B$127:$F$127</definedName>
    <definedName name="kp">output_alphabetical_excel!$B$128:$F$128</definedName>
    <definedName name="lean_tissues">output_alphabetical_excel!$B$129:$F$129</definedName>
    <definedName name="lipol_max">output_alphabetical_excel!$B$130:$F$130</definedName>
    <definedName name="lipol_min">output_alphabetical_excel!$B$131:$F$131</definedName>
    <definedName name="lipolysis">output_alphabetical_excel!$B$132:$F$132</definedName>
    <definedName name="mass_brain">output_alphabetical_excel!$B$133:$F$133</definedName>
    <definedName name="mass_ffa">output_alphabetical_excel!$B$134:$F$134</definedName>
    <definedName name="mass_of_glycerol">output_alphabetical_excel!$B$135:$F$135</definedName>
    <definedName name="mass_tg">output_alphabetical_excel!$B$136:$F$136</definedName>
    <definedName name="mbc_b">output_alphabetical_excel!$B$137:$F$137</definedName>
    <definedName name="mbc_brain">output_alphabetical_excel!$B$138:$F$138</definedName>
    <definedName name="mbc_fat">output_alphabetical_excel!$B$139:$F$139</definedName>
    <definedName name="mbc_lean">output_alphabetical_excel!$B$140:$F$140</definedName>
    <definedName name="mbc_lean_b">output_alphabetical_excel!$B$141:$F$141</definedName>
    <definedName name="mc_b">output_alphabetical_excel!$B$142:$F$142</definedName>
    <definedName name="metabolism_of_body_cells">output_alphabetical_excel!$B$143:$F$143</definedName>
    <definedName name="metabolism_of_conversions">output_alphabetical_excel!$B$144:$F$144</definedName>
    <definedName name="metabolism_of_turnovers">output_alphabetical_excel!$B$145:$F$145</definedName>
    <definedName name="metabolizable_energy_intake">output_alphabetical_excel!$B$146:$F$146</definedName>
    <definedName name="molar_baseline_proteolysis">output_alphabetical_excel!$B$147:$F$147</definedName>
    <definedName name="molar_caloric_dens_glycerol">output_alphabetical_excel!$B$148:$F$148</definedName>
    <definedName name="molar_caloric_dens_tg">output_alphabetical_excel!$B$149:$F$149</definedName>
    <definedName name="mt_b">output_alphabetical_excel!$B$150:$F$150</definedName>
    <definedName name="norm_p_ratio">output_alphabetical_excel!$B$151:$F$151</definedName>
    <definedName name="normalized_activity_energy_per_body_weight">output_alphabetical_excel!$B$152:$F$152</definedName>
    <definedName name="normalized_change_in_carbohydrate_intake">output_alphabetical_excel!$B$153:$F$153</definedName>
    <definedName name="normalized_change_in_protein_intake">output_alphabetical_excel!$B$154:$F$154</definedName>
    <definedName name="normalized_glycogen_ratio">output_alphabetical_excel!$B$155:$F$155</definedName>
    <definedName name="normalized_glycogenolysis">output_alphabetical_excel!$B$156:$F$156</definedName>
    <definedName name="normalized_lipolysis_rate">output_alphabetical_excel!$B$157:$F$157</definedName>
    <definedName name="normalized_proteolysis">output_alphabetical_excel!$B$158:$F$158</definedName>
    <definedName name="oneday">output_alphabetical_excel!$B$159:$F$159</definedName>
    <definedName name="p_init">output_alphabetical_excel!$B$160:$F$160</definedName>
    <definedName name="pae_b">output_alphabetical_excel!$B$161:$F$161</definedName>
    <definedName name="physical_activity_energy">output_alphabetical_excel!$B$162:$F$162</definedName>
    <definedName name="pi">output_alphabetical_excel!$B$163:$F$163</definedName>
    <definedName name="pi_0">output_alphabetical_excel!$B$164:$F$164</definedName>
    <definedName name="pi_input">output_alphabetical_excel!$B$165:$F$165</definedName>
    <definedName name="possible_fatox">output_alphabetical_excel!$B$166:$F$166</definedName>
    <definedName name="pri_carbox_kcal">output_alphabetical_excel!$B$167:$F$167</definedName>
    <definedName name="pri_fatox_kcal">output_alphabetical_excel!$B$168:$F$168</definedName>
    <definedName name="pri_protox_kcal">output_alphabetical_excel!$B$169:$F$169</definedName>
    <definedName name="prot_term">output_alphabetical_excel!$B$170:$F$170</definedName>
    <definedName name="protein">output_alphabetical_excel!$B$171:$F$171</definedName>
    <definedName name="protein_fraction_of_cell_mass">output_alphabetical_excel!$B$172:$F$172</definedName>
    <definedName name="protein_hydration_coefficient">output_alphabetical_excel!$B$173:$F$173</definedName>
    <definedName name="protein_intake">output_alphabetical_excel!$B$174:$F$174</definedName>
    <definedName name="protein_intake_data">output_alphabetical_excel!$B$175:$F$175</definedName>
    <definedName name="proteolysis">output_alphabetical_excel!$B$176:$F$176</definedName>
    <definedName name="read_from_data">output_alphabetical_excel!$B$177:$F$177</definedName>
    <definedName name="resting_metabolic_rate">output_alphabetical_excel!$B$178:$F$178</definedName>
    <definedName name="rmr_b">output_alphabetical_excel!$B$179:$F$179</definedName>
    <definedName name="sec_carbox">output_alphabetical_excel!$B$180:$F$180</definedName>
    <definedName name="sec_carbox_kcal">output_alphabetical_excel!$B$181:$F$181</definedName>
    <definedName name="sec_fatox">output_alphabetical_excel!$B$182:$F$182</definedName>
    <definedName name="sec_fatox_kcal">output_alphabetical_excel!$B$183:$F$183</definedName>
    <definedName name="sec_frac_carb">output_alphabetical_excel!$B$184:$F$184</definedName>
    <definedName name="sec_frac_fat">output_alphabetical_excel!$B$185:$F$185</definedName>
    <definedName name="sec_frac_prot">output_alphabetical_excel!$B$186:$F$186</definedName>
    <definedName name="sec_protox">output_alphabetical_excel!$B$187:$F$187</definedName>
    <definedName name="sec_protox_kcal">output_alphabetical_excel!$B$188:$F$188</definedName>
    <definedName name="see_b">output_alphabetical_excel!$B$189:$F$189</definedName>
    <definedName name="sensitivity_of_oxidation_to_ci_changes">output_alphabetical_excel!$B$190:$F$190</definedName>
    <definedName name="sensitivity_of_oxidation_to_pi_changes">output_alphabetical_excel!$B$191:$F$191</definedName>
    <definedName name="sensitivity_to_physical_activity">output_alphabetical_excel!$B$192:$F$192</definedName>
    <definedName name="shared_energy_expenditure">output_alphabetical_excel!$B$193:$F$193</definedName>
    <definedName name="table_eff_of_carb_sufficiency_on_carbox">output_alphabetical_excel!$B$194:$F$194</definedName>
    <definedName name="table_eff_of_possible_fatox">output_alphabetical_excel!$B$195:$F$195</definedName>
    <definedName name="tee_b">output_alphabetical_excel!$B$196:$F$196</definedName>
    <definedName name="tef_b">output_alphabetical_excel!$B$197:$F$197</definedName>
    <definedName name="tef_c">output_alphabetical_excel!$B$198:$F$198</definedName>
    <definedName name="tef_f">output_alphabetical_excel!$B$199:$F$199</definedName>
    <definedName name="tef_p">output_alphabetical_excel!$B$200:$F$200</definedName>
    <definedName name="therm_const">output_alphabetical_excel!$B$201:$F$201</definedName>
    <definedName name="thermic_effect_of_food">output_alphabetical_excel!$B$202:$F$202</definedName>
    <definedName name="thermogenesis_adaptation">output_alphabetical_excel!$B$203:$F$203</definedName>
    <definedName name="thermogenesis_effect_on_pae_vs_rmr">output_alphabetical_excel!$B$204:$F$204</definedName>
    <definedName name="time_">output_alphabetical_excel!$B$205:$F$205</definedName>
    <definedName name="time_step">output_alphabetical_excel!$B$206:$F$206</definedName>
    <definedName name="total_energy_expenditure">output_alphabetical_excel!$B$207:$F$207</definedName>
    <definedName name="total_ox">output_alphabetical_excel!$B$208:$F$208</definedName>
    <definedName name="total_pri_ox">output_alphabetical_excel!$B$209:$F$209</definedName>
    <definedName name="total_sec_ox">output_alphabetical_excel!$B$210:$F$210</definedName>
    <definedName name="weighting_of_oxidation_for_basal_ci">output_alphabetical_excel!$B$211:$F$211</definedName>
    <definedName name="weighting_of_oxidation_for_basal_pi">output_alphabetical_excel!$B$212:$F$212</definedName>
    <definedName name="weighting_of_oxidation_for_glycogenolysis">output_alphabetical_excel!$B$213:$F$213</definedName>
    <definedName name="weighting_of_oxidation_for_lipolysis">output_alphabetical_excel!$B$214:$F$214</definedName>
    <definedName name="y_">output_alphabetical_excel!$B$215:$F$215</definedName>
    <definedName name="z_">output_alphabetical_excel!$B$216:$F$216</definedName>
    <definedName name="z_check_0">output_alphabetical_excel!$B$217:$F$217</definedName>
    <definedName name="z_check_1">output_alphabetical_excel!$B$218:$F$218</definedName>
  </definedNames>
  <calcPr calcId="0"/>
</workbook>
</file>

<file path=xl/calcChain.xml><?xml version="1.0" encoding="utf-8"?>
<calcChain xmlns="http://schemas.openxmlformats.org/spreadsheetml/2006/main">
  <c r="I6" i="1"/>
  <c r="I7"/>
  <c r="I14"/>
  <c r="I15"/>
  <c r="I19"/>
  <c r="I20"/>
  <c r="I21"/>
  <c r="I22"/>
  <c r="I23"/>
  <c r="I24"/>
  <c r="I26"/>
  <c r="I27"/>
  <c r="I40"/>
  <c r="I41"/>
  <c r="I42"/>
  <c r="I53"/>
  <c r="I54"/>
  <c r="I56"/>
  <c r="I57"/>
  <c r="I58"/>
  <c r="I59"/>
  <c r="I60"/>
  <c r="I74"/>
  <c r="I77"/>
  <c r="I84"/>
  <c r="I85"/>
  <c r="I91"/>
  <c r="I93"/>
  <c r="I95"/>
  <c r="I96"/>
  <c r="I101"/>
  <c r="I102"/>
  <c r="I106"/>
  <c r="I118"/>
  <c r="I120"/>
  <c r="I124"/>
  <c r="I130"/>
  <c r="I131"/>
  <c r="I135"/>
  <c r="I136"/>
  <c r="I147"/>
  <c r="I159"/>
  <c r="I164"/>
  <c r="I165"/>
  <c r="I172"/>
  <c r="I173"/>
  <c r="I175"/>
  <c r="I177"/>
  <c r="I190"/>
  <c r="I191"/>
  <c r="I192"/>
  <c r="I194"/>
  <c r="I195"/>
  <c r="I198"/>
  <c r="I199"/>
  <c r="I200"/>
  <c r="I201"/>
  <c r="I204"/>
  <c r="I205"/>
  <c r="I206"/>
  <c r="I211"/>
  <c r="I212"/>
  <c r="B14"/>
  <c r="B5"/>
  <c r="I5" s="1"/>
  <c r="B6"/>
  <c r="B7"/>
  <c r="B15"/>
  <c r="B18"/>
  <c r="I18" s="1"/>
  <c r="B19"/>
  <c r="B20"/>
  <c r="B21"/>
  <c r="B22"/>
  <c r="B23"/>
  <c r="B24"/>
  <c r="B26"/>
  <c r="B27"/>
  <c r="B28"/>
  <c r="I28" s="1"/>
  <c r="B29"/>
  <c r="I29" s="1"/>
  <c r="B31"/>
  <c r="I31" s="1"/>
  <c r="B32"/>
  <c r="I32" s="1"/>
  <c r="B36"/>
  <c r="B34" s="1"/>
  <c r="I34" s="1"/>
  <c r="B37"/>
  <c r="I37" s="1"/>
  <c r="B39"/>
  <c r="B43" s="1"/>
  <c r="I43" s="1"/>
  <c r="B40"/>
  <c r="B41"/>
  <c r="B42"/>
  <c r="B46"/>
  <c r="I46" s="1"/>
  <c r="B47"/>
  <c r="I47" s="1"/>
  <c r="B50"/>
  <c r="I50" s="1"/>
  <c r="B52"/>
  <c r="I52" s="1"/>
  <c r="B53"/>
  <c r="B54"/>
  <c r="B56"/>
  <c r="B57"/>
  <c r="B58"/>
  <c r="B59"/>
  <c r="B60"/>
  <c r="B64"/>
  <c r="I64" s="1"/>
  <c r="B71"/>
  <c r="B67" s="1"/>
  <c r="I67" s="1"/>
  <c r="B84"/>
  <c r="B85"/>
  <c r="B86"/>
  <c r="I86" s="1"/>
  <c r="B87"/>
  <c r="I87" s="1"/>
  <c r="H89"/>
  <c r="B90"/>
  <c r="I90" s="1"/>
  <c r="B91"/>
  <c r="B93"/>
  <c r="B94"/>
  <c r="I94" s="1"/>
  <c r="B95"/>
  <c r="B96"/>
  <c r="B97"/>
  <c r="I97" s="1"/>
  <c r="B101"/>
  <c r="B102"/>
  <c r="B106"/>
  <c r="B110"/>
  <c r="I110" s="1"/>
  <c r="B116"/>
  <c r="B115" s="1"/>
  <c r="I115" s="1"/>
  <c r="B118"/>
  <c r="B119"/>
  <c r="B49" s="1"/>
  <c r="I49" s="1"/>
  <c r="B120"/>
  <c r="B124"/>
  <c r="B125"/>
  <c r="I125" s="1"/>
  <c r="B130"/>
  <c r="B131"/>
  <c r="B133"/>
  <c r="I133" s="1"/>
  <c r="B134"/>
  <c r="I134" s="1"/>
  <c r="B135"/>
  <c r="B136"/>
  <c r="B138"/>
  <c r="I138" s="1"/>
  <c r="B147"/>
  <c r="B148"/>
  <c r="I148" s="1"/>
  <c r="B149"/>
  <c r="I149" s="1"/>
  <c r="B150"/>
  <c r="I150" s="1"/>
  <c r="B153"/>
  <c r="B72" s="1"/>
  <c r="I72" s="1"/>
  <c r="B159"/>
  <c r="B164"/>
  <c r="B165"/>
  <c r="H171"/>
  <c r="B172"/>
  <c r="B173"/>
  <c r="B174"/>
  <c r="B51" s="1"/>
  <c r="B154" s="1"/>
  <c r="I154" s="1"/>
  <c r="B175"/>
  <c r="B177"/>
  <c r="B190"/>
  <c r="B191"/>
  <c r="B192"/>
  <c r="B197"/>
  <c r="I197" s="1"/>
  <c r="B198"/>
  <c r="B199"/>
  <c r="B200"/>
  <c r="B201"/>
  <c r="B204"/>
  <c r="B206"/>
  <c r="B211"/>
  <c r="B212"/>
  <c r="I174" l="1"/>
  <c r="I153"/>
  <c r="I119"/>
  <c r="I116"/>
  <c r="I71"/>
  <c r="I51"/>
  <c r="I39"/>
  <c r="I36"/>
  <c r="B78"/>
  <c r="I78" s="1"/>
  <c r="B79"/>
  <c r="I79" s="1"/>
  <c r="B33"/>
  <c r="B35"/>
  <c r="B141"/>
  <c r="I141" s="1"/>
  <c r="B142"/>
  <c r="I142" s="1"/>
  <c r="B107"/>
  <c r="B155"/>
  <c r="B196"/>
  <c r="B163"/>
  <c r="B146"/>
  <c r="B73"/>
  <c r="I73" s="1"/>
  <c r="B82" l="1"/>
  <c r="I82" s="1"/>
  <c r="I146"/>
  <c r="B202"/>
  <c r="I202" s="1"/>
  <c r="I163"/>
  <c r="B189"/>
  <c r="I196"/>
  <c r="B81"/>
  <c r="I155"/>
  <c r="B156"/>
  <c r="I156" s="1"/>
  <c r="I107"/>
  <c r="B160"/>
  <c r="I35"/>
  <c r="B30"/>
  <c r="I30" s="1"/>
  <c r="I33"/>
  <c r="B88"/>
  <c r="B139"/>
  <c r="I139" s="1"/>
  <c r="B127"/>
  <c r="B126"/>
  <c r="B137"/>
  <c r="B179" l="1"/>
  <c r="I137"/>
  <c r="I126"/>
  <c r="I127"/>
  <c r="B89"/>
  <c r="I89" s="1"/>
  <c r="I88"/>
  <c r="B171"/>
  <c r="I160"/>
  <c r="B55"/>
  <c r="B66"/>
  <c r="I81"/>
  <c r="B128"/>
  <c r="I128" s="1"/>
  <c r="I189"/>
  <c r="B83"/>
  <c r="B166"/>
  <c r="I166" s="1"/>
  <c r="B80" l="1"/>
  <c r="I83"/>
  <c r="I66"/>
  <c r="B68"/>
  <c r="I68" s="1"/>
  <c r="B69"/>
  <c r="I69" s="1"/>
  <c r="B121"/>
  <c r="I55"/>
  <c r="I171"/>
  <c r="B151"/>
  <c r="B176"/>
  <c r="B161"/>
  <c r="I179"/>
  <c r="B214"/>
  <c r="B213"/>
  <c r="I213" l="1"/>
  <c r="B75"/>
  <c r="B217"/>
  <c r="I217" s="1"/>
  <c r="I214"/>
  <c r="B218"/>
  <c r="I218" s="1"/>
  <c r="I161"/>
  <c r="B25"/>
  <c r="B70"/>
  <c r="I70" s="1"/>
  <c r="I176"/>
  <c r="B158"/>
  <c r="B113"/>
  <c r="I151"/>
  <c r="B48"/>
  <c r="I121"/>
  <c r="B157"/>
  <c r="I80"/>
  <c r="I157" l="1"/>
  <c r="B109"/>
  <c r="B132"/>
  <c r="B92"/>
  <c r="I92" s="1"/>
  <c r="B129"/>
  <c r="I48"/>
  <c r="I113"/>
  <c r="B114"/>
  <c r="I114" s="1"/>
  <c r="B117"/>
  <c r="I117" s="1"/>
  <c r="I158"/>
  <c r="B9"/>
  <c r="I25"/>
  <c r="B45"/>
  <c r="I75"/>
  <c r="I45" l="1"/>
  <c r="I9"/>
  <c r="B152"/>
  <c r="I129"/>
  <c r="B38"/>
  <c r="I38" s="1"/>
  <c r="B145"/>
  <c r="I145" s="1"/>
  <c r="I132"/>
  <c r="B108"/>
  <c r="I109"/>
  <c r="I108" l="1"/>
  <c r="B111"/>
  <c r="I111" s="1"/>
  <c r="B112"/>
  <c r="I112" s="1"/>
  <c r="B144"/>
  <c r="I144" s="1"/>
  <c r="B76"/>
  <c r="I152"/>
  <c r="I76" l="1"/>
  <c r="B170"/>
  <c r="I170" l="1"/>
  <c r="B216"/>
  <c r="B98" l="1"/>
  <c r="I98" s="1"/>
  <c r="I216"/>
  <c r="B99"/>
  <c r="I99" s="1"/>
  <c r="B100"/>
  <c r="I100" s="1"/>
  <c r="B16" l="1"/>
  <c r="I16" s="1"/>
  <c r="B17"/>
  <c r="I17" s="1"/>
  <c r="B140"/>
  <c r="I140" s="1"/>
  <c r="B143"/>
  <c r="I143" s="1"/>
  <c r="B178"/>
  <c r="I178" s="1"/>
  <c r="B203"/>
  <c r="I203" s="1"/>
  <c r="H14"/>
  <c r="B8"/>
  <c r="I8" s="1"/>
  <c r="B10"/>
  <c r="I10" s="1"/>
  <c r="B162"/>
  <c r="I162" s="1"/>
  <c r="B207"/>
  <c r="I207" s="1"/>
  <c r="B193"/>
  <c r="B61" l="1"/>
  <c r="I61" s="1"/>
  <c r="I193"/>
  <c r="B44"/>
  <c r="I44" s="1"/>
  <c r="B62"/>
  <c r="I62" s="1"/>
  <c r="B63"/>
  <c r="B13" l="1"/>
  <c r="I63"/>
  <c r="B11"/>
  <c r="I11" s="1"/>
  <c r="B12"/>
  <c r="B104"/>
  <c r="B123" l="1"/>
  <c r="I123" s="1"/>
  <c r="I104"/>
  <c r="B168"/>
  <c r="I168" s="1"/>
  <c r="I12"/>
  <c r="B169"/>
  <c r="I169" s="1"/>
  <c r="I13"/>
  <c r="B167"/>
  <c r="B103"/>
  <c r="I103" s="1"/>
  <c r="B209" l="1"/>
  <c r="I209" s="1"/>
  <c r="I167"/>
  <c r="B105"/>
  <c r="I105" s="1"/>
  <c r="B122"/>
  <c r="I122" s="1"/>
  <c r="B215" l="1"/>
  <c r="I215" s="1"/>
  <c r="B186" l="1"/>
  <c r="B185"/>
  <c r="B184"/>
  <c r="B180" l="1"/>
  <c r="I184"/>
  <c r="B182"/>
  <c r="I185"/>
  <c r="B187"/>
  <c r="I186"/>
  <c r="B188" l="1"/>
  <c r="I188" s="1"/>
  <c r="I187"/>
  <c r="B183"/>
  <c r="I183" s="1"/>
  <c r="I182"/>
  <c r="B181"/>
  <c r="I180"/>
  <c r="B210" l="1"/>
  <c r="I181"/>
  <c r="B208" l="1"/>
  <c r="I210"/>
  <c r="B65" l="1"/>
  <c r="I65" s="1"/>
  <c r="I208"/>
</calcChain>
</file>

<file path=xl/sharedStrings.xml><?xml version="1.0" encoding="utf-8"?>
<sst xmlns="http://schemas.openxmlformats.org/spreadsheetml/2006/main" count="239" uniqueCount="231">
  <si>
    <t>__pts_x_0</t>
  </si>
  <si>
    <t>=array([__x for __x,__y in table_eff_of_carb_sufficiency_on_carbox])</t>
  </si>
  <si>
    <t>__pts_x_1</t>
  </si>
  <si>
    <t>=array([__x for __x,__y in table_eff_of_possible_fatox])</t>
  </si>
  <si>
    <t>__pts_y_0</t>
  </si>
  <si>
    <t>=array([__y for __x,__y in table_eff_of_carb_sufficiency_on_carbox])</t>
  </si>
  <si>
    <t>__pts_y_1</t>
  </si>
  <si>
    <t>=array([__y for __x,__y in table_eff_of_possible_fatox])</t>
  </si>
  <si>
    <t>activ_time</t>
  </si>
  <si>
    <t>activ_time_data</t>
  </si>
  <si>
    <t>activ_time_param</t>
  </si>
  <si>
    <t>activity_efficiency</t>
  </si>
  <si>
    <t>activity_energy_per_body_weight</t>
  </si>
  <si>
    <t>activity_energy_spent_per_body_weight</t>
  </si>
  <si>
    <t>actual_carbox</t>
  </si>
  <si>
    <t>actual_fatox</t>
  </si>
  <si>
    <t>actual_protox</t>
  </si>
  <si>
    <t>adaptive_thermogenesis</t>
  </si>
  <si>
    <t>aminoacid_mass</t>
  </si>
  <si>
    <t>basal_rmr_efficiency</t>
  </si>
  <si>
    <t>basal_rmr_of_lean_tissues</t>
  </si>
  <si>
    <t>base_bone_mass</t>
  </si>
  <si>
    <t>base_carb</t>
  </si>
  <si>
    <t>base_deg_c</t>
  </si>
  <si>
    <t>base_gng_p</t>
  </si>
  <si>
    <t>base_molar_lipolysis</t>
  </si>
  <si>
    <t>base_rmr_brain</t>
  </si>
  <si>
    <t>base_rmr_fat</t>
  </si>
  <si>
    <t>baseline_activity_energy_per_body_weight</t>
  </si>
  <si>
    <t>baseline_basal_rmr_of_lean_tissues</t>
  </si>
  <si>
    <t>baseline_bodyweight</t>
  </si>
  <si>
    <t>baseline_carbohydrate_intake</t>
  </si>
  <si>
    <t>baseline_ecw</t>
  </si>
  <si>
    <t>baseline_fat</t>
  </si>
  <si>
    <t>baseline_fat_intake</t>
  </si>
  <si>
    <t>baseline_gng_fat_endog</t>
  </si>
  <si>
    <t>baseline_lean_mass</t>
  </si>
  <si>
    <t>baseline_metabolizable_energy_intake</t>
  </si>
  <si>
    <t>baseline_protein</t>
  </si>
  <si>
    <t>baseline_protein_intake</t>
  </si>
  <si>
    <t>baseline_proteolysis</t>
  </si>
  <si>
    <t>body_weight</t>
  </si>
  <si>
    <t>c_init</t>
  </si>
  <si>
    <t>cal_dens_c</t>
  </si>
  <si>
    <t>cal_dens_f</t>
  </si>
  <si>
    <t>cal_dens_p</t>
  </si>
  <si>
    <t>carb</t>
  </si>
  <si>
    <t>carb_sufficiency</t>
  </si>
  <si>
    <t>carb_term</t>
  </si>
  <si>
    <t>carbohydrate_intake</t>
  </si>
  <si>
    <t>carbohydrate_intake_data</t>
  </si>
  <si>
    <t>cell_mass</t>
  </si>
  <si>
    <t>cell_mass_b</t>
  </si>
  <si>
    <t>change_in_carbohydrate_intake</t>
  </si>
  <si>
    <t>change_in_protein_intake</t>
  </si>
  <si>
    <t>ci</t>
  </si>
  <si>
    <t>ci_0</t>
  </si>
  <si>
    <t>ci_input</t>
  </si>
  <si>
    <t>ciw</t>
  </si>
  <si>
    <t>deg_cost_p</t>
  </si>
  <si>
    <t>delay_in_adaptive_thermogenesis</t>
  </si>
  <si>
    <t>dep_cost_c</t>
  </si>
  <si>
    <t>dep_cost_fat</t>
  </si>
  <si>
    <t>dep_cost_p</t>
  </si>
  <si>
    <t>desired_carbox</t>
  </si>
  <si>
    <t>desired_fatox</t>
  </si>
  <si>
    <t>desired_protox</t>
  </si>
  <si>
    <t>df_b</t>
  </si>
  <si>
    <t>diff_bw_ox_and_tee</t>
  </si>
  <si>
    <t>dnl</t>
  </si>
  <si>
    <t>dnl_b</t>
  </si>
  <si>
    <t>dnl_i</t>
  </si>
  <si>
    <t>dnl_out</t>
  </si>
  <si>
    <t>ec</t>
  </si>
  <si>
    <t>eff_c_dnl_b</t>
  </si>
  <si>
    <t>eff_ci_on_gng_p</t>
  </si>
  <si>
    <t>eff_of_carb_intake_on_carb_oxidation</t>
  </si>
  <si>
    <t>eff_of_carb_sufficiency_on_carbox</t>
  </si>
  <si>
    <t>eff_of_glycogenolysis_on_carb_oxidation</t>
  </si>
  <si>
    <t>eff_of_physical_activity_on_prot_oxidation</t>
  </si>
  <si>
    <t>eff_of_possible_fatox</t>
  </si>
  <si>
    <t>eff_of_prot_intake_on_prot_oxidation</t>
  </si>
  <si>
    <t>eff_pi_on_gng_p</t>
  </si>
  <si>
    <t>effect_of_carb_intake_on_lipolysis</t>
  </si>
  <si>
    <t>effect_of_glycogen_on_dnl</t>
  </si>
  <si>
    <t>effect_of_metabolizable_energy_intake_on_thermogenesis</t>
  </si>
  <si>
    <t>effect_of_obesity_on_lipolysis</t>
  </si>
  <si>
    <t>efficiency_dnl</t>
  </si>
  <si>
    <t>efficiency_gng</t>
  </si>
  <si>
    <t>exog_glycerol_per_kcal_fat_intake</t>
  </si>
  <si>
    <t>extracel_water</t>
  </si>
  <si>
    <t>f_init</t>
  </si>
  <si>
    <t>fat</t>
  </si>
  <si>
    <t>fat_intake</t>
  </si>
  <si>
    <t>fat_intake_data</t>
  </si>
  <si>
    <t>fat_term</t>
  </si>
  <si>
    <t>fetw</t>
  </si>
  <si>
    <t>fi</t>
  </si>
  <si>
    <t>fi_0</t>
  </si>
  <si>
    <t>fi_input</t>
  </si>
  <si>
    <t>fiew</t>
  </si>
  <si>
    <t>frac_carbox</t>
  </si>
  <si>
    <t>frac_fatox</t>
  </si>
  <si>
    <t>frac_protox</t>
  </si>
  <si>
    <t>fw</t>
  </si>
  <si>
    <t>fwcm</t>
  </si>
  <si>
    <t>gap_carbox</t>
  </si>
  <si>
    <t>gap_fatox</t>
  </si>
  <si>
    <t>gap_total</t>
  </si>
  <si>
    <t>glycogen_hydration_coefficient</t>
  </si>
  <si>
    <t>glycogenolysis</t>
  </si>
  <si>
    <t>gng_fat</t>
  </si>
  <si>
    <t>gng_fat_endog</t>
  </si>
  <si>
    <t>gng_fat_exog</t>
  </si>
  <si>
    <t>gng_fat_in</t>
  </si>
  <si>
    <t>gng_fat_out</t>
  </si>
  <si>
    <t>gng_protein</t>
  </si>
  <si>
    <t>gng_protein_out</t>
  </si>
  <si>
    <t>gngf_b</t>
  </si>
  <si>
    <t>gngf_ex_b</t>
  </si>
  <si>
    <t>gngp_i</t>
  </si>
  <si>
    <t>hill_dnl</t>
  </si>
  <si>
    <t>icw_b</t>
  </si>
  <si>
    <t>intracel_solids</t>
  </si>
  <si>
    <t>intracel_water</t>
  </si>
  <si>
    <t>is_sufficient_carb</t>
  </si>
  <si>
    <t>is_sufficient_fat</t>
  </si>
  <si>
    <t>k_dnl</t>
  </si>
  <si>
    <t>k_lip</t>
  </si>
  <si>
    <t>kc</t>
  </si>
  <si>
    <t>kf</t>
  </si>
  <si>
    <t>kp</t>
  </si>
  <si>
    <t>lean_tissues</t>
  </si>
  <si>
    <t>lipol_max</t>
  </si>
  <si>
    <t>lipol_min</t>
  </si>
  <si>
    <t>lipolysis</t>
  </si>
  <si>
    <t>mass_brain</t>
  </si>
  <si>
    <t>mass_ffa</t>
  </si>
  <si>
    <t>mass_of_glycerol</t>
  </si>
  <si>
    <t>mass_tg</t>
  </si>
  <si>
    <t>mbc_b</t>
  </si>
  <si>
    <t>mbc_brain</t>
  </si>
  <si>
    <t>mbc_fat</t>
  </si>
  <si>
    <t>mbc_lean</t>
  </si>
  <si>
    <t>mbc_lean_b</t>
  </si>
  <si>
    <t>mc_b</t>
  </si>
  <si>
    <t>metabolism_of_body_cells</t>
  </si>
  <si>
    <t>metabolism_of_conversions</t>
  </si>
  <si>
    <t>metabolism_of_turnovers</t>
  </si>
  <si>
    <t>metabolizable_energy_intake</t>
  </si>
  <si>
    <t>molar_baseline_proteolysis</t>
  </si>
  <si>
    <t>molar_caloric_dens_glycerol</t>
  </si>
  <si>
    <t>molar_caloric_dens_tg</t>
  </si>
  <si>
    <t>mt_b</t>
  </si>
  <si>
    <t>norm_p_ratio</t>
  </si>
  <si>
    <t>normalized_activity_energy_per_body_weight</t>
  </si>
  <si>
    <t>normalized_change_in_carbohydrate_intake</t>
  </si>
  <si>
    <t>normalized_change_in_protein_intake</t>
  </si>
  <si>
    <t>normalized_glycogen_ratio</t>
  </si>
  <si>
    <t>normalized_glycogenolysis</t>
  </si>
  <si>
    <t>normalized_lipolysis_rate</t>
  </si>
  <si>
    <t>normalized_proteolysis</t>
  </si>
  <si>
    <t>oneday</t>
  </si>
  <si>
    <t>p_init</t>
  </si>
  <si>
    <t>pae_b</t>
  </si>
  <si>
    <t>physical_activity_energy</t>
  </si>
  <si>
    <t>pi</t>
  </si>
  <si>
    <t>pi_0</t>
  </si>
  <si>
    <t>pi_input</t>
  </si>
  <si>
    <t>possible_fatox</t>
  </si>
  <si>
    <t>pri_carbox_kcal</t>
  </si>
  <si>
    <t>pri_fatox_kcal</t>
  </si>
  <si>
    <t>pri_protox_kcal</t>
  </si>
  <si>
    <t>prot_term</t>
  </si>
  <si>
    <t>protein</t>
  </si>
  <si>
    <t>protein_fraction_of_cell_mass</t>
  </si>
  <si>
    <t>protein_hydration_coefficient</t>
  </si>
  <si>
    <t>protein_intake</t>
  </si>
  <si>
    <t>protein_intake_data</t>
  </si>
  <si>
    <t>proteolysis</t>
  </si>
  <si>
    <t>read_from_data</t>
  </si>
  <si>
    <t>resting_metabolic_rate</t>
  </si>
  <si>
    <t>rmr_b</t>
  </si>
  <si>
    <t>sec_carbox</t>
  </si>
  <si>
    <t>sec_carbox_kcal</t>
  </si>
  <si>
    <t>sec_fatox</t>
  </si>
  <si>
    <t>sec_fatox_kcal</t>
  </si>
  <si>
    <t>sec_frac_carb</t>
  </si>
  <si>
    <t>sec_frac_fat</t>
  </si>
  <si>
    <t>sec_frac_prot</t>
  </si>
  <si>
    <t>sec_protox</t>
  </si>
  <si>
    <t>sec_protox_kcal</t>
  </si>
  <si>
    <t>see_b</t>
  </si>
  <si>
    <t>sensitivity_of_oxidation_to_ci_changes</t>
  </si>
  <si>
    <t>sensitivity_of_oxidation_to_pi_changes</t>
  </si>
  <si>
    <t>sensitivity_to_physical_activity</t>
  </si>
  <si>
    <t>shared_energy_expenditure</t>
  </si>
  <si>
    <t>table_eff_of_carb_sufficiency_on_carbox</t>
  </si>
  <si>
    <t>=choose(match(__x__,{'0', '0.1', '0.2', '0.3', '0.4', '1'},1),sum(linest({0,0.6},{0,0.1})*{__x__,1}),sum(linest({0.6,0.85},{0.1,0.2})*{__x__,1}),sum(linest({0.85,0.95},{0.2,0.3})*{__x__,1}),sum(linest({0.95,1},{0.3,0.4})*{__x__,1}),sum(linest({1,1},{0.4,1</t>
  </si>
  <si>
    <t>table_eff_of_possible_fatox</t>
  </si>
  <si>
    <t>=choose(match(__x__,{'0', '0.4', '0.798165', '1.30275', '2', '3'},1),sum(linest({0,0.4},{0,0.4})*{__x__,1}),sum(linest({0.4,0.627193},{0.4,0.798165})*{__x__,1}),sum(linest({0.627193,0.824561},{0.798165,1.30275})*{__x__,1}),sum(linest({0.824561,0.95},{1.30</t>
  </si>
  <si>
    <t>tee_b</t>
  </si>
  <si>
    <t>tef_b</t>
  </si>
  <si>
    <t>tef_c</t>
  </si>
  <si>
    <t>tef_f</t>
  </si>
  <si>
    <t>tef_p</t>
  </si>
  <si>
    <t>therm_const</t>
  </si>
  <si>
    <t>thermic_effect_of_food</t>
  </si>
  <si>
    <t>thermogenesis_adaptation</t>
  </si>
  <si>
    <t>thermogenesis_effect_on_pae_vs_rmr</t>
  </si>
  <si>
    <t>time_</t>
  </si>
  <si>
    <t>time_step</t>
  </si>
  <si>
    <t>total_energy_expenditure</t>
  </si>
  <si>
    <t>total_ox</t>
  </si>
  <si>
    <t>total_pri_ox</t>
  </si>
  <si>
    <t>total_sec_ox</t>
  </si>
  <si>
    <t>weighting_of_oxidation_for_basal_ci</t>
  </si>
  <si>
    <t>weighting_of_oxidation_for_basal_pi</t>
  </si>
  <si>
    <t>weighting_of_oxidation_for_glycogenolysis</t>
  </si>
  <si>
    <t>weighting_of_oxidation_for_lipolysis</t>
  </si>
  <si>
    <t>y_</t>
  </si>
  <si>
    <t>z_</t>
  </si>
  <si>
    <t>z_check_0</t>
  </si>
  <si>
    <t>z_check_1</t>
  </si>
  <si>
    <t>stock</t>
  </si>
  <si>
    <t>table</t>
  </si>
  <si>
    <t>array</t>
  </si>
  <si>
    <t>=numpy.interp(carb_sufficiency/oneday, __pts_x_0, __pts_y_0)</t>
  </si>
  <si>
    <t>interp</t>
  </si>
  <si>
    <t>=numpy.interp(possible_fatox / desired_fatox, __pts_x_1, __pts_y_1)</t>
  </si>
  <si>
    <t>differences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</si>
</sst>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8"/>
  <sheetViews>
    <sheetView tabSelected="1" topLeftCell="A162" workbookViewId="0">
      <selection activeCell="C171" sqref="C171"/>
    </sheetView>
  </sheetViews>
  <sheetFormatPr defaultRowHeight="15"/>
  <cols>
    <col min="1" max="1" width="40.85546875" customWidth="1"/>
    <col min="2" max="2" width="36.42578125" customWidth="1"/>
  </cols>
  <sheetData>
    <row r="1" spans="1:9">
      <c r="A1" t="s">
        <v>0</v>
      </c>
      <c r="G1" t="s">
        <v>226</v>
      </c>
      <c r="H1" t="s">
        <v>1</v>
      </c>
    </row>
    <row r="2" spans="1:9">
      <c r="A2" t="s">
        <v>2</v>
      </c>
      <c r="G2" t="s">
        <v>226</v>
      </c>
      <c r="H2" t="s">
        <v>3</v>
      </c>
    </row>
    <row r="3" spans="1:9">
      <c r="A3" t="s">
        <v>4</v>
      </c>
      <c r="G3" t="s">
        <v>226</v>
      </c>
      <c r="H3" t="s">
        <v>5</v>
      </c>
    </row>
    <row r="4" spans="1:9">
      <c r="A4" t="s">
        <v>6</v>
      </c>
      <c r="G4" t="s">
        <v>226</v>
      </c>
      <c r="H4" t="s">
        <v>7</v>
      </c>
      <c r="I4" t="s">
        <v>230</v>
      </c>
    </row>
    <row r="5" spans="1:9">
      <c r="A5" t="s">
        <v>8</v>
      </c>
      <c r="B5">
        <f>IF(read_from_data = 1, activ_time_data, activ_time_param )</f>
        <v>0</v>
      </c>
      <c r="C5">
        <v>0</v>
      </c>
      <c r="D5">
        <v>0</v>
      </c>
      <c r="E5">
        <v>0</v>
      </c>
      <c r="F5">
        <v>0</v>
      </c>
      <c r="I5">
        <f>C5-B5</f>
        <v>0</v>
      </c>
    </row>
    <row r="6" spans="1:9">
      <c r="A6" t="s">
        <v>9</v>
      </c>
      <c r="B6">
        <f>0</f>
        <v>0</v>
      </c>
      <c r="C6">
        <v>0</v>
      </c>
      <c r="D6">
        <v>0</v>
      </c>
      <c r="E6">
        <v>0</v>
      </c>
      <c r="F6">
        <v>0</v>
      </c>
      <c r="I6">
        <f t="shared" ref="I6:I69" si="0">C6-B6</f>
        <v>0</v>
      </c>
    </row>
    <row r="7" spans="1:9">
      <c r="A7" t="s">
        <v>10</v>
      </c>
      <c r="B7">
        <f>0</f>
        <v>0</v>
      </c>
      <c r="C7">
        <v>0</v>
      </c>
      <c r="D7">
        <v>0</v>
      </c>
      <c r="E7">
        <v>0</v>
      </c>
      <c r="F7">
        <v>0</v>
      </c>
      <c r="I7">
        <f t="shared" si="0"/>
        <v>0</v>
      </c>
    </row>
    <row r="8" spans="1:9">
      <c r="A8" t="s">
        <v>11</v>
      </c>
      <c r="B8">
        <f>1 + thermogenesis_effect_on_pae_vs_rmr * adaptive_thermogenesis</f>
        <v>1</v>
      </c>
      <c r="C8">
        <v>1</v>
      </c>
      <c r="D8">
        <v>1</v>
      </c>
      <c r="E8">
        <v>1</v>
      </c>
      <c r="F8">
        <v>1</v>
      </c>
      <c r="I8">
        <f t="shared" si="0"/>
        <v>0</v>
      </c>
    </row>
    <row r="9" spans="1:9">
      <c r="A9" t="s">
        <v>12</v>
      </c>
      <c r="B9">
        <f>baseline_activity_energy_per_body_weight * ( 1 - 0.652218 * activ_time )</f>
        <v>1.3313529713399436E-2</v>
      </c>
      <c r="C9">
        <v>1.33135297133994E-2</v>
      </c>
      <c r="D9">
        <v>1.33135297133994E-2</v>
      </c>
      <c r="E9">
        <v>1.33135297133994E-2</v>
      </c>
      <c r="F9">
        <v>1.33135297133994E-2</v>
      </c>
      <c r="I9">
        <f t="shared" si="0"/>
        <v>-3.6429192995512949E-17</v>
      </c>
    </row>
    <row r="10" spans="1:9">
      <c r="A10" t="s">
        <v>13</v>
      </c>
      <c r="B10">
        <f>activity_energy_per_body_weight * activity_efficiency</f>
        <v>1.3313529713399436E-2</v>
      </c>
      <c r="C10">
        <v>1.33135297133994E-2</v>
      </c>
      <c r="D10">
        <v>1.33135297133994E-2</v>
      </c>
      <c r="E10">
        <v>1.33135297133994E-2</v>
      </c>
      <c r="F10">
        <v>1.33135297133994E-2</v>
      </c>
      <c r="I10">
        <f t="shared" si="0"/>
        <v>-3.6429192995512949E-17</v>
      </c>
    </row>
    <row r="11" spans="1:9">
      <c r="A11" t="s">
        <v>14</v>
      </c>
      <c r="B11">
        <f>desired_carbox / cal_dens_c * eff_of_carb_sufficiency_on_carbox</f>
        <v>387.6828646443073</v>
      </c>
      <c r="C11">
        <v>391.35043251764102</v>
      </c>
      <c r="D11">
        <v>391.61502487548699</v>
      </c>
      <c r="E11">
        <v>391.83814466715597</v>
      </c>
      <c r="F11">
        <v>392.02515994177298</v>
      </c>
      <c r="I11">
        <f t="shared" si="0"/>
        <v>3.6675678733337236</v>
      </c>
    </row>
    <row r="12" spans="1:9">
      <c r="A12" t="s">
        <v>15</v>
      </c>
      <c r="B12">
        <f>desired_fatox / cal_dens_f * eff_of_possible_fatox</f>
        <v>103.75449723713062</v>
      </c>
      <c r="C12">
        <v>115.976680451904</v>
      </c>
      <c r="D12">
        <v>115.886439696419</v>
      </c>
      <c r="E12">
        <v>115.80102483732099</v>
      </c>
      <c r="F12">
        <v>115.719753669947</v>
      </c>
      <c r="I12">
        <f t="shared" si="0"/>
        <v>12.222183214773381</v>
      </c>
    </row>
    <row r="13" spans="1:9">
      <c r="A13" t="s">
        <v>16</v>
      </c>
      <c r="B13">
        <f>MIN( desired_protox / cal_dens_p,  protein / time_step )</f>
        <v>85.115568482613327</v>
      </c>
      <c r="C13">
        <v>107.99523664695</v>
      </c>
      <c r="D13">
        <v>107.85834514768101</v>
      </c>
      <c r="E13">
        <v>107.724815329912</v>
      </c>
      <c r="F13">
        <v>107.594202094414</v>
      </c>
      <c r="I13">
        <f t="shared" si="0"/>
        <v>22.879668164336678</v>
      </c>
    </row>
    <row r="14" spans="1:9">
      <c r="A14" t="s">
        <v>17</v>
      </c>
      <c r="B14">
        <f>0</f>
        <v>0</v>
      </c>
      <c r="C14">
        <v>0</v>
      </c>
      <c r="D14">
        <v>0</v>
      </c>
      <c r="E14">
        <v>0</v>
      </c>
      <c r="F14">
        <v>0</v>
      </c>
      <c r="G14" t="s">
        <v>224</v>
      </c>
      <c r="H14" t="e">
        <f>thermogenesis_adaptation</f>
        <v>#VALUE!</v>
      </c>
      <c r="I14">
        <f t="shared" si="0"/>
        <v>0</v>
      </c>
    </row>
    <row r="15" spans="1:9">
      <c r="A15" t="s">
        <v>18</v>
      </c>
      <c r="B15">
        <f>110</f>
        <v>110</v>
      </c>
      <c r="C15">
        <v>110</v>
      </c>
      <c r="D15">
        <v>110</v>
      </c>
      <c r="E15">
        <v>110</v>
      </c>
      <c r="F15">
        <v>110</v>
      </c>
      <c r="I15">
        <f t="shared" si="0"/>
        <v>0</v>
      </c>
    </row>
    <row r="16" spans="1:9">
      <c r="A16" t="s">
        <v>19</v>
      </c>
      <c r="B16">
        <f>1 + ( 1 - thermogenesis_effect_on_pae_vs_rmr ) * adaptive_thermogenesis</f>
        <v>1</v>
      </c>
      <c r="C16">
        <v>1</v>
      </c>
      <c r="D16">
        <v>1</v>
      </c>
      <c r="E16">
        <v>1</v>
      </c>
      <c r="F16">
        <v>1</v>
      </c>
      <c r="I16">
        <f t="shared" si="0"/>
        <v>0</v>
      </c>
    </row>
    <row r="17" spans="1:9">
      <c r="A17" t="s">
        <v>20</v>
      </c>
      <c r="B17">
        <f>baseline_basal_rmr_of_lean_tissues * basal_rmr_efficiency</f>
        <v>2.3937400000000001E-2</v>
      </c>
      <c r="C17">
        <v>2.3937400000000001E-2</v>
      </c>
      <c r="D17">
        <v>2.3937400000000001E-2</v>
      </c>
      <c r="E17">
        <v>2.3937400000000001E-2</v>
      </c>
      <c r="F17">
        <v>2.3937400000000001E-2</v>
      </c>
      <c r="I17">
        <f t="shared" si="0"/>
        <v>0</v>
      </c>
    </row>
    <row r="18" spans="1:9">
      <c r="A18" t="s">
        <v>21</v>
      </c>
      <c r="B18">
        <f>0.04 * baseline_bodyweight</f>
        <v>2800</v>
      </c>
      <c r="C18">
        <v>2800</v>
      </c>
      <c r="D18">
        <v>2800</v>
      </c>
      <c r="E18">
        <v>2800</v>
      </c>
      <c r="F18">
        <v>2800</v>
      </c>
      <c r="I18">
        <f t="shared" si="0"/>
        <v>0</v>
      </c>
    </row>
    <row r="19" spans="1:9">
      <c r="A19" t="s">
        <v>22</v>
      </c>
      <c r="B19">
        <f>400</f>
        <v>400</v>
      </c>
      <c r="C19">
        <v>400</v>
      </c>
      <c r="D19">
        <v>400</v>
      </c>
      <c r="E19">
        <v>400</v>
      </c>
      <c r="F19">
        <v>400</v>
      </c>
      <c r="I19">
        <f t="shared" si="0"/>
        <v>0</v>
      </c>
    </row>
    <row r="20" spans="1:9">
      <c r="A20" t="s">
        <v>23</v>
      </c>
      <c r="B20">
        <f>180</f>
        <v>180</v>
      </c>
      <c r="C20">
        <v>180</v>
      </c>
      <c r="D20">
        <v>180</v>
      </c>
      <c r="E20">
        <v>180</v>
      </c>
      <c r="F20">
        <v>180</v>
      </c>
      <c r="I20">
        <f t="shared" si="0"/>
        <v>0</v>
      </c>
    </row>
    <row r="21" spans="1:9">
      <c r="A21" t="s">
        <v>24</v>
      </c>
      <c r="B21">
        <f>100</f>
        <v>100</v>
      </c>
      <c r="C21">
        <v>100</v>
      </c>
      <c r="D21">
        <v>100</v>
      </c>
      <c r="E21">
        <v>100</v>
      </c>
      <c r="F21">
        <v>100</v>
      </c>
      <c r="I21">
        <f t="shared" si="0"/>
        <v>0</v>
      </c>
    </row>
    <row r="22" spans="1:9">
      <c r="A22" t="s">
        <v>25</v>
      </c>
      <c r="B22">
        <f>0.16</f>
        <v>0.16</v>
      </c>
      <c r="C22">
        <v>0.16</v>
      </c>
      <c r="D22">
        <v>0.16</v>
      </c>
      <c r="E22">
        <v>0.16</v>
      </c>
      <c r="F22">
        <v>0.16</v>
      </c>
      <c r="I22">
        <f t="shared" si="0"/>
        <v>0</v>
      </c>
    </row>
    <row r="23" spans="1:9">
      <c r="A23" t="s">
        <v>26</v>
      </c>
      <c r="B23">
        <f>0.24</f>
        <v>0.24</v>
      </c>
      <c r="C23">
        <v>0.24</v>
      </c>
      <c r="D23">
        <v>0.24</v>
      </c>
      <c r="E23">
        <v>0.24</v>
      </c>
      <c r="F23">
        <v>0.24</v>
      </c>
      <c r="I23">
        <f t="shared" si="0"/>
        <v>0</v>
      </c>
    </row>
    <row r="24" spans="1:9">
      <c r="A24" t="s">
        <v>27</v>
      </c>
      <c r="B24">
        <f>0.0045</f>
        <v>4.4999999999999997E-3</v>
      </c>
      <c r="C24">
        <v>4.4999999999999997E-3</v>
      </c>
      <c r="D24">
        <v>4.4999999999999997E-3</v>
      </c>
      <c r="E24">
        <v>4.4999999999999997E-3</v>
      </c>
      <c r="F24">
        <v>4.4999999999999997E-3</v>
      </c>
      <c r="I24">
        <f t="shared" si="0"/>
        <v>0</v>
      </c>
    </row>
    <row r="25" spans="1:9">
      <c r="A25" t="s">
        <v>28</v>
      </c>
      <c r="B25">
        <f>pae_b / baseline_bodyweight</f>
        <v>1.3313529713399436E-2</v>
      </c>
      <c r="C25">
        <v>1.33135297133994E-2</v>
      </c>
      <c r="D25">
        <v>1.33135297133994E-2</v>
      </c>
      <c r="E25">
        <v>1.33135297133994E-2</v>
      </c>
      <c r="F25">
        <v>1.33135297133994E-2</v>
      </c>
      <c r="I25">
        <f t="shared" si="0"/>
        <v>-3.6429192995512949E-17</v>
      </c>
    </row>
    <row r="26" spans="1:9">
      <c r="A26" t="s">
        <v>29</v>
      </c>
      <c r="B26">
        <f>0.0239374</f>
        <v>2.3937400000000001E-2</v>
      </c>
      <c r="C26">
        <v>2.3937400000000001E-2</v>
      </c>
      <c r="D26">
        <v>2.3937400000000001E-2</v>
      </c>
      <c r="E26">
        <v>2.3937400000000001E-2</v>
      </c>
      <c r="F26">
        <v>2.3937400000000001E-2</v>
      </c>
      <c r="I26">
        <f t="shared" si="0"/>
        <v>0</v>
      </c>
    </row>
    <row r="27" spans="1:9">
      <c r="A27" t="s">
        <v>30</v>
      </c>
      <c r="B27">
        <f>70000</f>
        <v>70000</v>
      </c>
      <c r="C27">
        <v>70000</v>
      </c>
      <c r="D27">
        <v>70000</v>
      </c>
      <c r="E27">
        <v>70000</v>
      </c>
      <c r="F27">
        <v>70000</v>
      </c>
      <c r="I27">
        <f t="shared" si="0"/>
        <v>0</v>
      </c>
    </row>
    <row r="28" spans="1:9">
      <c r="A28" t="s">
        <v>31</v>
      </c>
      <c r="B28">
        <f>ci_0</f>
        <v>1500</v>
      </c>
      <c r="C28">
        <v>1500</v>
      </c>
      <c r="D28">
        <v>1500</v>
      </c>
      <c r="E28">
        <v>1500</v>
      </c>
      <c r="F28">
        <v>1500</v>
      </c>
      <c r="I28">
        <f t="shared" si="0"/>
        <v>0</v>
      </c>
    </row>
    <row r="29" spans="1:9">
      <c r="A29" t="s">
        <v>32</v>
      </c>
      <c r="B29">
        <f>fw * fetw * baseline_bodyweight</f>
        <v>18374.999999999996</v>
      </c>
      <c r="C29">
        <v>18375</v>
      </c>
      <c r="D29">
        <v>18375</v>
      </c>
      <c r="E29">
        <v>18375</v>
      </c>
      <c r="F29">
        <v>18375</v>
      </c>
      <c r="I29">
        <f t="shared" si="0"/>
        <v>0</v>
      </c>
    </row>
    <row r="30" spans="1:9">
      <c r="A30" t="s">
        <v>33</v>
      </c>
      <c r="B30">
        <f>baseline_bodyweight - baseline_lean_mass</f>
        <v>5075.0000000000146</v>
      </c>
      <c r="C30">
        <v>5075.00000000001</v>
      </c>
      <c r="D30">
        <v>5075.00000000001</v>
      </c>
      <c r="E30">
        <v>5075.00000000001</v>
      </c>
      <c r="F30">
        <v>5075.00000000001</v>
      </c>
      <c r="I30">
        <f t="shared" si="0"/>
        <v>0</v>
      </c>
    </row>
    <row r="31" spans="1:9">
      <c r="A31" t="s">
        <v>34</v>
      </c>
      <c r="B31">
        <f>fi_0</f>
        <v>1000</v>
      </c>
      <c r="C31">
        <v>1000</v>
      </c>
      <c r="D31">
        <v>1000</v>
      </c>
      <c r="E31">
        <v>1000</v>
      </c>
      <c r="F31">
        <v>1000</v>
      </c>
      <c r="I31">
        <f t="shared" si="0"/>
        <v>0</v>
      </c>
    </row>
    <row r="32" spans="1:9">
      <c r="A32" t="s">
        <v>35</v>
      </c>
      <c r="B32">
        <f>base_molar_lipolysis * mass_of_glycerol * cal_dens_c</f>
        <v>61.529599999999995</v>
      </c>
      <c r="C32">
        <v>61.529600000000002</v>
      </c>
      <c r="D32">
        <v>61.529600000000002</v>
      </c>
      <c r="E32">
        <v>61.529600000000002</v>
      </c>
      <c r="F32">
        <v>61.529600000000002</v>
      </c>
      <c r="I32">
        <f t="shared" si="0"/>
        <v>0</v>
      </c>
    </row>
    <row r="33" spans="1:9">
      <c r="A33" t="s">
        <v>36</v>
      </c>
      <c r="B33">
        <f>base_bone_mass + baseline_ecw + cell_mass_b</f>
        <v>64924.999999999985</v>
      </c>
      <c r="C33">
        <v>64925</v>
      </c>
      <c r="D33">
        <v>64925</v>
      </c>
      <c r="E33">
        <v>64925</v>
      </c>
      <c r="F33">
        <v>64925</v>
      </c>
      <c r="I33">
        <f t="shared" si="0"/>
        <v>0</v>
      </c>
    </row>
    <row r="34" spans="1:9">
      <c r="A34" t="s">
        <v>37</v>
      </c>
      <c r="B34">
        <f>baseline_carbohydrate_intake + baseline_fat_intake +baseline_protein_intake</f>
        <v>3000</v>
      </c>
      <c r="C34">
        <v>3000</v>
      </c>
      <c r="D34">
        <v>3000</v>
      </c>
      <c r="E34">
        <v>3000</v>
      </c>
      <c r="F34">
        <v>3000</v>
      </c>
      <c r="I34">
        <f t="shared" si="0"/>
        <v>0</v>
      </c>
    </row>
    <row r="35" spans="1:9">
      <c r="A35" t="s">
        <v>38</v>
      </c>
      <c r="B35">
        <f>cell_mass_b - icw_b - intracel_solids - base_carb</f>
        <v>8757.7199999999957</v>
      </c>
      <c r="C35">
        <v>8757.7199999999993</v>
      </c>
      <c r="D35">
        <v>8757.7199999999993</v>
      </c>
      <c r="E35">
        <v>8757.7199999999993</v>
      </c>
      <c r="F35">
        <v>8757.7199999999993</v>
      </c>
      <c r="I35">
        <f t="shared" si="0"/>
        <v>0</v>
      </c>
    </row>
    <row r="36" spans="1:9">
      <c r="A36" t="s">
        <v>39</v>
      </c>
      <c r="B36">
        <f>pi_0</f>
        <v>500</v>
      </c>
      <c r="C36">
        <v>500</v>
      </c>
      <c r="D36">
        <v>500</v>
      </c>
      <c r="E36">
        <v>500</v>
      </c>
      <c r="F36">
        <v>500</v>
      </c>
      <c r="I36">
        <f t="shared" si="0"/>
        <v>0</v>
      </c>
    </row>
    <row r="37" spans="1:9">
      <c r="A37" t="s">
        <v>40</v>
      </c>
      <c r="B37">
        <f>molar_baseline_proteolysis * aminoacid_mass</f>
        <v>300.3</v>
      </c>
      <c r="C37">
        <v>300.3</v>
      </c>
      <c r="D37">
        <v>300.3</v>
      </c>
      <c r="E37">
        <v>300.3</v>
      </c>
      <c r="F37">
        <v>300.3</v>
      </c>
      <c r="I37">
        <f t="shared" si="0"/>
        <v>0</v>
      </c>
    </row>
    <row r="38" spans="1:9">
      <c r="A38" s="2" t="s">
        <v>41</v>
      </c>
      <c r="B38">
        <f>fat + lean_tissues</f>
        <v>70000</v>
      </c>
      <c r="C38">
        <v>79524.999999899999</v>
      </c>
      <c r="D38">
        <v>79484.4915128313</v>
      </c>
      <c r="E38">
        <v>79442.881779469302</v>
      </c>
      <c r="F38">
        <v>79400.351080541601</v>
      </c>
      <c r="I38">
        <f t="shared" si="0"/>
        <v>9524.9999998999992</v>
      </c>
    </row>
    <row r="39" spans="1:9">
      <c r="A39" t="s">
        <v>42</v>
      </c>
      <c r="B39">
        <f>base_carb</f>
        <v>400</v>
      </c>
      <c r="C39">
        <v>400</v>
      </c>
      <c r="D39">
        <v>400</v>
      </c>
      <c r="E39">
        <v>400</v>
      </c>
      <c r="F39">
        <v>400</v>
      </c>
      <c r="I39">
        <f t="shared" si="0"/>
        <v>0</v>
      </c>
    </row>
    <row r="40" spans="1:9">
      <c r="A40" t="s">
        <v>43</v>
      </c>
      <c r="B40">
        <f>4.18</f>
        <v>4.18</v>
      </c>
      <c r="C40">
        <v>4.18</v>
      </c>
      <c r="D40">
        <v>4.18</v>
      </c>
      <c r="E40">
        <v>4.18</v>
      </c>
      <c r="F40">
        <v>4.18</v>
      </c>
      <c r="I40">
        <f t="shared" si="0"/>
        <v>0</v>
      </c>
    </row>
    <row r="41" spans="1:9">
      <c r="A41" t="s">
        <v>44</v>
      </c>
      <c r="B41">
        <f>9.44</f>
        <v>9.44</v>
      </c>
      <c r="C41">
        <v>9.44</v>
      </c>
      <c r="D41">
        <v>9.44</v>
      </c>
      <c r="E41">
        <v>9.44</v>
      </c>
      <c r="F41">
        <v>9.44</v>
      </c>
      <c r="I41">
        <f t="shared" si="0"/>
        <v>0</v>
      </c>
    </row>
    <row r="42" spans="1:9">
      <c r="A42" t="s">
        <v>45</v>
      </c>
      <c r="B42">
        <f>4.7</f>
        <v>4.7</v>
      </c>
      <c r="C42">
        <v>4.7</v>
      </c>
      <c r="D42">
        <v>4.7</v>
      </c>
      <c r="E42">
        <v>4.7</v>
      </c>
      <c r="F42">
        <v>4.7</v>
      </c>
      <c r="I42">
        <f t="shared" si="0"/>
        <v>0</v>
      </c>
    </row>
    <row r="43" spans="1:9">
      <c r="A43" t="s">
        <v>46</v>
      </c>
      <c r="B43">
        <f>c_init</f>
        <v>400</v>
      </c>
      <c r="C43">
        <v>400</v>
      </c>
      <c r="D43">
        <v>402.81701746914899</v>
      </c>
      <c r="E43">
        <v>405.22297498903299</v>
      </c>
      <c r="F43">
        <v>407.27279626006401</v>
      </c>
      <c r="G43" t="s">
        <v>224</v>
      </c>
      <c r="I43">
        <f t="shared" si="0"/>
        <v>0</v>
      </c>
    </row>
    <row r="44" spans="1:9">
      <c r="A44" t="s">
        <v>47</v>
      </c>
      <c r="B44">
        <f>carb * cal_dens_c / desired_carbox</f>
        <v>1.0317711626666644</v>
      </c>
      <c r="C44">
        <v>1.0221018472541701</v>
      </c>
      <c r="D44">
        <v>1.0286046037105601</v>
      </c>
      <c r="E44">
        <v>1.0341590794669699</v>
      </c>
      <c r="F44">
        <v>1.0388945350358501</v>
      </c>
      <c r="I44">
        <f t="shared" si="0"/>
        <v>-9.6693154124942726E-3</v>
      </c>
    </row>
    <row r="45" spans="1:9">
      <c r="A45" t="s">
        <v>48</v>
      </c>
      <c r="B45">
        <f>eff_of_glycogenolysis_on_carb_oxidation + MAX( 0, eff_of_carb_intake_on_carb_oxidation * ( carb / (0.1 + carb) )  )</f>
        <v>3.88152461325845</v>
      </c>
      <c r="C45">
        <v>3.88152461325845</v>
      </c>
      <c r="D45">
        <v>3.8855320690143902</v>
      </c>
      <c r="E45">
        <v>3.8889546920080602</v>
      </c>
      <c r="F45">
        <v>3.8918706437189901</v>
      </c>
      <c r="I45">
        <f t="shared" si="0"/>
        <v>0</v>
      </c>
    </row>
    <row r="46" spans="1:9">
      <c r="A46" t="s">
        <v>49</v>
      </c>
      <c r="B46">
        <f>IF(read_from_data = 1, carbohydrate_intake_data, ci_input )</f>
        <v>1500</v>
      </c>
      <c r="C46">
        <v>1500</v>
      </c>
      <c r="D46">
        <v>1500</v>
      </c>
      <c r="E46">
        <v>1500</v>
      </c>
      <c r="F46">
        <v>1500</v>
      </c>
      <c r="I46">
        <f t="shared" si="0"/>
        <v>0</v>
      </c>
    </row>
    <row r="47" spans="1:9">
      <c r="A47" t="s">
        <v>50</v>
      </c>
      <c r="B47">
        <f>0</f>
        <v>0</v>
      </c>
      <c r="C47">
        <v>0</v>
      </c>
      <c r="D47">
        <v>0</v>
      </c>
      <c r="E47">
        <v>0</v>
      </c>
      <c r="F47">
        <v>0</v>
      </c>
      <c r="I47">
        <f t="shared" si="0"/>
        <v>0</v>
      </c>
    </row>
    <row r="48" spans="1:9">
      <c r="A48" t="s">
        <v>51</v>
      </c>
      <c r="B48">
        <f>intracel_solids + carb + protein + intracel_water</f>
        <v>43749.999999999993</v>
      </c>
      <c r="C48">
        <v>52187.5</v>
      </c>
      <c r="D48">
        <v>52153.470514076398</v>
      </c>
      <c r="E48">
        <v>52118.176703056502</v>
      </c>
      <c r="F48">
        <v>52081.816777260603</v>
      </c>
      <c r="I48">
        <f t="shared" si="0"/>
        <v>8437.5000000000073</v>
      </c>
    </row>
    <row r="49" spans="1:9">
      <c r="A49" t="s">
        <v>52</v>
      </c>
      <c r="B49">
        <f>1/fwcm * icw_b</f>
        <v>43749.999999999993</v>
      </c>
      <c r="C49">
        <v>43750</v>
      </c>
      <c r="D49">
        <v>43750</v>
      </c>
      <c r="E49">
        <v>43750</v>
      </c>
      <c r="F49">
        <v>43750</v>
      </c>
      <c r="I49">
        <f t="shared" si="0"/>
        <v>0</v>
      </c>
    </row>
    <row r="50" spans="1:9">
      <c r="A50" t="s">
        <v>53</v>
      </c>
      <c r="B50">
        <f>carbohydrate_intake - baseline_carbohydrate_intake</f>
        <v>0</v>
      </c>
      <c r="C50">
        <v>0</v>
      </c>
      <c r="D50">
        <v>0</v>
      </c>
      <c r="E50">
        <v>0</v>
      </c>
      <c r="F50">
        <v>0</v>
      </c>
      <c r="I50">
        <f t="shared" si="0"/>
        <v>0</v>
      </c>
    </row>
    <row r="51" spans="1:9">
      <c r="A51" t="s">
        <v>54</v>
      </c>
      <c r="B51">
        <f>protein_intake - baseline_protein_intake</f>
        <v>0</v>
      </c>
      <c r="C51">
        <v>0</v>
      </c>
      <c r="D51">
        <v>0</v>
      </c>
      <c r="E51">
        <v>0</v>
      </c>
      <c r="F51">
        <v>0</v>
      </c>
      <c r="I51">
        <f t="shared" si="0"/>
        <v>0</v>
      </c>
    </row>
    <row r="52" spans="1:9">
      <c r="A52" t="s">
        <v>55</v>
      </c>
      <c r="B52">
        <f>carbohydrate_intake / cal_dens_c</f>
        <v>358.85167464114835</v>
      </c>
      <c r="C52">
        <v>358.85167464114801</v>
      </c>
      <c r="D52">
        <v>358.85167464114801</v>
      </c>
      <c r="E52">
        <v>358.85167464114801</v>
      </c>
      <c r="F52">
        <v>358.85167464114801</v>
      </c>
      <c r="I52">
        <f t="shared" si="0"/>
        <v>0</v>
      </c>
    </row>
    <row r="53" spans="1:9">
      <c r="A53" t="s">
        <v>56</v>
      </c>
      <c r="B53">
        <f>1500</f>
        <v>1500</v>
      </c>
      <c r="C53">
        <v>1500</v>
      </c>
      <c r="D53">
        <v>1500</v>
      </c>
      <c r="E53">
        <v>1500</v>
      </c>
      <c r="F53">
        <v>1500</v>
      </c>
      <c r="I53">
        <f t="shared" si="0"/>
        <v>0</v>
      </c>
    </row>
    <row r="54" spans="1:9">
      <c r="A54" t="s">
        <v>57</v>
      </c>
      <c r="B54">
        <f>1500</f>
        <v>1500</v>
      </c>
      <c r="C54">
        <v>1500</v>
      </c>
      <c r="D54">
        <v>1500</v>
      </c>
      <c r="E54">
        <v>1500</v>
      </c>
      <c r="F54">
        <v>1500</v>
      </c>
      <c r="I54">
        <f t="shared" si="0"/>
        <v>0</v>
      </c>
    </row>
    <row r="55" spans="1:9">
      <c r="A55" t="s">
        <v>58</v>
      </c>
      <c r="B55">
        <f>fiew * baseline_ecw - ( glycogen_hydration_coefficient * c_init + protein_hydration_coefficient * p_init)</f>
        <v>12029.560000000005</v>
      </c>
      <c r="C55">
        <v>12029.56</v>
      </c>
      <c r="D55">
        <v>12029.56</v>
      </c>
      <c r="E55">
        <v>12029.56</v>
      </c>
      <c r="F55">
        <v>12029.56</v>
      </c>
      <c r="I55">
        <f t="shared" si="0"/>
        <v>0</v>
      </c>
    </row>
    <row r="56" spans="1:9">
      <c r="A56" t="s">
        <v>59</v>
      </c>
      <c r="B56">
        <f>0.172727</f>
        <v>0.17272699999999999</v>
      </c>
      <c r="C56">
        <v>0.17272699999999999</v>
      </c>
      <c r="D56">
        <v>0.17272699999999999</v>
      </c>
      <c r="E56">
        <v>0.17272699999999999</v>
      </c>
      <c r="F56">
        <v>0.17272699999999999</v>
      </c>
      <c r="I56">
        <f t="shared" si="0"/>
        <v>0</v>
      </c>
    </row>
    <row r="57" spans="1:9">
      <c r="A57" t="s">
        <v>60</v>
      </c>
      <c r="B57">
        <f>7</f>
        <v>7</v>
      </c>
      <c r="C57">
        <v>7</v>
      </c>
      <c r="D57">
        <v>7</v>
      </c>
      <c r="E57">
        <v>7</v>
      </c>
      <c r="F57">
        <v>7</v>
      </c>
      <c r="I57">
        <f t="shared" si="0"/>
        <v>0</v>
      </c>
    </row>
    <row r="58" spans="1:9">
      <c r="A58" t="s">
        <v>61</v>
      </c>
      <c r="B58">
        <f>0.211111</f>
        <v>0.21111099999999999</v>
      </c>
      <c r="C58">
        <v>0.21111099999999999</v>
      </c>
      <c r="D58">
        <v>0.21111099999999999</v>
      </c>
      <c r="E58">
        <v>0.21111099999999999</v>
      </c>
      <c r="F58">
        <v>0.21111099999999999</v>
      </c>
      <c r="I58">
        <f t="shared" si="0"/>
        <v>0</v>
      </c>
    </row>
    <row r="59" spans="1:9">
      <c r="A59" t="s">
        <v>62</v>
      </c>
      <c r="B59">
        <f>0.176744</f>
        <v>0.17674400000000001</v>
      </c>
      <c r="C59">
        <v>0.17674400000000001</v>
      </c>
      <c r="D59">
        <v>0.17674400000000001</v>
      </c>
      <c r="E59">
        <v>0.17674400000000001</v>
      </c>
      <c r="F59">
        <v>0.17674400000000001</v>
      </c>
      <c r="I59">
        <f t="shared" si="0"/>
        <v>0</v>
      </c>
    </row>
    <row r="60" spans="1:9">
      <c r="A60" t="s">
        <v>63</v>
      </c>
      <c r="B60">
        <f>0.863636</f>
        <v>0.86363599999999996</v>
      </c>
      <c r="C60">
        <v>0.86363599999999996</v>
      </c>
      <c r="D60">
        <v>0.86363599999999996</v>
      </c>
      <c r="E60">
        <v>0.86363599999999996</v>
      </c>
      <c r="F60">
        <v>0.86363599999999996</v>
      </c>
      <c r="I60">
        <f t="shared" si="0"/>
        <v>0</v>
      </c>
    </row>
    <row r="61" spans="1:9">
      <c r="A61" t="s">
        <v>64</v>
      </c>
      <c r="B61">
        <f>frac_carbox * shared_energy_expenditure + gng_fat + gng_protein</f>
        <v>1620.5143742132045</v>
      </c>
      <c r="C61">
        <v>1635.8448079237401</v>
      </c>
      <c r="D61">
        <v>1636.9508039795301</v>
      </c>
      <c r="E61">
        <v>1637.8834447087099</v>
      </c>
      <c r="F61">
        <v>1638.6651685566101</v>
      </c>
      <c r="I61">
        <f t="shared" si="0"/>
        <v>15.330433710535544</v>
      </c>
    </row>
    <row r="62" spans="1:9">
      <c r="A62" t="s">
        <v>65</v>
      </c>
      <c r="B62">
        <f>frac_fatox * shared_energy_expenditure</f>
        <v>979.44245391851302</v>
      </c>
      <c r="C62">
        <v>1094.81986346598</v>
      </c>
      <c r="D62">
        <v>1093.9679907341999</v>
      </c>
      <c r="E62">
        <v>1093.16167446431</v>
      </c>
      <c r="F62">
        <v>1092.3944746443001</v>
      </c>
      <c r="I62">
        <f t="shared" si="0"/>
        <v>115.37740954746698</v>
      </c>
    </row>
    <row r="63" spans="1:9">
      <c r="A63" t="s">
        <v>66</v>
      </c>
      <c r="B63">
        <f>frac_protox * shared_energy_expenditure</f>
        <v>400.04317186828268</v>
      </c>
      <c r="C63">
        <v>507.57761224066502</v>
      </c>
      <c r="D63">
        <v>506.93422219410098</v>
      </c>
      <c r="E63">
        <v>506.30663205058801</v>
      </c>
      <c r="F63">
        <v>505.69274984374698</v>
      </c>
      <c r="I63">
        <f t="shared" si="0"/>
        <v>107.53444037238233</v>
      </c>
    </row>
    <row r="64" spans="1:9">
      <c r="A64" t="s">
        <v>67</v>
      </c>
      <c r="B64">
        <f>base_molar_lipolysis * mass_tg</f>
        <v>137.6</v>
      </c>
      <c r="C64">
        <v>137.6</v>
      </c>
      <c r="D64">
        <v>137.6</v>
      </c>
      <c r="E64">
        <v>137.6</v>
      </c>
      <c r="F64">
        <v>137.6</v>
      </c>
      <c r="I64">
        <f t="shared" si="0"/>
        <v>0</v>
      </c>
    </row>
    <row r="65" spans="1:9">
      <c r="A65" t="s">
        <v>68</v>
      </c>
      <c r="B65">
        <f>IF(total_ox - total_energy_expenditure &lt; 0.1, 0, total_ox - total_energy_expenditure )</f>
        <v>0</v>
      </c>
      <c r="C65">
        <v>0</v>
      </c>
      <c r="D65">
        <v>0</v>
      </c>
      <c r="E65">
        <v>0</v>
      </c>
      <c r="F65">
        <v>0</v>
      </c>
      <c r="I65">
        <f t="shared" si="0"/>
        <v>0</v>
      </c>
    </row>
    <row r="66" spans="1:9">
      <c r="A66" t="s">
        <v>69</v>
      </c>
      <c r="B66">
        <f>ci * effect_of_glycogen_on_dnl * cal_dens_c</f>
        <v>88.235294117647058</v>
      </c>
      <c r="C66">
        <v>88.235294117647101</v>
      </c>
      <c r="D66">
        <v>90.595562283414594</v>
      </c>
      <c r="E66">
        <v>92.644593575468505</v>
      </c>
      <c r="F66">
        <v>94.414547351390894</v>
      </c>
      <c r="I66">
        <f t="shared" si="0"/>
        <v>0</v>
      </c>
    </row>
    <row r="67" spans="1:9">
      <c r="A67" t="s">
        <v>70</v>
      </c>
      <c r="B67">
        <f>ci_0 * eff_c_dnl_b</f>
        <v>88.235294117647058</v>
      </c>
      <c r="C67">
        <v>88.235294117647101</v>
      </c>
      <c r="D67">
        <v>88.235294117647101</v>
      </c>
      <c r="E67">
        <v>88.235294117647101</v>
      </c>
      <c r="F67">
        <v>88.235294117647101</v>
      </c>
      <c r="I67">
        <f t="shared" si="0"/>
        <v>0</v>
      </c>
    </row>
    <row r="68" spans="1:9">
      <c r="A68" t="s">
        <v>71</v>
      </c>
      <c r="B68">
        <f>dnl / cal_dens_f</f>
        <v>9.3469591226321036</v>
      </c>
      <c r="C68">
        <v>9.3469591226321</v>
      </c>
      <c r="D68">
        <v>9.5969875300227301</v>
      </c>
      <c r="E68">
        <v>9.8140459296047098</v>
      </c>
      <c r="F68">
        <v>10.001541032986299</v>
      </c>
      <c r="I68">
        <f t="shared" si="0"/>
        <v>0</v>
      </c>
    </row>
    <row r="69" spans="1:9">
      <c r="A69" t="s">
        <v>72</v>
      </c>
      <c r="B69">
        <f>MIN( dnl / cal_dens_c, carb / time_step )</f>
        <v>21.10892203771461</v>
      </c>
      <c r="C69">
        <v>21.108922037714599</v>
      </c>
      <c r="D69">
        <v>21.673579493639899</v>
      </c>
      <c r="E69">
        <v>22.163778367336999</v>
      </c>
      <c r="F69">
        <v>22.5872122850217</v>
      </c>
      <c r="I69">
        <f t="shared" si="0"/>
        <v>0</v>
      </c>
    </row>
    <row r="70" spans="1:9">
      <c r="A70" t="s">
        <v>73</v>
      </c>
      <c r="B70">
        <f>baseline_metabolizable_energy_intake - (tef_b + pae_b + rmr_b )</f>
        <v>0</v>
      </c>
      <c r="C70">
        <v>0</v>
      </c>
      <c r="D70">
        <v>0</v>
      </c>
      <c r="E70">
        <v>0</v>
      </c>
      <c r="F70">
        <v>0</v>
      </c>
      <c r="I70">
        <f t="shared" ref="I70:I133" si="1">C70-B70</f>
        <v>0</v>
      </c>
    </row>
    <row r="71" spans="1:9">
      <c r="A71" t="s">
        <v>74</v>
      </c>
      <c r="B71">
        <f>1 / ( k_dnl ^ hill_dnl + 1 )</f>
        <v>5.8823529411764705E-2</v>
      </c>
      <c r="C71">
        <v>5.8823529411764698E-2</v>
      </c>
      <c r="D71">
        <v>5.8823529411764698E-2</v>
      </c>
      <c r="E71">
        <v>5.8823529411764698E-2</v>
      </c>
      <c r="F71">
        <v>5.8823529411764698E-2</v>
      </c>
      <c r="I71">
        <f t="shared" si="1"/>
        <v>0</v>
      </c>
    </row>
    <row r="72" spans="1:9">
      <c r="A72" t="s">
        <v>75</v>
      </c>
      <c r="B72">
        <f>0.506 * normalized_change_in_carbohydrate_intake</f>
        <v>0</v>
      </c>
      <c r="C72">
        <v>0</v>
      </c>
      <c r="D72">
        <v>0</v>
      </c>
      <c r="E72">
        <v>0</v>
      </c>
      <c r="F72">
        <v>0</v>
      </c>
      <c r="I72">
        <f t="shared" si="1"/>
        <v>0</v>
      </c>
    </row>
    <row r="73" spans="1:9">
      <c r="A73" t="s">
        <v>76</v>
      </c>
      <c r="B73">
        <f>weighting_of_oxidation_for_basal_ci * ( 1 + sensitivity_of_oxidation_to_ci_changes * normalized_change_in_carbohydrate_intake )</f>
        <v>3.3141400000000001</v>
      </c>
      <c r="C73">
        <v>3.3141400000000001</v>
      </c>
      <c r="D73">
        <v>3.3141400000000001</v>
      </c>
      <c r="E73">
        <v>3.3141400000000001</v>
      </c>
      <c r="F73">
        <v>3.3141400000000001</v>
      </c>
      <c r="I73">
        <f t="shared" si="1"/>
        <v>0</v>
      </c>
    </row>
    <row r="74" spans="1:9">
      <c r="A74" t="s">
        <v>77</v>
      </c>
      <c r="B74">
        <v>1</v>
      </c>
      <c r="C74">
        <v>1</v>
      </c>
      <c r="D74">
        <v>1</v>
      </c>
      <c r="E74">
        <v>1</v>
      </c>
      <c r="F74">
        <v>1</v>
      </c>
      <c r="G74" t="s">
        <v>228</v>
      </c>
      <c r="H74" s="1" t="s">
        <v>227</v>
      </c>
      <c r="I74">
        <f t="shared" si="1"/>
        <v>0</v>
      </c>
    </row>
    <row r="75" spans="1:9">
      <c r="A75" t="s">
        <v>78</v>
      </c>
      <c r="B75">
        <f>weighting_of_oxidation_for_glycogenolysis * normalized_glycogenolysis</f>
        <v>0.56821294117647092</v>
      </c>
      <c r="C75">
        <v>0.56821294117647103</v>
      </c>
      <c r="D75">
        <v>0.57221460563019799</v>
      </c>
      <c r="E75">
        <v>0.57563234612699399</v>
      </c>
      <c r="F75">
        <v>0.57854418356024095</v>
      </c>
      <c r="I75">
        <f t="shared" si="1"/>
        <v>0</v>
      </c>
    </row>
    <row r="76" spans="1:9">
      <c r="A76" t="s">
        <v>79</v>
      </c>
      <c r="B76">
        <f>sensitivity_to_physical_activity * EXP( - LN(sensitivity_to_physical_activity) * normalized_activity_energy_per_body_weight )</f>
        <v>1</v>
      </c>
      <c r="C76">
        <v>1</v>
      </c>
      <c r="D76">
        <v>1</v>
      </c>
      <c r="E76">
        <v>1</v>
      </c>
      <c r="F76">
        <v>1</v>
      </c>
      <c r="I76">
        <f t="shared" si="1"/>
        <v>0</v>
      </c>
    </row>
    <row r="77" spans="1:9">
      <c r="A77" t="s">
        <v>80</v>
      </c>
      <c r="B77">
        <v>1</v>
      </c>
      <c r="C77">
        <v>1</v>
      </c>
      <c r="D77">
        <v>1</v>
      </c>
      <c r="E77">
        <v>1</v>
      </c>
      <c r="F77">
        <v>1</v>
      </c>
      <c r="G77" t="s">
        <v>228</v>
      </c>
      <c r="H77" s="1" t="s">
        <v>229</v>
      </c>
      <c r="I77">
        <f t="shared" si="1"/>
        <v>0</v>
      </c>
    </row>
    <row r="78" spans="1:9">
      <c r="A78" t="s">
        <v>81</v>
      </c>
      <c r="B78">
        <f>weighting_of_oxidation_for_basal_pi * ( 1 + sensitivity_of_oxidation_to_pi_changes * normalized_change_in_protein_intake )</f>
        <v>0.1</v>
      </c>
      <c r="C78">
        <v>0.1</v>
      </c>
      <c r="D78">
        <v>0.1</v>
      </c>
      <c r="E78">
        <v>0.1</v>
      </c>
      <c r="F78">
        <v>0.1</v>
      </c>
      <c r="I78">
        <f t="shared" si="1"/>
        <v>0</v>
      </c>
    </row>
    <row r="79" spans="1:9">
      <c r="A79" t="s">
        <v>82</v>
      </c>
      <c r="B79">
        <f>0.306 * normalized_change_in_protein_intake</f>
        <v>0</v>
      </c>
      <c r="C79">
        <v>0</v>
      </c>
      <c r="D79">
        <v>0</v>
      </c>
      <c r="E79">
        <v>0</v>
      </c>
      <c r="F79">
        <v>0</v>
      </c>
      <c r="I79">
        <f t="shared" si="1"/>
        <v>0</v>
      </c>
    </row>
    <row r="80" spans="1:9">
      <c r="A80" t="s">
        <v>83</v>
      </c>
      <c r="B80">
        <f>1 + ( ( lipol_max - lipol_min )  * EXP( -k_lip * ci * cal_dens_c / baseline_carbohydrate_intake )+ lipol_min - 1 )/ MAX( 1, effect_of_obesity_on_lipolysis )</f>
        <v>1</v>
      </c>
      <c r="C80">
        <v>1</v>
      </c>
      <c r="D80">
        <v>1</v>
      </c>
      <c r="E80">
        <v>1</v>
      </c>
      <c r="F80">
        <v>1</v>
      </c>
      <c r="I80">
        <f t="shared" si="1"/>
        <v>0</v>
      </c>
    </row>
    <row r="81" spans="1:9">
      <c r="A81" t="s">
        <v>84</v>
      </c>
      <c r="B81">
        <f>normalized_glycogen_ratio ^ hill_dnl / ( k_dnl ^ hill_dnl + normalized_glycogen_ratio ^ hill_dnl )</f>
        <v>5.8823529411764705E-2</v>
      </c>
      <c r="C81">
        <v>5.8823529411764698E-2</v>
      </c>
      <c r="D81">
        <v>6.0397041522276401E-2</v>
      </c>
      <c r="E81">
        <v>6.1763062383645602E-2</v>
      </c>
      <c r="F81">
        <v>6.2943031567593899E-2</v>
      </c>
      <c r="I81">
        <f t="shared" si="1"/>
        <v>0</v>
      </c>
    </row>
    <row r="82" spans="1:9">
      <c r="A82" t="s">
        <v>85</v>
      </c>
      <c r="B82">
        <f>( metabolizable_energy_intake - baseline_metabolizable_energy_intake ) / baseline_metabolizable_energy_intake</f>
        <v>0</v>
      </c>
      <c r="C82">
        <v>0</v>
      </c>
      <c r="D82">
        <v>0</v>
      </c>
      <c r="E82">
        <v>0</v>
      </c>
      <c r="F82">
        <v>0</v>
      </c>
      <c r="I82">
        <f t="shared" si="1"/>
        <v>0</v>
      </c>
    </row>
    <row r="83" spans="1:9">
      <c r="A83" t="s">
        <v>86</v>
      </c>
      <c r="B83">
        <f>(fat / baseline_fat)^(2/3)</f>
        <v>1</v>
      </c>
      <c r="C83">
        <v>1.1381877937388201</v>
      </c>
      <c r="D83">
        <v>1.13738989106948</v>
      </c>
      <c r="E83">
        <v>1.1366118024130301</v>
      </c>
      <c r="F83">
        <v>1.13585133807913</v>
      </c>
      <c r="I83">
        <f t="shared" si="1"/>
        <v>0.13818779373882006</v>
      </c>
    </row>
    <row r="84" spans="1:9">
      <c r="A84" t="s">
        <v>87</v>
      </c>
      <c r="B84">
        <f>0.8</f>
        <v>0.8</v>
      </c>
      <c r="C84">
        <v>0.8</v>
      </c>
      <c r="D84">
        <v>0.8</v>
      </c>
      <c r="E84">
        <v>0.8</v>
      </c>
      <c r="F84">
        <v>0.8</v>
      </c>
      <c r="I84">
        <f t="shared" si="1"/>
        <v>0</v>
      </c>
    </row>
    <row r="85" spans="1:9">
      <c r="A85" t="s">
        <v>88</v>
      </c>
      <c r="B85">
        <f>0.8</f>
        <v>0.8</v>
      </c>
      <c r="C85">
        <v>0.8</v>
      </c>
      <c r="D85">
        <v>0.8</v>
      </c>
      <c r="E85">
        <v>0.8</v>
      </c>
      <c r="F85">
        <v>0.8</v>
      </c>
      <c r="I85">
        <f t="shared" si="1"/>
        <v>0</v>
      </c>
    </row>
    <row r="86" spans="1:9">
      <c r="A86" t="s">
        <v>89</v>
      </c>
      <c r="B86">
        <f>mass_of_glycerol / ( cal_dens_f * mass_tg )</f>
        <v>1.1332282223098148E-2</v>
      </c>
      <c r="C86">
        <v>1.13322822230981E-2</v>
      </c>
      <c r="D86">
        <v>1.13322822230981E-2</v>
      </c>
      <c r="E86">
        <v>1.13322822230981E-2</v>
      </c>
      <c r="F86">
        <v>1.13322822230981E-2</v>
      </c>
      <c r="I86">
        <f t="shared" si="1"/>
        <v>-4.8572257327350599E-17</v>
      </c>
    </row>
    <row r="87" spans="1:9">
      <c r="A87" t="s">
        <v>90</v>
      </c>
      <c r="B87">
        <f>baseline_ecw</f>
        <v>18374.999999999996</v>
      </c>
      <c r="C87">
        <v>18375</v>
      </c>
      <c r="D87">
        <v>18375</v>
      </c>
      <c r="E87">
        <v>18375</v>
      </c>
      <c r="F87">
        <v>18375</v>
      </c>
      <c r="I87">
        <f t="shared" si="1"/>
        <v>0</v>
      </c>
    </row>
    <row r="88" spans="1:9">
      <c r="A88" t="s">
        <v>91</v>
      </c>
      <c r="B88">
        <f>baseline_fat</f>
        <v>5075.0000000000146</v>
      </c>
      <c r="C88">
        <v>5075.00000000001</v>
      </c>
      <c r="D88">
        <v>5075.00000000001</v>
      </c>
      <c r="E88">
        <v>5075.00000000001</v>
      </c>
      <c r="F88">
        <v>5075.00000000001</v>
      </c>
      <c r="I88">
        <f t="shared" si="1"/>
        <v>0</v>
      </c>
    </row>
    <row r="89" spans="1:9">
      <c r="A89" t="s">
        <v>92</v>
      </c>
      <c r="B89">
        <f>f_init</f>
        <v>5075.0000000000146</v>
      </c>
      <c r="C89">
        <v>6162.4999999000001</v>
      </c>
      <c r="D89">
        <v>6156.0209987549797</v>
      </c>
      <c r="E89">
        <v>6149.7050764127498</v>
      </c>
      <c r="F89">
        <v>6143.5343032810097</v>
      </c>
      <c r="G89" t="s">
        <v>224</v>
      </c>
      <c r="H89" t="e">
        <f>+fi-actual_fatox+dnl_i-gng_fat_out-sec_fatox</f>
        <v>#VALUE!</v>
      </c>
      <c r="I89">
        <f t="shared" si="1"/>
        <v>1087.4999998999856</v>
      </c>
    </row>
    <row r="90" spans="1:9">
      <c r="A90" t="s">
        <v>93</v>
      </c>
      <c r="B90">
        <f>IF(read_from_data = 1, fat_intake_data, fi_input )</f>
        <v>1000</v>
      </c>
      <c r="C90">
        <v>1000</v>
      </c>
      <c r="D90">
        <v>1000</v>
      </c>
      <c r="E90">
        <v>1000</v>
      </c>
      <c r="F90">
        <v>1000</v>
      </c>
      <c r="I90">
        <f t="shared" si="1"/>
        <v>0</v>
      </c>
    </row>
    <row r="91" spans="1:9">
      <c r="A91" t="s">
        <v>94</v>
      </c>
      <c r="B91">
        <f>0</f>
        <v>0</v>
      </c>
      <c r="C91">
        <v>0</v>
      </c>
      <c r="D91">
        <v>0</v>
      </c>
      <c r="E91">
        <v>0</v>
      </c>
      <c r="F91">
        <v>0</v>
      </c>
      <c r="I91">
        <f t="shared" si="1"/>
        <v>0</v>
      </c>
    </row>
    <row r="92" spans="1:9">
      <c r="A92" t="s">
        <v>95</v>
      </c>
      <c r="B92">
        <f>MAX( 0, weighting_of_oxidation_for_lipolysis * normalized_lipolysis_rate)</f>
        <v>2.6931760746690165</v>
      </c>
      <c r="C92">
        <v>3.0653401345777</v>
      </c>
      <c r="D92">
        <v>3.06319124219872</v>
      </c>
      <c r="E92">
        <v>3.0610957124451899</v>
      </c>
      <c r="F92">
        <v>3.0590476480954898</v>
      </c>
      <c r="I92">
        <f t="shared" si="1"/>
        <v>0.37216405990868351</v>
      </c>
    </row>
    <row r="93" spans="1:9">
      <c r="A93" t="s">
        <v>96</v>
      </c>
      <c r="B93">
        <f>3/8</f>
        <v>0.375</v>
      </c>
      <c r="C93">
        <v>0.375</v>
      </c>
      <c r="D93">
        <v>0.375</v>
      </c>
      <c r="E93">
        <v>0.375</v>
      </c>
      <c r="F93">
        <v>0.375</v>
      </c>
      <c r="I93">
        <f t="shared" si="1"/>
        <v>0</v>
      </c>
    </row>
    <row r="94" spans="1:9">
      <c r="A94" t="s">
        <v>97</v>
      </c>
      <c r="B94">
        <f>fat_intake / cal_dens_f</f>
        <v>105.93220338983052</v>
      </c>
      <c r="C94">
        <v>105.932203389831</v>
      </c>
      <c r="D94">
        <v>105.932203389831</v>
      </c>
      <c r="E94">
        <v>105.932203389831</v>
      </c>
      <c r="F94">
        <v>105.932203389831</v>
      </c>
      <c r="I94">
        <f t="shared" si="1"/>
        <v>4.8316906031686813E-13</v>
      </c>
    </row>
    <row r="95" spans="1:9">
      <c r="A95" t="s">
        <v>98</v>
      </c>
      <c r="B95">
        <f>1000</f>
        <v>1000</v>
      </c>
      <c r="C95">
        <v>1000</v>
      </c>
      <c r="D95">
        <v>1000</v>
      </c>
      <c r="E95">
        <v>1000</v>
      </c>
      <c r="F95">
        <v>1000</v>
      </c>
      <c r="I95">
        <f t="shared" si="1"/>
        <v>0</v>
      </c>
    </row>
    <row r="96" spans="1:9">
      <c r="A96" t="s">
        <v>99</v>
      </c>
      <c r="B96">
        <f>1000</f>
        <v>1000</v>
      </c>
      <c r="C96">
        <v>1000</v>
      </c>
      <c r="D96">
        <v>1000</v>
      </c>
      <c r="E96">
        <v>1000</v>
      </c>
      <c r="F96">
        <v>1000</v>
      </c>
      <c r="I96">
        <f t="shared" si="1"/>
        <v>0</v>
      </c>
    </row>
    <row r="97" spans="1:9">
      <c r="A97" t="s">
        <v>100</v>
      </c>
      <c r="B97">
        <f>(1-fetw)/fetw</f>
        <v>1.6666666666666667</v>
      </c>
      <c r="C97">
        <v>1.6666666666666701</v>
      </c>
      <c r="D97">
        <v>1.6666666666666701</v>
      </c>
      <c r="E97">
        <v>1.6666666666666701</v>
      </c>
      <c r="F97">
        <v>1.6666666666666701</v>
      </c>
      <c r="I97">
        <f t="shared" si="1"/>
        <v>3.3306690738754696E-15</v>
      </c>
    </row>
    <row r="98" spans="1:9">
      <c r="A98" t="s">
        <v>101</v>
      </c>
      <c r="B98">
        <f>carb_term / z_</f>
        <v>0.50575582958749188</v>
      </c>
      <c r="C98">
        <v>0.46385277069863501</v>
      </c>
      <c r="D98">
        <v>0.46432242668281898</v>
      </c>
      <c r="E98">
        <v>0.464751151397579</v>
      </c>
      <c r="F98">
        <v>0.46514435472924798</v>
      </c>
      <c r="I98">
        <f t="shared" si="1"/>
        <v>-4.190305888885687E-2</v>
      </c>
    </row>
    <row r="99" spans="1:9">
      <c r="A99" t="s">
        <v>102</v>
      </c>
      <c r="B99">
        <f>fat_term / z_</f>
        <v>0.35091610528935197</v>
      </c>
      <c r="C99">
        <v>0.36631650091842999</v>
      </c>
      <c r="D99">
        <v>0.36605241333963601</v>
      </c>
      <c r="E99">
        <v>0.36581751899056197</v>
      </c>
      <c r="F99">
        <v>0.36560792344313597</v>
      </c>
      <c r="I99">
        <f t="shared" si="1"/>
        <v>1.5400395629078023E-2</v>
      </c>
    </row>
    <row r="100" spans="1:9">
      <c r="A100" t="s">
        <v>103</v>
      </c>
      <c r="B100">
        <f>prot_term / z_</f>
        <v>0.14332806512315627</v>
      </c>
      <c r="C100">
        <v>0.169830728382935</v>
      </c>
      <c r="D100">
        <v>0.16962515997754499</v>
      </c>
      <c r="E100">
        <v>0.169431329611859</v>
      </c>
      <c r="F100">
        <v>0.16924772182761499</v>
      </c>
      <c r="I100">
        <f t="shared" si="1"/>
        <v>2.6502663259778736E-2</v>
      </c>
    </row>
    <row r="101" spans="1:9">
      <c r="A101" t="s">
        <v>104</v>
      </c>
      <c r="B101">
        <f>7/10</f>
        <v>0.7</v>
      </c>
      <c r="C101">
        <v>0.7</v>
      </c>
      <c r="D101">
        <v>0.7</v>
      </c>
      <c r="E101">
        <v>0.7</v>
      </c>
      <c r="F101">
        <v>0.7</v>
      </c>
      <c r="I101">
        <f t="shared" si="1"/>
        <v>0</v>
      </c>
    </row>
    <row r="102" spans="1:9">
      <c r="A102" t="s">
        <v>105</v>
      </c>
      <c r="B102">
        <f>7/10</f>
        <v>0.7</v>
      </c>
      <c r="C102">
        <v>0.7</v>
      </c>
      <c r="D102">
        <v>0.7</v>
      </c>
      <c r="E102">
        <v>0.7</v>
      </c>
      <c r="F102">
        <v>0.7</v>
      </c>
      <c r="I102">
        <f t="shared" si="1"/>
        <v>0</v>
      </c>
    </row>
    <row r="103" spans="1:9">
      <c r="A103" t="s">
        <v>106</v>
      </c>
      <c r="B103">
        <f>desired_carbox - actual_carbox * cal_dens_c</f>
        <v>0</v>
      </c>
      <c r="C103">
        <v>0</v>
      </c>
      <c r="D103">
        <v>0</v>
      </c>
      <c r="E103">
        <v>0</v>
      </c>
      <c r="F103">
        <v>0</v>
      </c>
      <c r="I103">
        <f t="shared" si="1"/>
        <v>0</v>
      </c>
    </row>
    <row r="104" spans="1:9">
      <c r="A104" t="s">
        <v>107</v>
      </c>
      <c r="B104">
        <f>desired_fatox - actual_fatox * cal_dens_f</f>
        <v>0</v>
      </c>
      <c r="C104">
        <v>0</v>
      </c>
      <c r="D104">
        <v>0</v>
      </c>
      <c r="E104">
        <v>0</v>
      </c>
      <c r="F104">
        <v>0</v>
      </c>
      <c r="I104">
        <f t="shared" si="1"/>
        <v>0</v>
      </c>
    </row>
    <row r="105" spans="1:9">
      <c r="A105" t="s">
        <v>108</v>
      </c>
      <c r="B105">
        <f>gap_carbox + gap_fatox</f>
        <v>0</v>
      </c>
      <c r="C105">
        <v>0</v>
      </c>
      <c r="D105">
        <v>0</v>
      </c>
      <c r="E105">
        <v>0</v>
      </c>
      <c r="F105">
        <v>0</v>
      </c>
      <c r="I105">
        <f t="shared" si="1"/>
        <v>0</v>
      </c>
    </row>
    <row r="106" spans="1:9">
      <c r="A106" t="s">
        <v>109</v>
      </c>
      <c r="B106">
        <f>2.7</f>
        <v>2.7</v>
      </c>
      <c r="C106">
        <v>2.7</v>
      </c>
      <c r="D106">
        <v>2.7</v>
      </c>
      <c r="E106">
        <v>2.7</v>
      </c>
      <c r="F106">
        <v>2.7</v>
      </c>
      <c r="I106">
        <f t="shared" si="1"/>
        <v>0</v>
      </c>
    </row>
    <row r="107" spans="1:9">
      <c r="A107" t="s">
        <v>110</v>
      </c>
      <c r="B107">
        <f>base_deg_c * carb / base_carb</f>
        <v>180</v>
      </c>
      <c r="C107">
        <v>180</v>
      </c>
      <c r="D107">
        <v>181.26765786111699</v>
      </c>
      <c r="E107">
        <v>182.35033874506499</v>
      </c>
      <c r="F107">
        <v>183.272758317029</v>
      </c>
      <c r="I107">
        <f t="shared" si="1"/>
        <v>0</v>
      </c>
    </row>
    <row r="108" spans="1:9">
      <c r="A108" t="s">
        <v>111</v>
      </c>
      <c r="B108">
        <f>gng_fat_endog + gng_fat_exog</f>
        <v>108.89853969255026</v>
      </c>
      <c r="C108">
        <v>117.40117936618201</v>
      </c>
      <c r="D108">
        <v>117.35208473409899</v>
      </c>
      <c r="E108">
        <v>117.304209250303</v>
      </c>
      <c r="F108">
        <v>117.257418184024</v>
      </c>
      <c r="I108">
        <f t="shared" si="1"/>
        <v>8.502639673631748</v>
      </c>
    </row>
    <row r="109" spans="1:9">
      <c r="A109" t="s">
        <v>112</v>
      </c>
      <c r="B109">
        <f>baseline_gng_fat_endog * normalized_lipolysis_rate</f>
        <v>61.529599999999995</v>
      </c>
      <c r="C109">
        <v>70.032239673632105</v>
      </c>
      <c r="D109">
        <v>69.983145041548596</v>
      </c>
      <c r="E109">
        <v>69.935269557752505</v>
      </c>
      <c r="F109">
        <v>69.888478491473407</v>
      </c>
      <c r="I109">
        <f t="shared" si="1"/>
        <v>8.5026396736321104</v>
      </c>
    </row>
    <row r="110" spans="1:9">
      <c r="A110" t="s">
        <v>113</v>
      </c>
      <c r="B110">
        <f>exog_glycerol_per_kcal_fat_intake * fat_intake * cal_dens_c</f>
        <v>47.368939692550256</v>
      </c>
      <c r="C110">
        <v>47.368939692550299</v>
      </c>
      <c r="D110">
        <v>47.368939692550299</v>
      </c>
      <c r="E110">
        <v>47.368939692550299</v>
      </c>
      <c r="F110">
        <v>47.368939692550299</v>
      </c>
      <c r="I110">
        <f t="shared" si="1"/>
        <v>0</v>
      </c>
    </row>
    <row r="111" spans="1:9">
      <c r="A111" t="s">
        <v>114</v>
      </c>
      <c r="B111">
        <f>gng_fat / cal_dens_c</f>
        <v>26.05228222309815</v>
      </c>
      <c r="C111">
        <v>28.086406546933599</v>
      </c>
      <c r="D111">
        <v>28.074661419640901</v>
      </c>
      <c r="E111">
        <v>28.063207954617901</v>
      </c>
      <c r="F111">
        <v>28.052013919622901</v>
      </c>
      <c r="I111">
        <f t="shared" si="1"/>
        <v>2.0341243238354494</v>
      </c>
    </row>
    <row r="112" spans="1:9">
      <c r="A112" t="s">
        <v>115</v>
      </c>
      <c r="B112">
        <f>MIN( gng_fat / cal_dens_f, fat / time_step )</f>
        <v>11.535862255566766</v>
      </c>
      <c r="C112">
        <v>12.436565610824401</v>
      </c>
      <c r="D112">
        <v>12.431364908273199</v>
      </c>
      <c r="E112">
        <v>12.426293352786301</v>
      </c>
      <c r="F112">
        <v>12.4213366720364</v>
      </c>
      <c r="I112">
        <f t="shared" si="1"/>
        <v>0.9007033552576349</v>
      </c>
    </row>
    <row r="113" spans="1:9">
      <c r="A113" t="s">
        <v>116</v>
      </c>
      <c r="B113">
        <f>MAX( 0, base_gng_p * ( norm_p_ratio - eff_ci_on_gng_p + eff_pi_on_gng_p ) )</f>
        <v>100</v>
      </c>
      <c r="C113">
        <v>132.11452295802999</v>
      </c>
      <c r="D113">
        <v>131.94532956614501</v>
      </c>
      <c r="E113">
        <v>131.777112823875</v>
      </c>
      <c r="F113">
        <v>131.60985367233499</v>
      </c>
      <c r="I113">
        <f t="shared" si="1"/>
        <v>32.114522958029994</v>
      </c>
    </row>
    <row r="114" spans="1:9">
      <c r="A114" t="s">
        <v>117</v>
      </c>
      <c r="B114">
        <f>MIN( MAX( 0, gng_protein / cal_dens_p), protein / time_step )</f>
        <v>21.276595744680851</v>
      </c>
      <c r="C114">
        <v>28.1094729697937</v>
      </c>
      <c r="D114">
        <v>28.073474375775501</v>
      </c>
      <c r="E114">
        <v>28.037683579547799</v>
      </c>
      <c r="F114">
        <v>28.002096526028598</v>
      </c>
      <c r="I114">
        <f t="shared" si="1"/>
        <v>6.8328772251128491</v>
      </c>
    </row>
    <row r="115" spans="1:9">
      <c r="A115" t="s">
        <v>118</v>
      </c>
      <c r="B115">
        <f>baseline_gng_fat_endog + gngf_ex_b</f>
        <v>108.89853969255026</v>
      </c>
      <c r="C115">
        <v>108.89853969255</v>
      </c>
      <c r="D115">
        <v>108.89853969255</v>
      </c>
      <c r="E115">
        <v>108.89853969255</v>
      </c>
      <c r="F115">
        <v>108.89853969255</v>
      </c>
      <c r="I115">
        <f t="shared" si="1"/>
        <v>-2.5579538487363607E-13</v>
      </c>
    </row>
    <row r="116" spans="1:9">
      <c r="A116" t="s">
        <v>119</v>
      </c>
      <c r="B116">
        <f>exog_glycerol_per_kcal_fat_intake * fi_0 * cal_dens_c</f>
        <v>47.368939692550256</v>
      </c>
      <c r="C116">
        <v>47.368939692550299</v>
      </c>
      <c r="D116">
        <v>47.368939692550299</v>
      </c>
      <c r="E116">
        <v>47.368939692550299</v>
      </c>
      <c r="F116">
        <v>47.368939692550299</v>
      </c>
      <c r="I116">
        <f t="shared" si="1"/>
        <v>0</v>
      </c>
    </row>
    <row r="117" spans="1:9">
      <c r="A117" t="s">
        <v>120</v>
      </c>
      <c r="B117">
        <f>gng_protein / cal_dens_c</f>
        <v>23.923444976076556</v>
      </c>
      <c r="C117">
        <v>31.606345205270401</v>
      </c>
      <c r="D117">
        <v>31.5658683172595</v>
      </c>
      <c r="E117">
        <v>31.525625077482001</v>
      </c>
      <c r="F117">
        <v>31.4856109263958</v>
      </c>
      <c r="I117">
        <f t="shared" si="1"/>
        <v>7.6829002291938444</v>
      </c>
    </row>
    <row r="118" spans="1:9">
      <c r="A118" t="s">
        <v>121</v>
      </c>
      <c r="B118">
        <f>4</f>
        <v>4</v>
      </c>
      <c r="C118">
        <v>4</v>
      </c>
      <c r="D118">
        <v>4</v>
      </c>
      <c r="E118">
        <v>4</v>
      </c>
      <c r="F118">
        <v>4</v>
      </c>
      <c r="I118">
        <f t="shared" si="1"/>
        <v>0</v>
      </c>
    </row>
    <row r="119" spans="1:9">
      <c r="A119" t="s">
        <v>122</v>
      </c>
      <c r="B119">
        <f>fiew * baseline_ecw</f>
        <v>30624.999999999996</v>
      </c>
      <c r="C119">
        <v>30625</v>
      </c>
      <c r="D119">
        <v>30625</v>
      </c>
      <c r="E119">
        <v>30625</v>
      </c>
      <c r="F119">
        <v>30625</v>
      </c>
      <c r="I119">
        <f t="shared" si="1"/>
        <v>0</v>
      </c>
    </row>
    <row r="120" spans="1:9">
      <c r="A120" t="s">
        <v>123</v>
      </c>
      <c r="B120">
        <f>3967.28</f>
        <v>3967.28</v>
      </c>
      <c r="C120">
        <v>3967.28</v>
      </c>
      <c r="D120">
        <v>3967.28</v>
      </c>
      <c r="E120">
        <v>3967.28</v>
      </c>
      <c r="F120">
        <v>3967.28</v>
      </c>
      <c r="I120">
        <f t="shared" si="1"/>
        <v>0</v>
      </c>
    </row>
    <row r="121" spans="1:9">
      <c r="A121" t="s">
        <v>124</v>
      </c>
      <c r="B121">
        <f>glycogen_hydration_coefficient * carb + protein_hydration_coefficient * protein + ciw</f>
        <v>30624.999999999996</v>
      </c>
      <c r="C121">
        <v>36250</v>
      </c>
      <c r="D121">
        <v>36227.970980127</v>
      </c>
      <c r="E121">
        <v>36205.003162868503</v>
      </c>
      <c r="F121">
        <v>36181.2415039677</v>
      </c>
      <c r="I121">
        <f t="shared" si="1"/>
        <v>5625.0000000000036</v>
      </c>
    </row>
    <row r="122" spans="1:9">
      <c r="A122" t="s">
        <v>125</v>
      </c>
      <c r="B122">
        <f>IF(gap_carbox &lt; 0.1, 1, 0 )</f>
        <v>1</v>
      </c>
      <c r="C122">
        <v>1</v>
      </c>
      <c r="D122">
        <v>1</v>
      </c>
      <c r="E122">
        <v>1</v>
      </c>
      <c r="F122">
        <v>1</v>
      </c>
      <c r="I122">
        <f t="shared" si="1"/>
        <v>0</v>
      </c>
    </row>
    <row r="123" spans="1:9">
      <c r="A123" t="s">
        <v>126</v>
      </c>
      <c r="B123">
        <f>IF(gap_fatox &lt; 0.1, 1, 0 )</f>
        <v>1</v>
      </c>
      <c r="C123">
        <v>1</v>
      </c>
      <c r="D123">
        <v>1</v>
      </c>
      <c r="E123">
        <v>1</v>
      </c>
      <c r="F123">
        <v>1</v>
      </c>
      <c r="I123">
        <f t="shared" si="1"/>
        <v>0</v>
      </c>
    </row>
    <row r="124" spans="1:9">
      <c r="A124" t="s">
        <v>127</v>
      </c>
      <c r="B124">
        <f>2</f>
        <v>2</v>
      </c>
      <c r="C124">
        <v>2</v>
      </c>
      <c r="D124">
        <v>2</v>
      </c>
      <c r="E124">
        <v>2</v>
      </c>
      <c r="F124">
        <v>2</v>
      </c>
      <c r="I124">
        <f t="shared" si="1"/>
        <v>0</v>
      </c>
    </row>
    <row r="125" spans="1:9">
      <c r="A125" t="s">
        <v>128</v>
      </c>
      <c r="B125">
        <f>LN( ( lipol_max - lipol_min ) /( 1 - lipol_min ))</f>
        <v>3.0910424533583161</v>
      </c>
      <c r="C125">
        <v>3.0910424533583201</v>
      </c>
      <c r="D125">
        <v>3.0910424533583201</v>
      </c>
      <c r="E125">
        <v>3.0910424533583201</v>
      </c>
      <c r="F125">
        <v>3.0910424533583201</v>
      </c>
      <c r="I125">
        <f t="shared" si="1"/>
        <v>3.9968028886505635E-15</v>
      </c>
    </row>
    <row r="126" spans="1:9">
      <c r="A126" t="s">
        <v>129</v>
      </c>
      <c r="B126">
        <f>( ci_0 - dnl_b ) / see_b</f>
        <v>0.50580916744131621</v>
      </c>
      <c r="C126">
        <v>0.50580916744131599</v>
      </c>
      <c r="D126">
        <v>0.50580916744131599</v>
      </c>
      <c r="E126">
        <v>0.50580916744131599</v>
      </c>
      <c r="F126">
        <v>0.50580916744131599</v>
      </c>
      <c r="I126">
        <f t="shared" si="1"/>
        <v>0</v>
      </c>
    </row>
    <row r="127" spans="1:9">
      <c r="A127" t="s">
        <v>130</v>
      </c>
      <c r="B127">
        <f>( fi_0 + dnl_b - gngf_b ) / see_b</f>
        <v>0.35087823511697763</v>
      </c>
      <c r="C127">
        <v>0.35087823511697802</v>
      </c>
      <c r="D127">
        <v>0.35087823511697802</v>
      </c>
      <c r="E127">
        <v>0.35087823511697802</v>
      </c>
      <c r="F127">
        <v>0.35087823511697802</v>
      </c>
      <c r="I127">
        <f t="shared" si="1"/>
        <v>0</v>
      </c>
    </row>
    <row r="128" spans="1:9">
      <c r="A128" t="s">
        <v>131</v>
      </c>
      <c r="B128">
        <f>( pi_0 - base_gng_p ) / see_b</f>
        <v>0.14331259744170627</v>
      </c>
      <c r="C128">
        <v>0.14331259744170599</v>
      </c>
      <c r="D128">
        <v>0.14331259744170599</v>
      </c>
      <c r="E128">
        <v>0.14331259744170599</v>
      </c>
      <c r="F128">
        <v>0.14331259744170599</v>
      </c>
      <c r="I128">
        <f t="shared" si="1"/>
        <v>-2.7755575615628914E-16</v>
      </c>
    </row>
    <row r="129" spans="1:9">
      <c r="A129" t="s">
        <v>132</v>
      </c>
      <c r="B129">
        <f>base_bone_mass + extracel_water + cell_mass</f>
        <v>64924.999999999985</v>
      </c>
      <c r="C129">
        <v>73362.5</v>
      </c>
      <c r="D129">
        <v>73328.470514076398</v>
      </c>
      <c r="E129">
        <v>73293.176703056495</v>
      </c>
      <c r="F129">
        <v>73256.816777260596</v>
      </c>
      <c r="I129">
        <f t="shared" si="1"/>
        <v>8437.5000000000146</v>
      </c>
    </row>
    <row r="130" spans="1:9">
      <c r="A130" t="s">
        <v>133</v>
      </c>
      <c r="B130">
        <f>3.1</f>
        <v>3.1</v>
      </c>
      <c r="C130">
        <v>3.1</v>
      </c>
      <c r="D130">
        <v>3.1</v>
      </c>
      <c r="E130">
        <v>3.1</v>
      </c>
      <c r="F130">
        <v>3.1</v>
      </c>
      <c r="I130">
        <f t="shared" si="1"/>
        <v>0</v>
      </c>
    </row>
    <row r="131" spans="1:9">
      <c r="A131" t="s">
        <v>134</v>
      </c>
      <c r="B131">
        <f>0.9</f>
        <v>0.9</v>
      </c>
      <c r="C131">
        <v>0.9</v>
      </c>
      <c r="D131">
        <v>0.9</v>
      </c>
      <c r="E131">
        <v>0.9</v>
      </c>
      <c r="F131">
        <v>0.9</v>
      </c>
      <c r="I131">
        <f t="shared" si="1"/>
        <v>0</v>
      </c>
    </row>
    <row r="132" spans="1:9">
      <c r="A132" t="s">
        <v>135</v>
      </c>
      <c r="B132">
        <f>base_molar_lipolysis * normalized_lipolysis_rate * mass_tg</f>
        <v>137.6</v>
      </c>
      <c r="C132">
        <v>156.61464041846199</v>
      </c>
      <c r="D132">
        <v>156.50484901115999</v>
      </c>
      <c r="E132">
        <v>156.39778401203199</v>
      </c>
      <c r="F132">
        <v>156.29314411968801</v>
      </c>
      <c r="I132">
        <f t="shared" si="1"/>
        <v>19.014640418461994</v>
      </c>
    </row>
    <row r="133" spans="1:9">
      <c r="A133" t="s">
        <v>136</v>
      </c>
      <c r="B133">
        <f>1400</f>
        <v>1400</v>
      </c>
      <c r="C133">
        <v>1400</v>
      </c>
      <c r="D133">
        <v>1400</v>
      </c>
      <c r="E133">
        <v>1400</v>
      </c>
      <c r="F133">
        <v>1400</v>
      </c>
      <c r="I133">
        <f t="shared" si="1"/>
        <v>0</v>
      </c>
    </row>
    <row r="134" spans="1:9">
      <c r="A134" t="s">
        <v>137</v>
      </c>
      <c r="B134">
        <f>( cal_dens_f * mass_tg - cal_dens_c * mass_of_glycerol ) / ( 3 * cal_dens_f)</f>
        <v>273.08757062146896</v>
      </c>
      <c r="C134">
        <v>273.08757062146901</v>
      </c>
      <c r="D134">
        <v>273.08757062146901</v>
      </c>
      <c r="E134">
        <v>273.08757062146901</v>
      </c>
      <c r="F134">
        <v>273.08757062146901</v>
      </c>
      <c r="I134">
        <f t="shared" ref="I134:I197" si="2">C134-B134</f>
        <v>0</v>
      </c>
    </row>
    <row r="135" spans="1:9">
      <c r="A135" t="s">
        <v>138</v>
      </c>
      <c r="B135">
        <f>92</f>
        <v>92</v>
      </c>
      <c r="C135">
        <v>92</v>
      </c>
      <c r="D135">
        <v>92</v>
      </c>
      <c r="E135">
        <v>92</v>
      </c>
      <c r="F135">
        <v>92</v>
      </c>
      <c r="I135">
        <f t="shared" si="2"/>
        <v>0</v>
      </c>
    </row>
    <row r="136" spans="1:9">
      <c r="A136" t="s">
        <v>139</v>
      </c>
      <c r="B136">
        <f>860</f>
        <v>860</v>
      </c>
      <c r="C136">
        <v>860</v>
      </c>
      <c r="D136">
        <v>860</v>
      </c>
      <c r="E136">
        <v>860</v>
      </c>
      <c r="F136">
        <v>860</v>
      </c>
      <c r="I136">
        <f t="shared" si="2"/>
        <v>0</v>
      </c>
    </row>
    <row r="137" spans="1:9">
      <c r="A137" t="s">
        <v>140</v>
      </c>
      <c r="B137">
        <f>mbc_lean_b + mbc_brain + mbc_fat</f>
        <v>1372.5863899999999</v>
      </c>
      <c r="C137">
        <v>1372.5863899999999</v>
      </c>
      <c r="D137">
        <v>1372.5863899999999</v>
      </c>
      <c r="E137">
        <v>1372.5863899999999</v>
      </c>
      <c r="F137">
        <v>1372.5863899999999</v>
      </c>
      <c r="I137">
        <f t="shared" si="2"/>
        <v>0</v>
      </c>
    </row>
    <row r="138" spans="1:9">
      <c r="A138" t="s">
        <v>141</v>
      </c>
      <c r="B138">
        <f>base_rmr_brain * mass_brain</f>
        <v>336</v>
      </c>
      <c r="C138">
        <v>336</v>
      </c>
      <c r="D138">
        <v>336</v>
      </c>
      <c r="E138">
        <v>336</v>
      </c>
      <c r="F138">
        <v>336</v>
      </c>
      <c r="I138">
        <f t="shared" si="2"/>
        <v>0</v>
      </c>
    </row>
    <row r="139" spans="1:9">
      <c r="A139" t="s">
        <v>142</v>
      </c>
      <c r="B139">
        <f>base_rmr_fat * baseline_fat</f>
        <v>22.837500000000063</v>
      </c>
      <c r="C139">
        <v>22.837500000000102</v>
      </c>
      <c r="D139">
        <v>22.837500000000102</v>
      </c>
      <c r="E139">
        <v>22.837500000000102</v>
      </c>
      <c r="F139">
        <v>22.837500000000102</v>
      </c>
      <c r="I139">
        <f t="shared" si="2"/>
        <v>3.907985046680551E-14</v>
      </c>
    </row>
    <row r="140" spans="1:9">
      <c r="A140" t="s">
        <v>143</v>
      </c>
      <c r="B140">
        <f>basal_rmr_of_lean_tissues * ( cell_mass_b - mass_brain )</f>
        <v>1013.7488899999998</v>
      </c>
      <c r="C140">
        <v>1013.74889</v>
      </c>
      <c r="D140">
        <v>1013.74889</v>
      </c>
      <c r="E140">
        <v>1013.74889</v>
      </c>
      <c r="F140">
        <v>1013.74889</v>
      </c>
      <c r="I140">
        <f t="shared" si="2"/>
        <v>0</v>
      </c>
    </row>
    <row r="141" spans="1:9">
      <c r="A141" t="s">
        <v>144</v>
      </c>
      <c r="B141">
        <f>baseline_basal_rmr_of_lean_tissues * ( cell_mass_b - mass_brain )</f>
        <v>1013.7488899999998</v>
      </c>
      <c r="C141">
        <v>1013.74889</v>
      </c>
      <c r="D141">
        <v>1013.74889</v>
      </c>
      <c r="E141">
        <v>1013.74889</v>
      </c>
      <c r="F141">
        <v>1013.74889</v>
      </c>
      <c r="I141">
        <f t="shared" si="2"/>
        <v>0</v>
      </c>
    </row>
    <row r="142" spans="1:9">
      <c r="A142" t="s">
        <v>145</v>
      </c>
      <c r="B142">
        <f>( 1 - efficiency_dnl ) * dnl_b + ( 1- efficiency_gng ) * ( gngf_b + base_gng_p )</f>
        <v>59.426766762039449</v>
      </c>
      <c r="C142">
        <v>59.426766762039399</v>
      </c>
      <c r="D142">
        <v>59.426766762039399</v>
      </c>
      <c r="E142">
        <v>59.426766762039399</v>
      </c>
      <c r="F142">
        <v>59.426766762039399</v>
      </c>
      <c r="I142">
        <f t="shared" si="2"/>
        <v>0</v>
      </c>
    </row>
    <row r="143" spans="1:9">
      <c r="A143" t="s">
        <v>146</v>
      </c>
      <c r="B143">
        <f>mbc_lean + mbc_brain + mbc_fat</f>
        <v>1372.5863899999999</v>
      </c>
      <c r="C143">
        <v>1372.5863899999999</v>
      </c>
      <c r="D143">
        <v>1372.5863899999999</v>
      </c>
      <c r="E143">
        <v>1372.5863899999999</v>
      </c>
      <c r="F143">
        <v>1372.5863899999999</v>
      </c>
      <c r="I143">
        <f t="shared" si="2"/>
        <v>0</v>
      </c>
    </row>
    <row r="144" spans="1:9">
      <c r="A144" t="s">
        <v>147</v>
      </c>
      <c r="B144">
        <f>( 1 - efficiency_dnl ) * dnl + ( 1- efficiency_gng ) * ( gng_fat + gng_protein )</f>
        <v>59.426766762039449</v>
      </c>
      <c r="C144">
        <v>67.5501992883719</v>
      </c>
      <c r="D144">
        <v>67.978595316731599</v>
      </c>
      <c r="E144">
        <v>68.345183129929197</v>
      </c>
      <c r="F144">
        <v>68.656363841549805</v>
      </c>
      <c r="I144">
        <f t="shared" si="2"/>
        <v>8.1234325263324507</v>
      </c>
    </row>
    <row r="145" spans="1:9">
      <c r="A145" t="s">
        <v>148</v>
      </c>
      <c r="B145">
        <f>( deg_cost_p + dep_cost_p ) * proteolysis +dep_cost_fat * lipolysis +dep_cost_c * glycogenolysis</f>
        <v>373.53976329999995</v>
      </c>
      <c r="C145">
        <v>476.84724388524899</v>
      </c>
      <c r="D145">
        <v>476.568892080578</v>
      </c>
      <c r="E145">
        <v>476.25501100463202</v>
      </c>
      <c r="F145">
        <v>475.91070583796602</v>
      </c>
      <c r="I145">
        <f t="shared" si="2"/>
        <v>103.30748058524904</v>
      </c>
    </row>
    <row r="146" spans="1:9">
      <c r="A146" t="s">
        <v>149</v>
      </c>
      <c r="B146">
        <f>carbohydrate_intake + fat_intake + protein_intake</f>
        <v>3000</v>
      </c>
      <c r="C146">
        <v>3000</v>
      </c>
      <c r="D146">
        <v>3000</v>
      </c>
      <c r="E146">
        <v>3000</v>
      </c>
      <c r="F146">
        <v>3000</v>
      </c>
      <c r="I146">
        <f t="shared" si="2"/>
        <v>0</v>
      </c>
    </row>
    <row r="147" spans="1:9">
      <c r="A147" t="s">
        <v>150</v>
      </c>
      <c r="B147">
        <f>2.73</f>
        <v>2.73</v>
      </c>
      <c r="C147">
        <v>2.73</v>
      </c>
      <c r="D147">
        <v>2.73</v>
      </c>
      <c r="E147">
        <v>2.73</v>
      </c>
      <c r="F147">
        <v>2.73</v>
      </c>
      <c r="I147">
        <f t="shared" si="2"/>
        <v>0</v>
      </c>
    </row>
    <row r="148" spans="1:9">
      <c r="A148" t="s">
        <v>151</v>
      </c>
      <c r="B148">
        <f>cal_dens_c * mass_of_glycerol</f>
        <v>384.55999999999995</v>
      </c>
      <c r="C148">
        <v>384.56</v>
      </c>
      <c r="D148">
        <v>384.56</v>
      </c>
      <c r="E148">
        <v>384.56</v>
      </c>
      <c r="F148">
        <v>384.56</v>
      </c>
      <c r="I148">
        <f t="shared" si="2"/>
        <v>0</v>
      </c>
    </row>
    <row r="149" spans="1:9">
      <c r="A149" t="s">
        <v>152</v>
      </c>
      <c r="B149">
        <f>cal_dens_f * mass_tg</f>
        <v>8118.4</v>
      </c>
      <c r="C149">
        <v>8118.4</v>
      </c>
      <c r="D149">
        <v>8118.4</v>
      </c>
      <c r="E149">
        <v>8118.4</v>
      </c>
      <c r="F149">
        <v>8118.4</v>
      </c>
      <c r="I149">
        <f t="shared" si="2"/>
        <v>0</v>
      </c>
    </row>
    <row r="150" spans="1:9">
      <c r="A150" t="s">
        <v>153</v>
      </c>
      <c r="B150">
        <f>( deg_cost_p + dep_cost_p ) * baseline_proteolysis +dep_cost_fat * df_b +dep_cost_c * base_deg_c</f>
        <v>373.53976329999995</v>
      </c>
      <c r="C150">
        <v>373.5397633</v>
      </c>
      <c r="D150">
        <v>373.5397633</v>
      </c>
      <c r="E150">
        <v>373.5397633</v>
      </c>
      <c r="F150">
        <v>373.5397633</v>
      </c>
      <c r="I150">
        <f t="shared" si="2"/>
        <v>0</v>
      </c>
    </row>
    <row r="151" spans="1:9">
      <c r="A151" t="s">
        <v>154</v>
      </c>
      <c r="B151">
        <f>protein / baseline_protein</f>
        <v>1</v>
      </c>
      <c r="C151">
        <v>1.3211452295802999</v>
      </c>
      <c r="D151">
        <v>1.31945329566145</v>
      </c>
      <c r="E151">
        <v>1.3177711282387501</v>
      </c>
      <c r="F151">
        <v>1.31609853672335</v>
      </c>
      <c r="I151">
        <f t="shared" si="2"/>
        <v>0.3211452295802999</v>
      </c>
    </row>
    <row r="152" spans="1:9">
      <c r="A152" t="s">
        <v>155</v>
      </c>
      <c r="B152">
        <f>activity_energy_per_body_weight / baseline_activity_energy_per_body_weight</f>
        <v>1</v>
      </c>
      <c r="C152">
        <v>1</v>
      </c>
      <c r="D152">
        <v>1</v>
      </c>
      <c r="E152">
        <v>1</v>
      </c>
      <c r="F152">
        <v>1</v>
      </c>
      <c r="I152">
        <f t="shared" si="2"/>
        <v>0</v>
      </c>
    </row>
    <row r="153" spans="1:9">
      <c r="A153" t="s">
        <v>156</v>
      </c>
      <c r="B153">
        <f>change_in_carbohydrate_intake / baseline_carbohydrate_intake</f>
        <v>0</v>
      </c>
      <c r="C153">
        <v>0</v>
      </c>
      <c r="D153">
        <v>0</v>
      </c>
      <c r="E153">
        <v>0</v>
      </c>
      <c r="F153">
        <v>0</v>
      </c>
      <c r="I153">
        <f t="shared" si="2"/>
        <v>0</v>
      </c>
    </row>
    <row r="154" spans="1:9">
      <c r="A154" t="s">
        <v>157</v>
      </c>
      <c r="B154">
        <f>change_in_protein_intake / baseline_protein_intake</f>
        <v>0</v>
      </c>
      <c r="C154">
        <v>0</v>
      </c>
      <c r="D154">
        <v>0</v>
      </c>
      <c r="E154">
        <v>0</v>
      </c>
      <c r="F154">
        <v>0</v>
      </c>
      <c r="I154">
        <f t="shared" si="2"/>
        <v>0</v>
      </c>
    </row>
    <row r="155" spans="1:9">
      <c r="A155" t="s">
        <v>158</v>
      </c>
      <c r="B155">
        <f>carb / base_carb</f>
        <v>1</v>
      </c>
      <c r="C155">
        <v>1</v>
      </c>
      <c r="D155">
        <v>1.00704254367287</v>
      </c>
      <c r="E155">
        <v>1.01305743747258</v>
      </c>
      <c r="F155">
        <v>1.0181819906501599</v>
      </c>
      <c r="I155">
        <f t="shared" si="2"/>
        <v>0</v>
      </c>
    </row>
    <row r="156" spans="1:9">
      <c r="A156" t="s">
        <v>159</v>
      </c>
      <c r="B156">
        <f>glycogenolysis / base_deg_c</f>
        <v>1</v>
      </c>
      <c r="C156">
        <v>1</v>
      </c>
      <c r="D156">
        <v>1.00704254367287</v>
      </c>
      <c r="E156">
        <v>1.01305743747258</v>
      </c>
      <c r="F156">
        <v>1.0181819906501599</v>
      </c>
      <c r="I156">
        <f t="shared" si="2"/>
        <v>0</v>
      </c>
    </row>
    <row r="157" spans="1:9">
      <c r="A157" t="s">
        <v>160</v>
      </c>
      <c r="B157">
        <f>effect_of_carb_intake_on_lipolysis * effect_of_obesity_on_lipolysis</f>
        <v>1</v>
      </c>
      <c r="C157">
        <v>1.1381877937388201</v>
      </c>
      <c r="D157">
        <v>1.13738989106948</v>
      </c>
      <c r="E157">
        <v>1.1366118024130301</v>
      </c>
      <c r="F157">
        <v>1.13585133807913</v>
      </c>
      <c r="I157">
        <f t="shared" si="2"/>
        <v>0.13818779373882006</v>
      </c>
    </row>
    <row r="158" spans="1:9">
      <c r="A158" t="s">
        <v>161</v>
      </c>
      <c r="B158">
        <f>proteolysis / baseline_proteolysis</f>
        <v>1</v>
      </c>
      <c r="C158">
        <v>1.3211452295802999</v>
      </c>
      <c r="D158">
        <v>1.31945329566145</v>
      </c>
      <c r="E158">
        <v>1.3177711282387501</v>
      </c>
      <c r="F158">
        <v>1.31609853672335</v>
      </c>
      <c r="I158">
        <f t="shared" si="2"/>
        <v>0.3211452295802999</v>
      </c>
    </row>
    <row r="159" spans="1:9">
      <c r="A159" t="s">
        <v>162</v>
      </c>
      <c r="B159">
        <f>1</f>
        <v>1</v>
      </c>
      <c r="C159">
        <v>1</v>
      </c>
      <c r="D159">
        <v>1</v>
      </c>
      <c r="E159">
        <v>1</v>
      </c>
      <c r="F159">
        <v>1</v>
      </c>
      <c r="I159">
        <f t="shared" si="2"/>
        <v>0</v>
      </c>
    </row>
    <row r="160" spans="1:9">
      <c r="A160" t="s">
        <v>163</v>
      </c>
      <c r="B160">
        <f>baseline_protein</f>
        <v>8757.7199999999957</v>
      </c>
      <c r="C160">
        <v>8757.7199999999993</v>
      </c>
      <c r="D160">
        <v>8757.7199999999993</v>
      </c>
      <c r="E160">
        <v>8757.7199999999993</v>
      </c>
      <c r="F160">
        <v>8757.7199999999993</v>
      </c>
      <c r="I160">
        <f t="shared" si="2"/>
        <v>0</v>
      </c>
    </row>
    <row r="161" spans="1:9">
      <c r="A161" t="s">
        <v>164</v>
      </c>
      <c r="B161">
        <f>baseline_metabolizable_energy_intake - tef_b - rmr_b</f>
        <v>931.94707993796055</v>
      </c>
      <c r="C161">
        <v>931.94707993796101</v>
      </c>
      <c r="D161">
        <v>931.94707993796101</v>
      </c>
      <c r="E161">
        <v>931.94707993796101</v>
      </c>
      <c r="F161">
        <v>931.94707993796101</v>
      </c>
      <c r="I161">
        <f t="shared" si="2"/>
        <v>0</v>
      </c>
    </row>
    <row r="162" spans="1:9">
      <c r="A162" t="s">
        <v>165</v>
      </c>
      <c r="B162">
        <f>activity_energy_spent_per_body_weight * body_weight</f>
        <v>931.94707993796055</v>
      </c>
      <c r="C162">
        <v>1058.7584504567601</v>
      </c>
      <c r="D162">
        <v>1058.2191395105301</v>
      </c>
      <c r="E162">
        <v>1057.6651670890401</v>
      </c>
      <c r="F162">
        <v>1057.0989333651401</v>
      </c>
      <c r="I162">
        <f t="shared" si="2"/>
        <v>126.81137051879955</v>
      </c>
    </row>
    <row r="163" spans="1:9">
      <c r="A163" t="s">
        <v>166</v>
      </c>
      <c r="B163">
        <f>protein_intake / cal_dens_p</f>
        <v>106.38297872340425</v>
      </c>
      <c r="C163">
        <v>106.38297872340399</v>
      </c>
      <c r="D163">
        <v>106.38297872340399</v>
      </c>
      <c r="E163">
        <v>106.38297872340399</v>
      </c>
      <c r="F163">
        <v>106.38297872340399</v>
      </c>
      <c r="I163">
        <f t="shared" si="2"/>
        <v>-2.5579538487363607E-13</v>
      </c>
    </row>
    <row r="164" spans="1:9">
      <c r="A164" t="s">
        <v>167</v>
      </c>
      <c r="B164">
        <f>500</f>
        <v>500</v>
      </c>
      <c r="C164">
        <v>500</v>
      </c>
      <c r="D164">
        <v>500</v>
      </c>
      <c r="E164">
        <v>500</v>
      </c>
      <c r="F164">
        <v>500</v>
      </c>
      <c r="I164">
        <f t="shared" si="2"/>
        <v>0</v>
      </c>
    </row>
    <row r="165" spans="1:9">
      <c r="A165" t="s">
        <v>168</v>
      </c>
      <c r="B165">
        <f>500</f>
        <v>500</v>
      </c>
      <c r="C165">
        <v>500</v>
      </c>
      <c r="D165">
        <v>500</v>
      </c>
      <c r="E165">
        <v>500</v>
      </c>
      <c r="F165">
        <v>500</v>
      </c>
      <c r="I165">
        <f t="shared" si="2"/>
        <v>0</v>
      </c>
    </row>
    <row r="166" spans="1:9">
      <c r="A166" t="s">
        <v>169</v>
      </c>
      <c r="B166">
        <f>fat / time_step * cal_dens_f</f>
        <v>95816.000000000276</v>
      </c>
      <c r="C166">
        <v>116347.99999811201</v>
      </c>
      <c r="D166">
        <v>116225.67645649399</v>
      </c>
      <c r="E166">
        <v>116106.431842673</v>
      </c>
      <c r="F166">
        <v>115989.927645945</v>
      </c>
      <c r="I166">
        <f t="shared" si="2"/>
        <v>20531.999998111729</v>
      </c>
    </row>
    <row r="167" spans="1:9">
      <c r="A167" t="s">
        <v>170</v>
      </c>
      <c r="B167">
        <f>actual_carbox * cal_dens_c</f>
        <v>1620.5143742132045</v>
      </c>
      <c r="C167">
        <v>1635.8448079237401</v>
      </c>
      <c r="D167">
        <v>1636.9508039795301</v>
      </c>
      <c r="E167">
        <v>1637.8834447087099</v>
      </c>
      <c r="F167">
        <v>1638.6651685566101</v>
      </c>
      <c r="I167">
        <f t="shared" si="2"/>
        <v>15.330433710535544</v>
      </c>
    </row>
    <row r="168" spans="1:9">
      <c r="A168" t="s">
        <v>171</v>
      </c>
      <c r="B168">
        <f>actual_fatox * cal_dens_f</f>
        <v>979.44245391851302</v>
      </c>
      <c r="C168">
        <v>1094.81986346598</v>
      </c>
      <c r="D168">
        <v>1093.9679907341999</v>
      </c>
      <c r="E168">
        <v>1093.16167446431</v>
      </c>
      <c r="F168">
        <v>1092.3944746443001</v>
      </c>
      <c r="I168">
        <f t="shared" si="2"/>
        <v>115.37740954746698</v>
      </c>
    </row>
    <row r="169" spans="1:9">
      <c r="A169" t="s">
        <v>172</v>
      </c>
      <c r="B169">
        <f>actual_protox * cal_dens_p</f>
        <v>400.04317186828263</v>
      </c>
      <c r="C169">
        <v>507.57761224066502</v>
      </c>
      <c r="D169">
        <v>506.93422219410098</v>
      </c>
      <c r="E169">
        <v>506.30663205058801</v>
      </c>
      <c r="F169">
        <v>505.69274984374698</v>
      </c>
      <c r="I169">
        <f t="shared" si="2"/>
        <v>107.53444037238239</v>
      </c>
    </row>
    <row r="170" spans="1:9">
      <c r="A170" t="s">
        <v>173</v>
      </c>
      <c r="B170">
        <f>( normalized_proteolysis + MAX( 0, eff_of_prot_intake_on_prot_oxidation )  ) * eff_of_physical_activity_on_prot_oxidation</f>
        <v>1.1000000000000001</v>
      </c>
      <c r="C170">
        <v>1.4211452295803</v>
      </c>
      <c r="D170">
        <v>1.4194532956614501</v>
      </c>
      <c r="E170">
        <v>1.41777112823875</v>
      </c>
      <c r="F170">
        <v>1.4160985367233501</v>
      </c>
      <c r="I170">
        <f t="shared" si="2"/>
        <v>0.3211452295802999</v>
      </c>
    </row>
    <row r="171" spans="1:9">
      <c r="A171" t="s">
        <v>174</v>
      </c>
      <c r="B171">
        <f>p_init</f>
        <v>8757.7199999999957</v>
      </c>
      <c r="C171">
        <v>11570.22</v>
      </c>
      <c r="D171">
        <v>11555.402516480201</v>
      </c>
      <c r="E171">
        <v>11540.670565199</v>
      </c>
      <c r="F171">
        <v>11526.0224770328</v>
      </c>
      <c r="G171" t="s">
        <v>224</v>
      </c>
      <c r="H171" t="e">
        <f>pi-gng_protein_out-actual_protox-sec_protox</f>
        <v>#VALUE!</v>
      </c>
      <c r="I171">
        <f t="shared" si="2"/>
        <v>2812.5000000000036</v>
      </c>
    </row>
    <row r="172" spans="1:9">
      <c r="A172" t="s">
        <v>175</v>
      </c>
      <c r="B172">
        <f>0.2</f>
        <v>0.2</v>
      </c>
      <c r="C172">
        <v>0.2</v>
      </c>
      <c r="D172">
        <v>0.2</v>
      </c>
      <c r="E172">
        <v>0.2</v>
      </c>
      <c r="F172">
        <v>0.2</v>
      </c>
      <c r="I172">
        <f t="shared" si="2"/>
        <v>0</v>
      </c>
    </row>
    <row r="173" spans="1:9">
      <c r="A173" t="s">
        <v>176</v>
      </c>
      <c r="B173">
        <f>2</f>
        <v>2</v>
      </c>
      <c r="C173">
        <v>2</v>
      </c>
      <c r="D173">
        <v>2</v>
      </c>
      <c r="E173">
        <v>2</v>
      </c>
      <c r="F173">
        <v>2</v>
      </c>
      <c r="I173">
        <f t="shared" si="2"/>
        <v>0</v>
      </c>
    </row>
    <row r="174" spans="1:9">
      <c r="A174" t="s">
        <v>177</v>
      </c>
      <c r="B174">
        <f>IF(read_from_data = 1, protein_intake_data, pi_input )</f>
        <v>500</v>
      </c>
      <c r="C174">
        <v>500</v>
      </c>
      <c r="D174">
        <v>500</v>
      </c>
      <c r="E174">
        <v>500</v>
      </c>
      <c r="F174">
        <v>500</v>
      </c>
      <c r="I174">
        <f t="shared" si="2"/>
        <v>0</v>
      </c>
    </row>
    <row r="175" spans="1:9">
      <c r="A175" t="s">
        <v>178</v>
      </c>
      <c r="B175">
        <f>0</f>
        <v>0</v>
      </c>
      <c r="C175">
        <v>0</v>
      </c>
      <c r="D175">
        <v>0</v>
      </c>
      <c r="E175">
        <v>0</v>
      </c>
      <c r="F175">
        <v>0</v>
      </c>
      <c r="I175">
        <f t="shared" si="2"/>
        <v>0</v>
      </c>
    </row>
    <row r="176" spans="1:9">
      <c r="A176" t="s">
        <v>179</v>
      </c>
      <c r="B176">
        <f>baseline_proteolysis * protein / baseline_protein</f>
        <v>300.3</v>
      </c>
      <c r="C176">
        <v>396.73991244296502</v>
      </c>
      <c r="D176">
        <v>396.23182468713298</v>
      </c>
      <c r="E176">
        <v>395.72666981009598</v>
      </c>
      <c r="F176">
        <v>395.22439057802097</v>
      </c>
      <c r="I176">
        <f t="shared" si="2"/>
        <v>96.43991244296501</v>
      </c>
    </row>
    <row r="177" spans="1:9">
      <c r="A177" t="s">
        <v>180</v>
      </c>
      <c r="B177">
        <f>0</f>
        <v>0</v>
      </c>
      <c r="C177">
        <v>0</v>
      </c>
      <c r="D177">
        <v>0</v>
      </c>
      <c r="E177">
        <v>0</v>
      </c>
      <c r="F177">
        <v>0</v>
      </c>
      <c r="I177">
        <f t="shared" si="2"/>
        <v>0</v>
      </c>
    </row>
    <row r="178" spans="1:9">
      <c r="A178" t="s">
        <v>181</v>
      </c>
      <c r="B178">
        <f>metabolism_of_body_cells + metabolism_of_turnovers + metabolism_of_conversions + ec</f>
        <v>1805.5529200620394</v>
      </c>
      <c r="C178">
        <v>1916.98383317362</v>
      </c>
      <c r="D178">
        <v>1917.13387739731</v>
      </c>
      <c r="E178">
        <v>1917.18658413456</v>
      </c>
      <c r="F178">
        <v>1917.15345967952</v>
      </c>
      <c r="I178">
        <f t="shared" si="2"/>
        <v>111.43091311158059</v>
      </c>
    </row>
    <row r="179" spans="1:9">
      <c r="A179" t="s">
        <v>182</v>
      </c>
      <c r="B179">
        <f>mbc_b + mt_b + mc_b</f>
        <v>1805.5529200620394</v>
      </c>
      <c r="C179">
        <v>1805.5529200620399</v>
      </c>
      <c r="D179">
        <v>1805.5529200620399</v>
      </c>
      <c r="E179">
        <v>1805.5529200620399</v>
      </c>
      <c r="F179">
        <v>1805.5529200620399</v>
      </c>
      <c r="I179">
        <f t="shared" si="2"/>
        <v>0</v>
      </c>
    </row>
    <row r="180" spans="1:9">
      <c r="A180" t="s">
        <v>183</v>
      </c>
      <c r="B180">
        <f>sec_frac_carb * gap_total / cal_dens_c</f>
        <v>0</v>
      </c>
      <c r="C180">
        <v>0</v>
      </c>
      <c r="D180">
        <v>0</v>
      </c>
      <c r="E180">
        <v>0</v>
      </c>
      <c r="F180">
        <v>0</v>
      </c>
      <c r="I180">
        <f t="shared" si="2"/>
        <v>0</v>
      </c>
    </row>
    <row r="181" spans="1:9">
      <c r="A181" t="s">
        <v>184</v>
      </c>
      <c r="B181">
        <f>sec_carbox * cal_dens_c</f>
        <v>0</v>
      </c>
      <c r="C181">
        <v>0</v>
      </c>
      <c r="D181">
        <v>0</v>
      </c>
      <c r="E181">
        <v>0</v>
      </c>
      <c r="F181">
        <v>0</v>
      </c>
      <c r="I181">
        <f t="shared" si="2"/>
        <v>0</v>
      </c>
    </row>
    <row r="182" spans="1:9">
      <c r="A182" t="s">
        <v>185</v>
      </c>
      <c r="B182">
        <f>sec_frac_fat * gap_total / cal_dens_f</f>
        <v>0</v>
      </c>
      <c r="C182">
        <v>0</v>
      </c>
      <c r="D182">
        <v>0</v>
      </c>
      <c r="E182">
        <v>0</v>
      </c>
      <c r="F182">
        <v>0</v>
      </c>
      <c r="I182">
        <f t="shared" si="2"/>
        <v>0</v>
      </c>
    </row>
    <row r="183" spans="1:9">
      <c r="A183" t="s">
        <v>186</v>
      </c>
      <c r="B183">
        <f>sec_fatox * cal_dens_f</f>
        <v>0</v>
      </c>
      <c r="C183">
        <v>0</v>
      </c>
      <c r="D183">
        <v>0</v>
      </c>
      <c r="E183">
        <v>0</v>
      </c>
      <c r="F183">
        <v>0</v>
      </c>
      <c r="I183">
        <f t="shared" si="2"/>
        <v>0</v>
      </c>
    </row>
    <row r="184" spans="1:9">
      <c r="A184" t="s">
        <v>187</v>
      </c>
      <c r="B184">
        <f>is_sufficient_carb * carb_term / y_</f>
        <v>0.50575582958749177</v>
      </c>
      <c r="C184">
        <v>0.46385277069863501</v>
      </c>
      <c r="D184">
        <v>0.46432242668281898</v>
      </c>
      <c r="E184">
        <v>0.464751151397579</v>
      </c>
      <c r="F184">
        <v>0.46514435472924798</v>
      </c>
      <c r="I184">
        <f t="shared" si="2"/>
        <v>-4.1903058888856759E-2</v>
      </c>
    </row>
    <row r="185" spans="1:9">
      <c r="A185" t="s">
        <v>188</v>
      </c>
      <c r="B185">
        <f>is_sufficient_fat * fat_term / y_</f>
        <v>0.35091610528935191</v>
      </c>
      <c r="C185">
        <v>0.36631650091842999</v>
      </c>
      <c r="D185">
        <v>0.36605241333963601</v>
      </c>
      <c r="E185">
        <v>0.36581751899056197</v>
      </c>
      <c r="F185">
        <v>0.36560792344313597</v>
      </c>
      <c r="I185">
        <f t="shared" si="2"/>
        <v>1.5400395629078079E-2</v>
      </c>
    </row>
    <row r="186" spans="1:9">
      <c r="A186" t="s">
        <v>189</v>
      </c>
      <c r="B186">
        <f>prot_term / y_</f>
        <v>0.14332806512315624</v>
      </c>
      <c r="C186">
        <v>0.169830728382935</v>
      </c>
      <c r="D186">
        <v>0.16962515997754499</v>
      </c>
      <c r="E186">
        <v>0.169431329611859</v>
      </c>
      <c r="F186">
        <v>0.16924772182761499</v>
      </c>
      <c r="I186">
        <f t="shared" si="2"/>
        <v>2.6502663259778764E-2</v>
      </c>
    </row>
    <row r="187" spans="1:9">
      <c r="A187" t="s">
        <v>190</v>
      </c>
      <c r="B187">
        <f>MIN( sec_frac_prot * gap_total / cal_dens_p,  protein / time_step )</f>
        <v>0</v>
      </c>
      <c r="C187">
        <v>0</v>
      </c>
      <c r="D187">
        <v>0</v>
      </c>
      <c r="E187">
        <v>0</v>
      </c>
      <c r="F187">
        <v>0</v>
      </c>
      <c r="I187">
        <f t="shared" si="2"/>
        <v>0</v>
      </c>
    </row>
    <row r="188" spans="1:9">
      <c r="A188" t="s">
        <v>191</v>
      </c>
      <c r="B188">
        <f>sec_protox * cal_dens_p</f>
        <v>0</v>
      </c>
      <c r="C188">
        <v>0</v>
      </c>
      <c r="D188">
        <v>0</v>
      </c>
      <c r="E188">
        <v>0</v>
      </c>
      <c r="F188">
        <v>0</v>
      </c>
      <c r="I188">
        <f t="shared" si="2"/>
        <v>0</v>
      </c>
    </row>
    <row r="189" spans="1:9">
      <c r="A189" t="s">
        <v>192</v>
      </c>
      <c r="B189">
        <f>tee_b - base_gng_p - gngf_b</f>
        <v>2791.1014603074495</v>
      </c>
      <c r="C189">
        <v>2791.10146030745</v>
      </c>
      <c r="D189">
        <v>2791.10146030745</v>
      </c>
      <c r="E189">
        <v>2791.10146030745</v>
      </c>
      <c r="F189">
        <v>2791.10146030745</v>
      </c>
      <c r="I189">
        <f t="shared" si="2"/>
        <v>0</v>
      </c>
    </row>
    <row r="190" spans="1:9">
      <c r="A190" t="s">
        <v>193</v>
      </c>
      <c r="B190">
        <f>0.761188</f>
        <v>0.76118799999999998</v>
      </c>
      <c r="C190">
        <v>0.76118799999999998</v>
      </c>
      <c r="D190">
        <v>0.76118799999999998</v>
      </c>
      <c r="E190">
        <v>0.76118799999999998</v>
      </c>
      <c r="F190">
        <v>0.76118799999999998</v>
      </c>
      <c r="I190">
        <f t="shared" si="2"/>
        <v>0</v>
      </c>
    </row>
    <row r="191" spans="1:9">
      <c r="A191" t="s">
        <v>194</v>
      </c>
      <c r="B191">
        <f>15.0253</f>
        <v>15.0253</v>
      </c>
      <c r="C191">
        <v>15.0253</v>
      </c>
      <c r="D191">
        <v>15.0253</v>
      </c>
      <c r="E191">
        <v>15.0253</v>
      </c>
      <c r="F191">
        <v>15.0253</v>
      </c>
      <c r="I191">
        <f t="shared" si="2"/>
        <v>0</v>
      </c>
    </row>
    <row r="192" spans="1:9">
      <c r="A192" t="s">
        <v>195</v>
      </c>
      <c r="B192">
        <f>4</f>
        <v>4</v>
      </c>
      <c r="C192">
        <v>4</v>
      </c>
      <c r="D192">
        <v>4</v>
      </c>
      <c r="E192">
        <v>4</v>
      </c>
      <c r="F192">
        <v>4</v>
      </c>
      <c r="I192">
        <f t="shared" si="2"/>
        <v>0</v>
      </c>
    </row>
    <row r="193" spans="1:9">
      <c r="A193" t="s">
        <v>196</v>
      </c>
      <c r="B193">
        <f>total_energy_expenditure - gng_protein - gng_fat</f>
        <v>2791.1014603074495</v>
      </c>
      <c r="C193">
        <v>2988.7265813061699</v>
      </c>
      <c r="D193">
        <v>2988.5556026075901</v>
      </c>
      <c r="E193">
        <v>2988.2704291494301</v>
      </c>
      <c r="F193">
        <v>2987.8851211882902</v>
      </c>
      <c r="I193">
        <f t="shared" si="2"/>
        <v>197.62512099872038</v>
      </c>
    </row>
    <row r="194" spans="1:9">
      <c r="A194" t="s">
        <v>197</v>
      </c>
      <c r="B194">
        <v>1</v>
      </c>
      <c r="G194" t="s">
        <v>225</v>
      </c>
      <c r="H194" s="1" t="s">
        <v>198</v>
      </c>
      <c r="I194">
        <f t="shared" si="2"/>
        <v>-1</v>
      </c>
    </row>
    <row r="195" spans="1:9">
      <c r="A195" t="s">
        <v>199</v>
      </c>
      <c r="B195">
        <v>1</v>
      </c>
      <c r="G195" t="s">
        <v>225</v>
      </c>
      <c r="H195" s="1" t="s">
        <v>200</v>
      </c>
      <c r="I195">
        <f t="shared" si="2"/>
        <v>-1</v>
      </c>
    </row>
    <row r="196" spans="1:9">
      <c r="A196" t="s">
        <v>201</v>
      </c>
      <c r="B196">
        <f>baseline_metabolizable_energy_intake</f>
        <v>3000</v>
      </c>
      <c r="C196">
        <v>3000</v>
      </c>
      <c r="D196">
        <v>3000</v>
      </c>
      <c r="E196">
        <v>3000</v>
      </c>
      <c r="F196">
        <v>3000</v>
      </c>
      <c r="I196">
        <f t="shared" si="2"/>
        <v>0</v>
      </c>
    </row>
    <row r="197" spans="1:9">
      <c r="A197" t="s">
        <v>202</v>
      </c>
      <c r="B197">
        <f>tef_c * baseline_carbohydrate_intake + tef_f * baseline_fat_intake + tef_p * baseline_protein_intake</f>
        <v>262.5</v>
      </c>
      <c r="C197">
        <v>262.5</v>
      </c>
      <c r="D197">
        <v>262.5</v>
      </c>
      <c r="E197">
        <v>262.5</v>
      </c>
      <c r="F197">
        <v>262.5</v>
      </c>
      <c r="I197">
        <f t="shared" si="2"/>
        <v>0</v>
      </c>
    </row>
    <row r="198" spans="1:9">
      <c r="A198" t="s">
        <v>203</v>
      </c>
      <c r="B198">
        <f>0.075</f>
        <v>7.4999999999999997E-2</v>
      </c>
      <c r="C198">
        <v>7.4999999999999997E-2</v>
      </c>
      <c r="D198">
        <v>7.4999999999999997E-2</v>
      </c>
      <c r="E198">
        <v>7.4999999999999997E-2</v>
      </c>
      <c r="F198">
        <v>7.4999999999999997E-2</v>
      </c>
      <c r="I198">
        <f t="shared" ref="I198:I218" si="3">C198-B198</f>
        <v>0</v>
      </c>
    </row>
    <row r="199" spans="1:9">
      <c r="A199" t="s">
        <v>204</v>
      </c>
      <c r="B199">
        <f>0.025</f>
        <v>2.5000000000000001E-2</v>
      </c>
      <c r="C199">
        <v>2.5000000000000001E-2</v>
      </c>
      <c r="D199">
        <v>2.5000000000000001E-2</v>
      </c>
      <c r="E199">
        <v>2.5000000000000001E-2</v>
      </c>
      <c r="F199">
        <v>2.5000000000000001E-2</v>
      </c>
      <c r="I199">
        <f t="shared" si="3"/>
        <v>0</v>
      </c>
    </row>
    <row r="200" spans="1:9">
      <c r="A200" t="s">
        <v>205</v>
      </c>
      <c r="B200">
        <f>0.25</f>
        <v>0.25</v>
      </c>
      <c r="C200">
        <v>0.25</v>
      </c>
      <c r="D200">
        <v>0.25</v>
      </c>
      <c r="E200">
        <v>0.25</v>
      </c>
      <c r="F200">
        <v>0.25</v>
      </c>
      <c r="I200">
        <f t="shared" si="3"/>
        <v>0</v>
      </c>
    </row>
    <row r="201" spans="1:9">
      <c r="A201" t="s">
        <v>206</v>
      </c>
      <c r="B201">
        <f>0.8</f>
        <v>0.8</v>
      </c>
      <c r="C201">
        <v>0.8</v>
      </c>
      <c r="D201">
        <v>0.8</v>
      </c>
      <c r="E201">
        <v>0.8</v>
      </c>
      <c r="F201">
        <v>0.8</v>
      </c>
      <c r="I201">
        <f t="shared" si="3"/>
        <v>0</v>
      </c>
    </row>
    <row r="202" spans="1:9">
      <c r="A202" t="s">
        <v>207</v>
      </c>
      <c r="B202">
        <f>tef_c * cal_dens_c * ci + tef_f * fat_intake + tef_p * cal_dens_p * pi</f>
        <v>262.5</v>
      </c>
      <c r="C202">
        <v>262.5</v>
      </c>
      <c r="D202">
        <v>262.5</v>
      </c>
      <c r="E202">
        <v>262.5</v>
      </c>
      <c r="F202">
        <v>262.5</v>
      </c>
      <c r="I202">
        <f t="shared" si="3"/>
        <v>0</v>
      </c>
    </row>
    <row r="203" spans="1:9">
      <c r="A203" t="s">
        <v>208</v>
      </c>
      <c r="B203">
        <f>( therm_const * effect_of_metabolizable_energy_intake_on_thermogenesis - adaptive_thermogenesis ) / delay_in_adaptive_thermogenesis</f>
        <v>0</v>
      </c>
      <c r="C203">
        <v>0</v>
      </c>
      <c r="D203">
        <v>0</v>
      </c>
      <c r="E203">
        <v>0</v>
      </c>
      <c r="F203">
        <v>0</v>
      </c>
      <c r="I203">
        <f t="shared" si="3"/>
        <v>0</v>
      </c>
    </row>
    <row r="204" spans="1:9">
      <c r="A204" t="s">
        <v>209</v>
      </c>
      <c r="B204">
        <f>0.52</f>
        <v>0.52</v>
      </c>
      <c r="C204">
        <v>0.52</v>
      </c>
      <c r="D204">
        <v>0.52</v>
      </c>
      <c r="E204">
        <v>0.52</v>
      </c>
      <c r="F204">
        <v>0.52</v>
      </c>
      <c r="I204">
        <f t="shared" si="3"/>
        <v>0</v>
      </c>
    </row>
    <row r="205" spans="1:9">
      <c r="A205" t="s">
        <v>210</v>
      </c>
      <c r="C205">
        <v>0</v>
      </c>
      <c r="D205">
        <v>0.5</v>
      </c>
      <c r="E205">
        <v>1</v>
      </c>
      <c r="F205">
        <v>1.5</v>
      </c>
      <c r="I205">
        <f t="shared" si="3"/>
        <v>0</v>
      </c>
    </row>
    <row r="206" spans="1:9">
      <c r="A206" t="s">
        <v>211</v>
      </c>
      <c r="B206">
        <f>0.5</f>
        <v>0.5</v>
      </c>
      <c r="C206">
        <v>0.5</v>
      </c>
      <c r="D206">
        <v>0.5</v>
      </c>
      <c r="E206">
        <v>0.5</v>
      </c>
      <c r="F206">
        <v>0.5</v>
      </c>
      <c r="I206">
        <f t="shared" si="3"/>
        <v>0</v>
      </c>
    </row>
    <row r="207" spans="1:9">
      <c r="A207" t="s">
        <v>212</v>
      </c>
      <c r="B207">
        <f>physical_activity_energy + resting_metabolic_rate + thermic_effect_of_food</f>
        <v>3000</v>
      </c>
      <c r="C207">
        <v>3238.2422836303799</v>
      </c>
      <c r="D207">
        <v>3237.8530169078299</v>
      </c>
      <c r="E207">
        <v>3237.3517512235999</v>
      </c>
      <c r="F207">
        <v>3236.75239304465</v>
      </c>
      <c r="I207">
        <f t="shared" si="3"/>
        <v>238.24228363037992</v>
      </c>
    </row>
    <row r="208" spans="1:9">
      <c r="A208" t="s">
        <v>213</v>
      </c>
      <c r="B208">
        <f>total_pri_ox + total_sec_ox</f>
        <v>3000</v>
      </c>
      <c r="C208">
        <v>3238.2422836303799</v>
      </c>
      <c r="D208">
        <v>3237.8530169078299</v>
      </c>
      <c r="E208">
        <v>3237.3517512235999</v>
      </c>
      <c r="F208">
        <v>3236.75239304465</v>
      </c>
      <c r="I208">
        <f t="shared" si="3"/>
        <v>238.24228363037992</v>
      </c>
    </row>
    <row r="209" spans="1:9">
      <c r="A209" t="s">
        <v>214</v>
      </c>
      <c r="B209">
        <f>pri_carbox_kcal + pri_fatox_kcal + pri_protox_kcal</f>
        <v>3000</v>
      </c>
      <c r="C209">
        <v>3238.2422836303799</v>
      </c>
      <c r="D209">
        <v>3237.8530169078299</v>
      </c>
      <c r="E209">
        <v>3237.3517512235999</v>
      </c>
      <c r="F209">
        <v>3236.75239304465</v>
      </c>
      <c r="I209">
        <f t="shared" si="3"/>
        <v>238.24228363037992</v>
      </c>
    </row>
    <row r="210" spans="1:9">
      <c r="A210" t="s">
        <v>215</v>
      </c>
      <c r="B210">
        <f>sec_carbox_kcal + sec_fatox_kcal + sec_protox_kcal</f>
        <v>0</v>
      </c>
      <c r="C210">
        <v>0</v>
      </c>
      <c r="D210">
        <v>0</v>
      </c>
      <c r="E210">
        <v>0</v>
      </c>
      <c r="F210">
        <v>0</v>
      </c>
      <c r="I210">
        <f t="shared" si="3"/>
        <v>0</v>
      </c>
    </row>
    <row r="211" spans="1:9">
      <c r="A211" t="s">
        <v>216</v>
      </c>
      <c r="B211">
        <f>3.31414</f>
        <v>3.3141400000000001</v>
      </c>
      <c r="C211">
        <v>3.3141400000000001</v>
      </c>
      <c r="D211">
        <v>3.3141400000000001</v>
      </c>
      <c r="E211">
        <v>3.3141400000000001</v>
      </c>
      <c r="F211">
        <v>3.3141400000000001</v>
      </c>
      <c r="I211">
        <f t="shared" si="3"/>
        <v>0</v>
      </c>
    </row>
    <row r="212" spans="1:9">
      <c r="A212" t="s">
        <v>217</v>
      </c>
      <c r="B212">
        <f>0.1</f>
        <v>0.1</v>
      </c>
      <c r="C212">
        <v>0.1</v>
      </c>
      <c r="D212">
        <v>0.1</v>
      </c>
      <c r="E212">
        <v>0.1</v>
      </c>
      <c r="F212">
        <v>0.1</v>
      </c>
      <c r="I212">
        <f t="shared" si="3"/>
        <v>0</v>
      </c>
    </row>
    <row r="213" spans="1:9">
      <c r="A213" t="s">
        <v>218</v>
      </c>
      <c r="B213">
        <f>kc / kp * ( 1 + weighting_of_oxidation_for_basal_pi )- weighting_of_oxidation_for_basal_ci</f>
        <v>0.56821294117647092</v>
      </c>
      <c r="C213">
        <v>0.56821294117647103</v>
      </c>
      <c r="D213">
        <v>0.56821294117647103</v>
      </c>
      <c r="E213">
        <v>0.56821294117647103</v>
      </c>
      <c r="F213">
        <v>0.56821294117647103</v>
      </c>
      <c r="I213">
        <f t="shared" si="3"/>
        <v>0</v>
      </c>
    </row>
    <row r="214" spans="1:9">
      <c r="A214" t="s">
        <v>219</v>
      </c>
      <c r="B214">
        <f>(1 + weighting_of_oxidation_for_basal_pi) * kf / kp</f>
        <v>2.6931760746690165</v>
      </c>
      <c r="C214">
        <v>2.6931760746690201</v>
      </c>
      <c r="D214">
        <v>2.6931760746690201</v>
      </c>
      <c r="E214">
        <v>2.6931760746690201</v>
      </c>
      <c r="F214">
        <v>2.6931760746690201</v>
      </c>
      <c r="I214">
        <f t="shared" si="3"/>
        <v>3.5527136788005009E-15</v>
      </c>
    </row>
    <row r="215" spans="1:9">
      <c r="A215" t="s">
        <v>220</v>
      </c>
      <c r="B215">
        <f>prot_term + is_sufficient_carb * carb_term + is_sufficient_fat * fat_term</f>
        <v>7.6747006879274675</v>
      </c>
      <c r="C215">
        <v>8.3680099774164596</v>
      </c>
      <c r="D215">
        <v>8.3681766068745596</v>
      </c>
      <c r="E215">
        <v>8.3678215326919894</v>
      </c>
      <c r="F215">
        <v>8.3670168285378193</v>
      </c>
      <c r="I215">
        <f t="shared" si="3"/>
        <v>0.69330928948899206</v>
      </c>
    </row>
    <row r="216" spans="1:9">
      <c r="A216" t="s">
        <v>221</v>
      </c>
      <c r="B216">
        <f>carb_term + fat_term +prot_term</f>
        <v>7.6747006879274657</v>
      </c>
      <c r="C216">
        <v>8.3680099774164596</v>
      </c>
      <c r="D216">
        <v>8.3681766068745596</v>
      </c>
      <c r="E216">
        <v>8.3678215326919894</v>
      </c>
      <c r="F216">
        <v>8.3670168285378193</v>
      </c>
      <c r="I216">
        <f t="shared" si="3"/>
        <v>0.69330928948899384</v>
      </c>
    </row>
    <row r="217" spans="1:9">
      <c r="A217" t="s">
        <v>222</v>
      </c>
      <c r="B217">
        <f>1+weighting_of_oxidation_for_basal_pi+weighting_of_oxidation_for_basal_ci+weighting_of_oxidation_for_glycogenolysis+weighting_of_oxidation_for_lipolysis</f>
        <v>7.6755290158454876</v>
      </c>
      <c r="C217">
        <v>7.6755290158454903</v>
      </c>
      <c r="D217">
        <v>7.6755290158454903</v>
      </c>
      <c r="E217">
        <v>7.6755290158454903</v>
      </c>
      <c r="F217">
        <v>7.6755290158454903</v>
      </c>
      <c r="I217">
        <f t="shared" si="3"/>
        <v>0</v>
      </c>
    </row>
    <row r="218" spans="1:9">
      <c r="A218" t="s">
        <v>223</v>
      </c>
      <c r="B218">
        <f>weighting_of_oxidation_for_lipolysis/kf</f>
        <v>7.6755290158454867</v>
      </c>
      <c r="C218">
        <v>7.6755290158454903</v>
      </c>
      <c r="D218">
        <v>7.6755290158454903</v>
      </c>
      <c r="E218">
        <v>7.6755290158454903</v>
      </c>
      <c r="F218">
        <v>7.6755290158454903</v>
      </c>
      <c r="I2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218</vt:i4>
      </vt:variant>
    </vt:vector>
  </HeadingPairs>
  <TitlesOfParts>
    <vt:vector size="219" baseType="lpstr">
      <vt:lpstr>output_alphabetical_excel</vt:lpstr>
      <vt:lpstr>__pts_x_0</vt:lpstr>
      <vt:lpstr>__pts_x_1</vt:lpstr>
      <vt:lpstr>__pts_y_0</vt:lpstr>
      <vt:lpstr>__pts_y_1</vt:lpstr>
      <vt:lpstr>activ_time</vt:lpstr>
      <vt:lpstr>activ_time_data</vt:lpstr>
      <vt:lpstr>activ_time_param</vt:lpstr>
      <vt:lpstr>activity_efficiency</vt:lpstr>
      <vt:lpstr>activity_energy_per_body_weight</vt:lpstr>
      <vt:lpstr>activity_energy_spent_per_body_weight</vt:lpstr>
      <vt:lpstr>actual_carbox</vt:lpstr>
      <vt:lpstr>actual_fatox</vt:lpstr>
      <vt:lpstr>actual_protox</vt:lpstr>
      <vt:lpstr>adaptive_thermogenesis</vt:lpstr>
      <vt:lpstr>aminoacid_mass</vt:lpstr>
      <vt:lpstr>basal_rmr_efficiency</vt:lpstr>
      <vt:lpstr>basal_rmr_of_lean_tissues</vt:lpstr>
      <vt:lpstr>base_bone_mass</vt:lpstr>
      <vt:lpstr>base_carb</vt:lpstr>
      <vt:lpstr>base_deg_c</vt:lpstr>
      <vt:lpstr>base_gng_p</vt:lpstr>
      <vt:lpstr>base_molar_lipolysis</vt:lpstr>
      <vt:lpstr>base_rmr_brain</vt:lpstr>
      <vt:lpstr>base_rmr_fat</vt:lpstr>
      <vt:lpstr>baseline_activity_energy_per_body_weight</vt:lpstr>
      <vt:lpstr>baseline_basal_rmr_of_lean_tissues</vt:lpstr>
      <vt:lpstr>baseline_bodyweight</vt:lpstr>
      <vt:lpstr>baseline_carbohydrate_intake</vt:lpstr>
      <vt:lpstr>baseline_ecw</vt:lpstr>
      <vt:lpstr>baseline_fat</vt:lpstr>
      <vt:lpstr>baseline_fat_intake</vt:lpstr>
      <vt:lpstr>baseline_gng_fat_endog</vt:lpstr>
      <vt:lpstr>baseline_lean_mass</vt:lpstr>
      <vt:lpstr>baseline_metabolizable_energy_intake</vt:lpstr>
      <vt:lpstr>baseline_protein</vt:lpstr>
      <vt:lpstr>baseline_protein_intake</vt:lpstr>
      <vt:lpstr>baseline_proteolysis</vt:lpstr>
      <vt:lpstr>body_weight</vt:lpstr>
      <vt:lpstr>c_init</vt:lpstr>
      <vt:lpstr>cal_dens_c</vt:lpstr>
      <vt:lpstr>cal_dens_f</vt:lpstr>
      <vt:lpstr>cal_dens_p</vt:lpstr>
      <vt:lpstr>carb</vt:lpstr>
      <vt:lpstr>carb_sufficiency</vt:lpstr>
      <vt:lpstr>carb_term</vt:lpstr>
      <vt:lpstr>carbohydrate_intake</vt:lpstr>
      <vt:lpstr>carbohydrate_intake_data</vt:lpstr>
      <vt:lpstr>cell_mass</vt:lpstr>
      <vt:lpstr>cell_mass_b</vt:lpstr>
      <vt:lpstr>change_in_carbohydrate_intake</vt:lpstr>
      <vt:lpstr>change_in_protein_intake</vt:lpstr>
      <vt:lpstr>ci</vt:lpstr>
      <vt:lpstr>ci_0</vt:lpstr>
      <vt:lpstr>ci_input</vt:lpstr>
      <vt:lpstr>ciw</vt:lpstr>
      <vt:lpstr>deg_cost_p</vt:lpstr>
      <vt:lpstr>delay_in_adaptive_thermogenesis</vt:lpstr>
      <vt:lpstr>dep_cost_c</vt:lpstr>
      <vt:lpstr>dep_cost_fat</vt:lpstr>
      <vt:lpstr>dep_cost_p</vt:lpstr>
      <vt:lpstr>desired_carbox</vt:lpstr>
      <vt:lpstr>desired_fatox</vt:lpstr>
      <vt:lpstr>desired_protox</vt:lpstr>
      <vt:lpstr>df_b</vt:lpstr>
      <vt:lpstr>diff_bw_ox_and_tee</vt:lpstr>
      <vt:lpstr>dnl</vt:lpstr>
      <vt:lpstr>dnl_b</vt:lpstr>
      <vt:lpstr>dnl_i</vt:lpstr>
      <vt:lpstr>dnl_out</vt:lpstr>
      <vt:lpstr>ec</vt:lpstr>
      <vt:lpstr>eff_c_dnl_b</vt:lpstr>
      <vt:lpstr>eff_ci_on_gng_p</vt:lpstr>
      <vt:lpstr>eff_of_carb_intake_on_carb_oxidation</vt:lpstr>
      <vt:lpstr>eff_of_carb_sufficiency_on_carbox</vt:lpstr>
      <vt:lpstr>eff_of_glycogenolysis_on_carb_oxidation</vt:lpstr>
      <vt:lpstr>eff_of_physical_activity_on_prot_oxidation</vt:lpstr>
      <vt:lpstr>eff_of_possible_fatox</vt:lpstr>
      <vt:lpstr>eff_of_prot_intake_on_prot_oxidation</vt:lpstr>
      <vt:lpstr>eff_pi_on_gng_p</vt:lpstr>
      <vt:lpstr>effect_of_carb_intake_on_lipolysis</vt:lpstr>
      <vt:lpstr>effect_of_glycogen_on_dnl</vt:lpstr>
      <vt:lpstr>effect_of_metabolizable_energy_intake_on_thermogenesis</vt:lpstr>
      <vt:lpstr>effect_of_obesity_on_lipolysis</vt:lpstr>
      <vt:lpstr>efficiency_dnl</vt:lpstr>
      <vt:lpstr>efficiency_gng</vt:lpstr>
      <vt:lpstr>exog_glycerol_per_kcal_fat_intake</vt:lpstr>
      <vt:lpstr>extracel_water</vt:lpstr>
      <vt:lpstr>f_init</vt:lpstr>
      <vt:lpstr>fat</vt:lpstr>
      <vt:lpstr>fat_intake</vt:lpstr>
      <vt:lpstr>fat_intake_data</vt:lpstr>
      <vt:lpstr>fat_term</vt:lpstr>
      <vt:lpstr>fetw</vt:lpstr>
      <vt:lpstr>fi</vt:lpstr>
      <vt:lpstr>fi_0</vt:lpstr>
      <vt:lpstr>fi_input</vt:lpstr>
      <vt:lpstr>fiew</vt:lpstr>
      <vt:lpstr>frac_carbox</vt:lpstr>
      <vt:lpstr>frac_fatox</vt:lpstr>
      <vt:lpstr>frac_protox</vt:lpstr>
      <vt:lpstr>fw</vt:lpstr>
      <vt:lpstr>fwcm</vt:lpstr>
      <vt:lpstr>gap_carbox</vt:lpstr>
      <vt:lpstr>gap_fatox</vt:lpstr>
      <vt:lpstr>gap_total</vt:lpstr>
      <vt:lpstr>glycogen_hydration_coefficient</vt:lpstr>
      <vt:lpstr>glycogenolysis</vt:lpstr>
      <vt:lpstr>gng_fat</vt:lpstr>
      <vt:lpstr>gng_fat_endog</vt:lpstr>
      <vt:lpstr>gng_fat_exog</vt:lpstr>
      <vt:lpstr>gng_fat_in</vt:lpstr>
      <vt:lpstr>gng_fat_out</vt:lpstr>
      <vt:lpstr>gng_protein</vt:lpstr>
      <vt:lpstr>gng_protein_out</vt:lpstr>
      <vt:lpstr>gngf_b</vt:lpstr>
      <vt:lpstr>gngf_ex_b</vt:lpstr>
      <vt:lpstr>gngp_i</vt:lpstr>
      <vt:lpstr>hill_dnl</vt:lpstr>
      <vt:lpstr>icw_b</vt:lpstr>
      <vt:lpstr>intracel_solids</vt:lpstr>
      <vt:lpstr>intracel_water</vt:lpstr>
      <vt:lpstr>is_sufficient_carb</vt:lpstr>
      <vt:lpstr>is_sufficient_fat</vt:lpstr>
      <vt:lpstr>k_dnl</vt:lpstr>
      <vt:lpstr>k_lip</vt:lpstr>
      <vt:lpstr>kc</vt:lpstr>
      <vt:lpstr>kf</vt:lpstr>
      <vt:lpstr>kp</vt:lpstr>
      <vt:lpstr>lean_tissues</vt:lpstr>
      <vt:lpstr>lipol_max</vt:lpstr>
      <vt:lpstr>lipol_min</vt:lpstr>
      <vt:lpstr>lipolysis</vt:lpstr>
      <vt:lpstr>mass_brain</vt:lpstr>
      <vt:lpstr>mass_ffa</vt:lpstr>
      <vt:lpstr>mass_of_glycerol</vt:lpstr>
      <vt:lpstr>mass_tg</vt:lpstr>
      <vt:lpstr>mbc_b</vt:lpstr>
      <vt:lpstr>mbc_brain</vt:lpstr>
      <vt:lpstr>mbc_fat</vt:lpstr>
      <vt:lpstr>mbc_lean</vt:lpstr>
      <vt:lpstr>mbc_lean_b</vt:lpstr>
      <vt:lpstr>mc_b</vt:lpstr>
      <vt:lpstr>metabolism_of_body_cells</vt:lpstr>
      <vt:lpstr>metabolism_of_conversions</vt:lpstr>
      <vt:lpstr>metabolism_of_turnovers</vt:lpstr>
      <vt:lpstr>metabolizable_energy_intake</vt:lpstr>
      <vt:lpstr>molar_baseline_proteolysis</vt:lpstr>
      <vt:lpstr>molar_caloric_dens_glycerol</vt:lpstr>
      <vt:lpstr>molar_caloric_dens_tg</vt:lpstr>
      <vt:lpstr>mt_b</vt:lpstr>
      <vt:lpstr>norm_p_ratio</vt:lpstr>
      <vt:lpstr>normalized_activity_energy_per_body_weight</vt:lpstr>
      <vt:lpstr>normalized_change_in_carbohydrate_intake</vt:lpstr>
      <vt:lpstr>normalized_change_in_protein_intake</vt:lpstr>
      <vt:lpstr>normalized_glycogen_ratio</vt:lpstr>
      <vt:lpstr>normalized_glycogenolysis</vt:lpstr>
      <vt:lpstr>normalized_lipolysis_rate</vt:lpstr>
      <vt:lpstr>normalized_proteolysis</vt:lpstr>
      <vt:lpstr>oneday</vt:lpstr>
      <vt:lpstr>p_init</vt:lpstr>
      <vt:lpstr>pae_b</vt:lpstr>
      <vt:lpstr>physical_activity_energy</vt:lpstr>
      <vt:lpstr>pi</vt:lpstr>
      <vt:lpstr>pi_0</vt:lpstr>
      <vt:lpstr>pi_input</vt:lpstr>
      <vt:lpstr>possible_fatox</vt:lpstr>
      <vt:lpstr>pri_carbox_kcal</vt:lpstr>
      <vt:lpstr>pri_fatox_kcal</vt:lpstr>
      <vt:lpstr>pri_protox_kcal</vt:lpstr>
      <vt:lpstr>prot_term</vt:lpstr>
      <vt:lpstr>protein</vt:lpstr>
      <vt:lpstr>protein_fraction_of_cell_mass</vt:lpstr>
      <vt:lpstr>protein_hydration_coefficient</vt:lpstr>
      <vt:lpstr>protein_intake</vt:lpstr>
      <vt:lpstr>protein_intake_data</vt:lpstr>
      <vt:lpstr>proteolysis</vt:lpstr>
      <vt:lpstr>read_from_data</vt:lpstr>
      <vt:lpstr>resting_metabolic_rate</vt:lpstr>
      <vt:lpstr>rmr_b</vt:lpstr>
      <vt:lpstr>sec_carbox</vt:lpstr>
      <vt:lpstr>sec_carbox_kcal</vt:lpstr>
      <vt:lpstr>sec_fatox</vt:lpstr>
      <vt:lpstr>sec_fatox_kcal</vt:lpstr>
      <vt:lpstr>sec_frac_carb</vt:lpstr>
      <vt:lpstr>sec_frac_fat</vt:lpstr>
      <vt:lpstr>sec_frac_prot</vt:lpstr>
      <vt:lpstr>sec_protox</vt:lpstr>
      <vt:lpstr>sec_protox_kcal</vt:lpstr>
      <vt:lpstr>see_b</vt:lpstr>
      <vt:lpstr>sensitivity_of_oxidation_to_ci_changes</vt:lpstr>
      <vt:lpstr>sensitivity_of_oxidation_to_pi_changes</vt:lpstr>
      <vt:lpstr>sensitivity_to_physical_activity</vt:lpstr>
      <vt:lpstr>shared_energy_expenditure</vt:lpstr>
      <vt:lpstr>table_eff_of_carb_sufficiency_on_carbox</vt:lpstr>
      <vt:lpstr>table_eff_of_possible_fatox</vt:lpstr>
      <vt:lpstr>tee_b</vt:lpstr>
      <vt:lpstr>tef_b</vt:lpstr>
      <vt:lpstr>tef_c</vt:lpstr>
      <vt:lpstr>tef_f</vt:lpstr>
      <vt:lpstr>tef_p</vt:lpstr>
      <vt:lpstr>therm_const</vt:lpstr>
      <vt:lpstr>thermic_effect_of_food</vt:lpstr>
      <vt:lpstr>thermogenesis_adaptation</vt:lpstr>
      <vt:lpstr>thermogenesis_effect_on_pae_vs_rmr</vt:lpstr>
      <vt:lpstr>time_</vt:lpstr>
      <vt:lpstr>time_step</vt:lpstr>
      <vt:lpstr>total_energy_expenditure</vt:lpstr>
      <vt:lpstr>total_ox</vt:lpstr>
      <vt:lpstr>total_pri_ox</vt:lpstr>
      <vt:lpstr>total_sec_ox</vt:lpstr>
      <vt:lpstr>weighting_of_oxidation_for_basal_ci</vt:lpstr>
      <vt:lpstr>weighting_of_oxidation_for_basal_pi</vt:lpstr>
      <vt:lpstr>weighting_of_oxidation_for_glycogenolysis</vt:lpstr>
      <vt:lpstr>weighting_of_oxidation_for_lipolysis</vt:lpstr>
      <vt:lpstr>y_</vt:lpstr>
      <vt:lpstr>z_</vt:lpstr>
      <vt:lpstr>z_check_0</vt:lpstr>
      <vt:lpstr>z_check_1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</cp:lastModifiedBy>
  <dcterms:created xsi:type="dcterms:W3CDTF">2009-10-02T17:34:39Z</dcterms:created>
  <dcterms:modified xsi:type="dcterms:W3CDTF">2009-10-02T17:34:40Z</dcterms:modified>
</cp:coreProperties>
</file>