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482f5292395993/Documents/Personnel/Projets/WashMan/Facturation/"/>
    </mc:Choice>
  </mc:AlternateContent>
  <xr:revisionPtr revIDLastSave="35" documentId="8_{EF601B3C-141C-4B36-94DD-7499AA762F71}" xr6:coauthVersionLast="47" xr6:coauthVersionMax="47" xr10:uidLastSave="{7E4657C6-D6A4-43C9-9BDB-B6A055E30A46}"/>
  <bookViews>
    <workbookView xWindow="-108" yWindow="-108" windowWidth="23256" windowHeight="12456" firstSheet="2" activeTab="2" xr2:uid="{FF93C19C-70BF-472D-9EDA-A26633C1B25C}"/>
  </bookViews>
  <sheets>
    <sheet name="Fériés" sheetId="6" r:id="rId1"/>
    <sheet name="Full list.23" sheetId="4" state="hidden" r:id="rId2"/>
    <sheet name="Full list.23 v3" sheetId="16" r:id="rId3"/>
    <sheet name="Base Clients" sheetId="7" r:id="rId4"/>
    <sheet name="FACTURE " sheetId="3" r:id="rId5"/>
    <sheet name="Feuil1" sheetId="17" r:id="rId6"/>
    <sheet name="EXPRESS" sheetId="8" r:id="rId7"/>
    <sheet name="Abonné1" sheetId="9" r:id="rId8"/>
    <sheet name="Abonné2" sheetId="11" r:id="rId9"/>
    <sheet name="Abonné3" sheetId="12" r:id="rId10"/>
    <sheet name="Abonné4" sheetId="13" r:id="rId11"/>
    <sheet name="Abonné5" sheetId="14" r:id="rId12"/>
    <sheet name="Abonné6" sheetId="15" r:id="rId13"/>
  </sheets>
  <definedNames>
    <definedName name="_xlnm._FilterDatabase" localSheetId="3" hidden="1">'Base Clients'!$A$1:$M$340</definedName>
    <definedName name="_xlnm._FilterDatabase" localSheetId="1" hidden="1">'Full list.23'!$B$2:$I$149</definedName>
    <definedName name="_xlnm._FilterDatabase" localSheetId="2" hidden="1">'Full list.23 v3'!$B$1:$Q$42</definedName>
    <definedName name="DEBJAUNE" localSheetId="3">#REF!</definedName>
    <definedName name="DEBJAUNE">#REF!</definedName>
    <definedName name="FINJAUNE" localSheetId="3">#REF!</definedName>
    <definedName name="FINJAUNE">#REF!</definedName>
    <definedName name="FINVERT" localSheetId="3">#REF!</definedName>
    <definedName name="FINVERT">#REF!</definedName>
    <definedName name="Z_39374590_852C_441F_A75F_CCBBA149ACFC_.wvu.FilterData" localSheetId="3" hidden="1">'Base Clients'!$A$2:$T$2</definedName>
    <definedName name="_xlnm.Print_Area" localSheetId="7">Abonné1!$A$1:$X$57</definedName>
    <definedName name="_xlnm.Print_Area" localSheetId="8">Abonné2!$A$1:$X$57</definedName>
    <definedName name="_xlnm.Print_Area" localSheetId="9">Abonné3!$A$1:$X$57</definedName>
    <definedName name="_xlnm.Print_Area" localSheetId="10">Abonné4!$A$1:$X$57</definedName>
    <definedName name="_xlnm.Print_Area" localSheetId="11">Abonné5!$A$1:$X$57</definedName>
    <definedName name="_xlnm.Print_Area" localSheetId="12">Abonné6!$A$1:$X$57</definedName>
    <definedName name="_xlnm.Print_Area" localSheetId="6">EXPRESS!$A$1:$X$51</definedName>
    <definedName name="_xlnm.Print_Area" localSheetId="4">'FACTURE '!$A$1:$X$50</definedName>
    <definedName name="_xlnm.Print_Area" localSheetId="1">'Full list.23'!$B$1:$I$155</definedName>
    <definedName name="_xlnm.Print_Area" localSheetId="2">'Full list.23 v3'!$B$1:$Q$42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3" l="1"/>
  <c r="Q15" i="3"/>
  <c r="W15" i="3" l="1"/>
  <c r="U15" i="3"/>
  <c r="M36" i="16"/>
  <c r="N36" i="16"/>
  <c r="O36" i="16"/>
  <c r="Q36" i="16"/>
  <c r="Q35" i="16"/>
  <c r="O35" i="16"/>
  <c r="N35" i="16"/>
  <c r="M35" i="16"/>
  <c r="K48" i="16"/>
  <c r="M125" i="4"/>
  <c r="N125" i="4"/>
  <c r="O125" i="4"/>
  <c r="Q125" i="4"/>
  <c r="Q124" i="4"/>
  <c r="O124" i="4"/>
  <c r="N124" i="4"/>
  <c r="M124" i="4"/>
  <c r="Q118" i="4"/>
  <c r="O118" i="4"/>
  <c r="N118" i="4"/>
  <c r="M118" i="4"/>
  <c r="W33" i="8"/>
  <c r="U33" i="8"/>
  <c r="S36" i="8"/>
  <c r="S37" i="8"/>
  <c r="S35" i="8"/>
  <c r="U35" i="3"/>
  <c r="U36" i="3"/>
  <c r="U37" i="3"/>
  <c r="W33" i="3"/>
  <c r="O34" i="3"/>
  <c r="U33" i="3"/>
  <c r="M34" i="8"/>
  <c r="E6" i="15"/>
  <c r="E6" i="11"/>
  <c r="E6" i="9"/>
  <c r="L51" i="9" l="1"/>
  <c r="K46" i="9" l="1"/>
  <c r="Q48" i="15"/>
  <c r="Q47" i="15"/>
  <c r="U36" i="15"/>
  <c r="U35" i="15"/>
  <c r="U34" i="15"/>
  <c r="O33" i="15"/>
  <c r="S32" i="15"/>
  <c r="W32" i="15" s="1"/>
  <c r="Q32" i="15"/>
  <c r="U32" i="15" s="1"/>
  <c r="D32" i="15"/>
  <c r="S31" i="15"/>
  <c r="W31" i="15" s="1"/>
  <c r="Q31" i="15"/>
  <c r="U31" i="15" s="1"/>
  <c r="D31" i="15"/>
  <c r="S30" i="15"/>
  <c r="W30" i="15" s="1"/>
  <c r="Q30" i="15"/>
  <c r="U30" i="15" s="1"/>
  <c r="D30" i="15"/>
  <c r="S29" i="15"/>
  <c r="W29" i="15" s="1"/>
  <c r="Q29" i="15"/>
  <c r="U29" i="15" s="1"/>
  <c r="D29" i="15"/>
  <c r="S28" i="15"/>
  <c r="W28" i="15" s="1"/>
  <c r="Q28" i="15"/>
  <c r="U28" i="15" s="1"/>
  <c r="D28" i="15"/>
  <c r="S27" i="15"/>
  <c r="W27" i="15" s="1"/>
  <c r="Q27" i="15"/>
  <c r="U27" i="15" s="1"/>
  <c r="D27" i="15"/>
  <c r="S26" i="15"/>
  <c r="W26" i="15" s="1"/>
  <c r="Q26" i="15"/>
  <c r="U26" i="15" s="1"/>
  <c r="D26" i="15"/>
  <c r="S25" i="15"/>
  <c r="W25" i="15" s="1"/>
  <c r="Q25" i="15"/>
  <c r="U25" i="15" s="1"/>
  <c r="D25" i="15"/>
  <c r="S24" i="15"/>
  <c r="W24" i="15" s="1"/>
  <c r="Q24" i="15"/>
  <c r="U24" i="15" s="1"/>
  <c r="D24" i="15"/>
  <c r="S23" i="15"/>
  <c r="W23" i="15" s="1"/>
  <c r="Q23" i="15"/>
  <c r="U23" i="15" s="1"/>
  <c r="D23" i="15"/>
  <c r="S22" i="15"/>
  <c r="W22" i="15" s="1"/>
  <c r="Q22" i="15"/>
  <c r="U22" i="15" s="1"/>
  <c r="D22" i="15"/>
  <c r="S21" i="15"/>
  <c r="W21" i="15" s="1"/>
  <c r="Q21" i="15"/>
  <c r="U21" i="15" s="1"/>
  <c r="D21" i="15"/>
  <c r="S20" i="15"/>
  <c r="W20" i="15" s="1"/>
  <c r="Q20" i="15"/>
  <c r="U20" i="15" s="1"/>
  <c r="D20" i="15"/>
  <c r="S19" i="15"/>
  <c r="W19" i="15" s="1"/>
  <c r="Q19" i="15"/>
  <c r="U19" i="15" s="1"/>
  <c r="D19" i="15"/>
  <c r="S18" i="15"/>
  <c r="W18" i="15" s="1"/>
  <c r="Q18" i="15"/>
  <c r="U18" i="15" s="1"/>
  <c r="D18" i="15"/>
  <c r="S17" i="15"/>
  <c r="W17" i="15" s="1"/>
  <c r="Q17" i="15"/>
  <c r="U17" i="15" s="1"/>
  <c r="D17" i="15"/>
  <c r="S16" i="15"/>
  <c r="W16" i="15" s="1"/>
  <c r="Q16" i="15"/>
  <c r="U16" i="15" s="1"/>
  <c r="D16" i="15"/>
  <c r="Q15" i="15"/>
  <c r="U15" i="15" s="1"/>
  <c r="D15" i="15"/>
  <c r="N12" i="15"/>
  <c r="O37" i="15" s="1"/>
  <c r="D12" i="15"/>
  <c r="Q12" i="15" s="1"/>
  <c r="V6" i="15"/>
  <c r="V7" i="15" s="1"/>
  <c r="L51" i="15"/>
  <c r="Q48" i="14"/>
  <c r="Q47" i="14"/>
  <c r="U36" i="14"/>
  <c r="U35" i="14"/>
  <c r="U34" i="14"/>
  <c r="O33" i="14"/>
  <c r="S32" i="14"/>
  <c r="W32" i="14" s="1"/>
  <c r="Q32" i="14"/>
  <c r="U32" i="14" s="1"/>
  <c r="D32" i="14"/>
  <c r="S31" i="14"/>
  <c r="W31" i="14" s="1"/>
  <c r="Q31" i="14"/>
  <c r="U31" i="14" s="1"/>
  <c r="D31" i="14"/>
  <c r="S30" i="14"/>
  <c r="W30" i="14" s="1"/>
  <c r="Q30" i="14"/>
  <c r="U30" i="14" s="1"/>
  <c r="D30" i="14"/>
  <c r="S29" i="14"/>
  <c r="W29" i="14" s="1"/>
  <c r="Q29" i="14"/>
  <c r="U29" i="14" s="1"/>
  <c r="D29" i="14"/>
  <c r="S28" i="14"/>
  <c r="W28" i="14" s="1"/>
  <c r="Q28" i="14"/>
  <c r="U28" i="14" s="1"/>
  <c r="D28" i="14"/>
  <c r="S27" i="14"/>
  <c r="W27" i="14" s="1"/>
  <c r="Q27" i="14"/>
  <c r="U27" i="14" s="1"/>
  <c r="D27" i="14"/>
  <c r="S26" i="14"/>
  <c r="W26" i="14" s="1"/>
  <c r="Q26" i="14"/>
  <c r="U26" i="14" s="1"/>
  <c r="D26" i="14"/>
  <c r="S25" i="14"/>
  <c r="W25" i="14" s="1"/>
  <c r="Q25" i="14"/>
  <c r="U25" i="14" s="1"/>
  <c r="D25" i="14"/>
  <c r="S24" i="14"/>
  <c r="W24" i="14" s="1"/>
  <c r="Q24" i="14"/>
  <c r="U24" i="14" s="1"/>
  <c r="D24" i="14"/>
  <c r="S23" i="14"/>
  <c r="W23" i="14" s="1"/>
  <c r="Q23" i="14"/>
  <c r="U23" i="14" s="1"/>
  <c r="D23" i="14"/>
  <c r="S22" i="14"/>
  <c r="W22" i="14" s="1"/>
  <c r="Q22" i="14"/>
  <c r="U22" i="14" s="1"/>
  <c r="D22" i="14"/>
  <c r="S21" i="14"/>
  <c r="W21" i="14" s="1"/>
  <c r="Q21" i="14"/>
  <c r="U21" i="14" s="1"/>
  <c r="D21" i="14"/>
  <c r="S20" i="14"/>
  <c r="W20" i="14" s="1"/>
  <c r="Q20" i="14"/>
  <c r="U20" i="14" s="1"/>
  <c r="D20" i="14"/>
  <c r="S19" i="14"/>
  <c r="W19" i="14" s="1"/>
  <c r="Q19" i="14"/>
  <c r="U19" i="14" s="1"/>
  <c r="D19" i="14"/>
  <c r="S18" i="14"/>
  <c r="W18" i="14" s="1"/>
  <c r="Q18" i="14"/>
  <c r="U18" i="14" s="1"/>
  <c r="D18" i="14"/>
  <c r="S17" i="14"/>
  <c r="W17" i="14" s="1"/>
  <c r="Q17" i="14"/>
  <c r="U17" i="14" s="1"/>
  <c r="D17" i="14"/>
  <c r="S16" i="14"/>
  <c r="W16" i="14" s="1"/>
  <c r="Q16" i="14"/>
  <c r="U16" i="14" s="1"/>
  <c r="D16" i="14"/>
  <c r="Q15" i="14"/>
  <c r="U15" i="14" s="1"/>
  <c r="U39" i="14" s="1"/>
  <c r="D15" i="14"/>
  <c r="N12" i="14"/>
  <c r="A37" i="14" s="1"/>
  <c r="D12" i="14"/>
  <c r="K12" i="14" s="1"/>
  <c r="V6" i="14"/>
  <c r="V7" i="14" s="1"/>
  <c r="E6" i="14"/>
  <c r="L51" i="14" s="1"/>
  <c r="Q48" i="13"/>
  <c r="Q47" i="13"/>
  <c r="U36" i="13"/>
  <c r="U35" i="13"/>
  <c r="U34" i="13"/>
  <c r="O33" i="13"/>
  <c r="S32" i="13"/>
  <c r="W32" i="13" s="1"/>
  <c r="Q32" i="13"/>
  <c r="U32" i="13" s="1"/>
  <c r="D32" i="13"/>
  <c r="S31" i="13"/>
  <c r="W31" i="13" s="1"/>
  <c r="Q31" i="13"/>
  <c r="U31" i="13" s="1"/>
  <c r="D31" i="13"/>
  <c r="S30" i="13"/>
  <c r="W30" i="13" s="1"/>
  <c r="Q30" i="13"/>
  <c r="U30" i="13" s="1"/>
  <c r="D30" i="13"/>
  <c r="S29" i="13"/>
  <c r="W29" i="13" s="1"/>
  <c r="Q29" i="13"/>
  <c r="U29" i="13" s="1"/>
  <c r="D29" i="13"/>
  <c r="S28" i="13"/>
  <c r="W28" i="13" s="1"/>
  <c r="Q28" i="13"/>
  <c r="U28" i="13" s="1"/>
  <c r="D28" i="13"/>
  <c r="S27" i="13"/>
  <c r="W27" i="13" s="1"/>
  <c r="Q27" i="13"/>
  <c r="U27" i="13" s="1"/>
  <c r="D27" i="13"/>
  <c r="S26" i="13"/>
  <c r="W26" i="13" s="1"/>
  <c r="Q26" i="13"/>
  <c r="U26" i="13" s="1"/>
  <c r="D26" i="13"/>
  <c r="S25" i="13"/>
  <c r="W25" i="13" s="1"/>
  <c r="Q25" i="13"/>
  <c r="U25" i="13" s="1"/>
  <c r="D25" i="13"/>
  <c r="S24" i="13"/>
  <c r="W24" i="13" s="1"/>
  <c r="Q24" i="13"/>
  <c r="U24" i="13" s="1"/>
  <c r="D24" i="13"/>
  <c r="S23" i="13"/>
  <c r="W23" i="13" s="1"/>
  <c r="Q23" i="13"/>
  <c r="U23" i="13" s="1"/>
  <c r="D23" i="13"/>
  <c r="S22" i="13"/>
  <c r="W22" i="13" s="1"/>
  <c r="Q22" i="13"/>
  <c r="U22" i="13" s="1"/>
  <c r="D22" i="13"/>
  <c r="S21" i="13"/>
  <c r="W21" i="13" s="1"/>
  <c r="Q21" i="13"/>
  <c r="U21" i="13" s="1"/>
  <c r="D21" i="13"/>
  <c r="S20" i="13"/>
  <c r="W20" i="13" s="1"/>
  <c r="Q20" i="13"/>
  <c r="U20" i="13" s="1"/>
  <c r="D20" i="13"/>
  <c r="S19" i="13"/>
  <c r="W19" i="13" s="1"/>
  <c r="Q19" i="13"/>
  <c r="U19" i="13" s="1"/>
  <c r="D19" i="13"/>
  <c r="S18" i="13"/>
  <c r="W18" i="13" s="1"/>
  <c r="Q18" i="13"/>
  <c r="U18" i="13" s="1"/>
  <c r="D18" i="13"/>
  <c r="S17" i="13"/>
  <c r="W17" i="13" s="1"/>
  <c r="Q17" i="13"/>
  <c r="U17" i="13" s="1"/>
  <c r="D17" i="13"/>
  <c r="S16" i="13"/>
  <c r="W16" i="13" s="1"/>
  <c r="Q16" i="13"/>
  <c r="U16" i="13" s="1"/>
  <c r="D16" i="13"/>
  <c r="Q15" i="13"/>
  <c r="U15" i="13" s="1"/>
  <c r="D15" i="13"/>
  <c r="N12" i="13"/>
  <c r="O37" i="13" s="1"/>
  <c r="D12" i="13"/>
  <c r="Q12" i="13" s="1"/>
  <c r="V6" i="13"/>
  <c r="V7" i="13" s="1"/>
  <c r="E6" i="13"/>
  <c r="L51" i="13" s="1"/>
  <c r="Q48" i="12"/>
  <c r="Q47" i="12"/>
  <c r="W36" i="12"/>
  <c r="U36" i="12"/>
  <c r="W35" i="12"/>
  <c r="U35" i="12"/>
  <c r="U34" i="12"/>
  <c r="O33" i="12"/>
  <c r="S32" i="12"/>
  <c r="W32" i="12" s="1"/>
  <c r="Q32" i="12"/>
  <c r="U32" i="12" s="1"/>
  <c r="D32" i="12"/>
  <c r="S31" i="12"/>
  <c r="W31" i="12" s="1"/>
  <c r="Q31" i="12"/>
  <c r="U31" i="12" s="1"/>
  <c r="D31" i="12"/>
  <c r="S30" i="12"/>
  <c r="W30" i="12" s="1"/>
  <c r="Q30" i="12"/>
  <c r="U30" i="12" s="1"/>
  <c r="D30" i="12"/>
  <c r="S29" i="12"/>
  <c r="W29" i="12" s="1"/>
  <c r="Q29" i="12"/>
  <c r="U29" i="12" s="1"/>
  <c r="D29" i="12"/>
  <c r="S28" i="12"/>
  <c r="W28" i="12" s="1"/>
  <c r="Q28" i="12"/>
  <c r="U28" i="12" s="1"/>
  <c r="D28" i="12"/>
  <c r="S27" i="12"/>
  <c r="W27" i="12" s="1"/>
  <c r="Q27" i="12"/>
  <c r="U27" i="12" s="1"/>
  <c r="D27" i="12"/>
  <c r="S26" i="12"/>
  <c r="W26" i="12" s="1"/>
  <c r="Q26" i="12"/>
  <c r="U26" i="12" s="1"/>
  <c r="D26" i="12"/>
  <c r="S25" i="12"/>
  <c r="W25" i="12" s="1"/>
  <c r="Q25" i="12"/>
  <c r="U25" i="12" s="1"/>
  <c r="D25" i="12"/>
  <c r="S24" i="12"/>
  <c r="W24" i="12" s="1"/>
  <c r="Q24" i="12"/>
  <c r="U24" i="12" s="1"/>
  <c r="D24" i="12"/>
  <c r="S23" i="12"/>
  <c r="W23" i="12" s="1"/>
  <c r="Q23" i="12"/>
  <c r="U23" i="12" s="1"/>
  <c r="D23" i="12"/>
  <c r="S22" i="12"/>
  <c r="W22" i="12" s="1"/>
  <c r="Q22" i="12"/>
  <c r="U22" i="12" s="1"/>
  <c r="D22" i="12"/>
  <c r="S21" i="12"/>
  <c r="W21" i="12" s="1"/>
  <c r="Q21" i="12"/>
  <c r="U21" i="12" s="1"/>
  <c r="D21" i="12"/>
  <c r="S20" i="12"/>
  <c r="W20" i="12" s="1"/>
  <c r="Q20" i="12"/>
  <c r="U20" i="12" s="1"/>
  <c r="D20" i="12"/>
  <c r="S19" i="12"/>
  <c r="W19" i="12" s="1"/>
  <c r="Q19" i="12"/>
  <c r="U19" i="12" s="1"/>
  <c r="D19" i="12"/>
  <c r="S18" i="12"/>
  <c r="W18" i="12" s="1"/>
  <c r="Q18" i="12"/>
  <c r="U18" i="12" s="1"/>
  <c r="D18" i="12"/>
  <c r="S17" i="12"/>
  <c r="W17" i="12" s="1"/>
  <c r="Q17" i="12"/>
  <c r="U17" i="12" s="1"/>
  <c r="D17" i="12"/>
  <c r="S16" i="12"/>
  <c r="W16" i="12" s="1"/>
  <c r="Q16" i="12"/>
  <c r="U16" i="12" s="1"/>
  <c r="D16" i="12"/>
  <c r="Q15" i="12"/>
  <c r="U15" i="12" s="1"/>
  <c r="D15" i="12"/>
  <c r="N12" i="12"/>
  <c r="O37" i="12" s="1"/>
  <c r="K12" i="12"/>
  <c r="D12" i="12"/>
  <c r="Q12" i="12" s="1"/>
  <c r="V6" i="12"/>
  <c r="V7" i="12" s="1"/>
  <c r="E6" i="12"/>
  <c r="L51" i="12" s="1"/>
  <c r="N12" i="11"/>
  <c r="O37" i="11" s="1"/>
  <c r="Q48" i="11"/>
  <c r="Q47" i="11"/>
  <c r="U36" i="11"/>
  <c r="U35" i="11"/>
  <c r="U34" i="11"/>
  <c r="O33" i="11"/>
  <c r="S32" i="11"/>
  <c r="W32" i="11" s="1"/>
  <c r="Q32" i="11"/>
  <c r="U32" i="11" s="1"/>
  <c r="D32" i="11"/>
  <c r="S31" i="11"/>
  <c r="W31" i="11" s="1"/>
  <c r="Q31" i="11"/>
  <c r="U31" i="11" s="1"/>
  <c r="D31" i="11"/>
  <c r="S30" i="11"/>
  <c r="W30" i="11" s="1"/>
  <c r="Q30" i="11"/>
  <c r="U30" i="11" s="1"/>
  <c r="D30" i="11"/>
  <c r="S29" i="11"/>
  <c r="W29" i="11" s="1"/>
  <c r="Q29" i="11"/>
  <c r="U29" i="11" s="1"/>
  <c r="D29" i="11"/>
  <c r="S28" i="11"/>
  <c r="W28" i="11" s="1"/>
  <c r="Q28" i="11"/>
  <c r="U28" i="11" s="1"/>
  <c r="D28" i="11"/>
  <c r="S27" i="11"/>
  <c r="W27" i="11" s="1"/>
  <c r="Q27" i="11"/>
  <c r="U27" i="11" s="1"/>
  <c r="D27" i="11"/>
  <c r="S26" i="11"/>
  <c r="W26" i="11" s="1"/>
  <c r="Q26" i="11"/>
  <c r="U26" i="11" s="1"/>
  <c r="D26" i="11"/>
  <c r="S25" i="11"/>
  <c r="W25" i="11" s="1"/>
  <c r="Q25" i="11"/>
  <c r="U25" i="11" s="1"/>
  <c r="D25" i="11"/>
  <c r="S24" i="11"/>
  <c r="W24" i="11" s="1"/>
  <c r="Q24" i="11"/>
  <c r="U24" i="11" s="1"/>
  <c r="D24" i="11"/>
  <c r="S23" i="11"/>
  <c r="W23" i="11" s="1"/>
  <c r="Q23" i="11"/>
  <c r="U23" i="11" s="1"/>
  <c r="D23" i="11"/>
  <c r="S22" i="11"/>
  <c r="W22" i="11" s="1"/>
  <c r="Q22" i="11"/>
  <c r="U22" i="11" s="1"/>
  <c r="D22" i="11"/>
  <c r="S21" i="11"/>
  <c r="W21" i="11" s="1"/>
  <c r="Q21" i="11"/>
  <c r="U21" i="11" s="1"/>
  <c r="D21" i="11"/>
  <c r="S20" i="11"/>
  <c r="W20" i="11" s="1"/>
  <c r="Q20" i="11"/>
  <c r="U20" i="11" s="1"/>
  <c r="D20" i="11"/>
  <c r="S19" i="11"/>
  <c r="W19" i="11" s="1"/>
  <c r="Q19" i="11"/>
  <c r="U19" i="11" s="1"/>
  <c r="D19" i="11"/>
  <c r="S18" i="11"/>
  <c r="W18" i="11" s="1"/>
  <c r="Q18" i="11"/>
  <c r="U18" i="11" s="1"/>
  <c r="D18" i="11"/>
  <c r="S17" i="11"/>
  <c r="W17" i="11" s="1"/>
  <c r="Q17" i="11"/>
  <c r="U17" i="11" s="1"/>
  <c r="D17" i="11"/>
  <c r="S16" i="11"/>
  <c r="W16" i="11" s="1"/>
  <c r="Q16" i="11"/>
  <c r="U16" i="11" s="1"/>
  <c r="D16" i="11"/>
  <c r="Q15" i="11"/>
  <c r="U15" i="11" s="1"/>
  <c r="U39" i="11" s="1"/>
  <c r="D15" i="11"/>
  <c r="D12" i="11"/>
  <c r="Q12" i="11" s="1"/>
  <c r="V6" i="11"/>
  <c r="V7" i="11" s="1"/>
  <c r="L51" i="11"/>
  <c r="U35" i="9"/>
  <c r="U36" i="9"/>
  <c r="U34" i="9"/>
  <c r="O37" i="9"/>
  <c r="A37" i="9"/>
  <c r="O33" i="9"/>
  <c r="Q16" i="9"/>
  <c r="U16" i="9" s="1"/>
  <c r="S16" i="9"/>
  <c r="W16" i="9" s="1"/>
  <c r="Q17" i="9"/>
  <c r="U17" i="9" s="1"/>
  <c r="S17" i="9"/>
  <c r="W17" i="9" s="1"/>
  <c r="Q18" i="9"/>
  <c r="U18" i="9" s="1"/>
  <c r="S18" i="9"/>
  <c r="W18" i="9" s="1"/>
  <c r="Q19" i="9"/>
  <c r="U19" i="9" s="1"/>
  <c r="S19" i="9"/>
  <c r="W19" i="9" s="1"/>
  <c r="Q20" i="9"/>
  <c r="U20" i="9" s="1"/>
  <c r="S20" i="9"/>
  <c r="W20" i="9" s="1"/>
  <c r="Q21" i="9"/>
  <c r="U21" i="9" s="1"/>
  <c r="S21" i="9"/>
  <c r="W21" i="9" s="1"/>
  <c r="Q22" i="9"/>
  <c r="U22" i="9" s="1"/>
  <c r="S22" i="9"/>
  <c r="W22" i="9" s="1"/>
  <c r="Q23" i="9"/>
  <c r="U23" i="9" s="1"/>
  <c r="S23" i="9"/>
  <c r="W23" i="9" s="1"/>
  <c r="Q24" i="9"/>
  <c r="U24" i="9" s="1"/>
  <c r="S24" i="9"/>
  <c r="W24" i="9" s="1"/>
  <c r="Q25" i="9"/>
  <c r="U25" i="9" s="1"/>
  <c r="S25" i="9"/>
  <c r="W25" i="9" s="1"/>
  <c r="Q26" i="9"/>
  <c r="U26" i="9" s="1"/>
  <c r="S26" i="9"/>
  <c r="W26" i="9" s="1"/>
  <c r="Q27" i="9"/>
  <c r="U27" i="9" s="1"/>
  <c r="S27" i="9"/>
  <c r="W27" i="9" s="1"/>
  <c r="Q28" i="9"/>
  <c r="U28" i="9" s="1"/>
  <c r="S28" i="9"/>
  <c r="W28" i="9" s="1"/>
  <c r="Q29" i="9"/>
  <c r="U29" i="9" s="1"/>
  <c r="S29" i="9"/>
  <c r="W29" i="9" s="1"/>
  <c r="Q30" i="9"/>
  <c r="U30" i="9" s="1"/>
  <c r="S30" i="9"/>
  <c r="W30" i="9" s="1"/>
  <c r="Q31" i="9"/>
  <c r="U31" i="9" s="1"/>
  <c r="S31" i="9"/>
  <c r="W31" i="9" s="1"/>
  <c r="Q32" i="9"/>
  <c r="U32" i="9" s="1"/>
  <c r="S32" i="9"/>
  <c r="W32" i="9" s="1"/>
  <c r="Q15" i="8"/>
  <c r="Q15" i="9"/>
  <c r="U15" i="9" s="1"/>
  <c r="U39" i="9" s="1"/>
  <c r="K49" i="9"/>
  <c r="K155" i="4"/>
  <c r="K47" i="9"/>
  <c r="Q48" i="9"/>
  <c r="Q47" i="9"/>
  <c r="K48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2" i="9"/>
  <c r="Q12" i="9" s="1"/>
  <c r="V6" i="9"/>
  <c r="V7" i="9" s="1"/>
  <c r="U33" i="15" l="1"/>
  <c r="A37" i="12"/>
  <c r="O37" i="14"/>
  <c r="K12" i="15"/>
  <c r="U39" i="15"/>
  <c r="G12" i="15"/>
  <c r="A37" i="15"/>
  <c r="U33" i="14"/>
  <c r="G12" i="14"/>
  <c r="Q12" i="14"/>
  <c r="U33" i="13"/>
  <c r="G12" i="13"/>
  <c r="K12" i="13"/>
  <c r="U39" i="13"/>
  <c r="A37" i="13"/>
  <c r="U33" i="12"/>
  <c r="U39" i="12"/>
  <c r="G12" i="12"/>
  <c r="A37" i="11"/>
  <c r="U33" i="11"/>
  <c r="G12" i="11"/>
  <c r="K12" i="11"/>
  <c r="U33" i="9"/>
  <c r="W37" i="9" s="1"/>
  <c r="N47" i="9"/>
  <c r="K47" i="11" s="1"/>
  <c r="N47" i="11" s="1"/>
  <c r="K47" i="12" s="1"/>
  <c r="G12" i="9"/>
  <c r="K12" i="9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3" i="7"/>
  <c r="O18" i="8"/>
  <c r="Q16" i="8"/>
  <c r="U16" i="8" s="1"/>
  <c r="Q17" i="8"/>
  <c r="U17" i="8" s="1"/>
  <c r="Q18" i="8"/>
  <c r="S18" i="8" s="1"/>
  <c r="W18" i="8" s="1"/>
  <c r="Q19" i="8"/>
  <c r="S19" i="8" s="1"/>
  <c r="W19" i="8" s="1"/>
  <c r="Q20" i="8"/>
  <c r="U20" i="8" s="1"/>
  <c r="Q21" i="8"/>
  <c r="U21" i="8" s="1"/>
  <c r="Q22" i="8"/>
  <c r="S22" i="8" s="1"/>
  <c r="Q23" i="8"/>
  <c r="S23" i="8" s="1"/>
  <c r="W23" i="8" s="1"/>
  <c r="Q24" i="8"/>
  <c r="S24" i="8" s="1"/>
  <c r="Q25" i="8"/>
  <c r="S25" i="8" s="1"/>
  <c r="W25" i="8" s="1"/>
  <c r="Q26" i="8"/>
  <c r="S26" i="8" s="1"/>
  <c r="Q27" i="8"/>
  <c r="S27" i="8" s="1"/>
  <c r="W27" i="8" s="1"/>
  <c r="Q28" i="8"/>
  <c r="S28" i="8" s="1"/>
  <c r="Q29" i="8"/>
  <c r="U29" i="8" s="1"/>
  <c r="Q30" i="8"/>
  <c r="S30" i="8" s="1"/>
  <c r="Q31" i="8"/>
  <c r="S31" i="8" s="1"/>
  <c r="Q32" i="8"/>
  <c r="S32" i="8" s="1"/>
  <c r="O16" i="8"/>
  <c r="O17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U15" i="8"/>
  <c r="O15" i="8"/>
  <c r="R12" i="8"/>
  <c r="H12" i="8"/>
  <c r="L12" i="8"/>
  <c r="F12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V6" i="8"/>
  <c r="V7" i="8" s="1"/>
  <c r="E6" i="8"/>
  <c r="E6" i="3"/>
  <c r="N47" i="12" l="1"/>
  <c r="K47" i="13" s="1"/>
  <c r="N47" i="13" s="1"/>
  <c r="K47" i="14" s="1"/>
  <c r="N47" i="14" s="1"/>
  <c r="K47" i="15" s="1"/>
  <c r="N47" i="15" s="1"/>
  <c r="U37" i="9"/>
  <c r="U26" i="8"/>
  <c r="U24" i="8"/>
  <c r="U32" i="8"/>
  <c r="U30" i="8"/>
  <c r="U28" i="8"/>
  <c r="S21" i="8"/>
  <c r="W21" i="8" s="1"/>
  <c r="S29" i="8"/>
  <c r="W29" i="8" s="1"/>
  <c r="S20" i="8"/>
  <c r="W20" i="8" s="1"/>
  <c r="S15" i="8"/>
  <c r="W15" i="8" s="1"/>
  <c r="U18" i="8"/>
  <c r="S17" i="8"/>
  <c r="W17" i="8" s="1"/>
  <c r="S16" i="8"/>
  <c r="W16" i="8" s="1"/>
  <c r="W31" i="8"/>
  <c r="W22" i="8"/>
  <c r="U23" i="8"/>
  <c r="W28" i="8"/>
  <c r="U31" i="8"/>
  <c r="U25" i="8"/>
  <c r="U22" i="8"/>
  <c r="U19" i="8"/>
  <c r="W24" i="8"/>
  <c r="U27" i="8"/>
  <c r="W32" i="8"/>
  <c r="W30" i="8"/>
  <c r="W26" i="8"/>
  <c r="Q29" i="3"/>
  <c r="Q30" i="3"/>
  <c r="Q31" i="3"/>
  <c r="Q32" i="3"/>
  <c r="Q24" i="3"/>
  <c r="Q25" i="3"/>
  <c r="Q26" i="3"/>
  <c r="Q27" i="3"/>
  <c r="Q28" i="3"/>
  <c r="Q19" i="3"/>
  <c r="Q20" i="3"/>
  <c r="Q21" i="3"/>
  <c r="Q22" i="3"/>
  <c r="Q23" i="3"/>
  <c r="Q16" i="3"/>
  <c r="Q17" i="3"/>
  <c r="Q18" i="3"/>
  <c r="E162" i="4"/>
  <c r="U34" i="8" l="1"/>
  <c r="W34" i="8"/>
  <c r="W38" i="8" s="1"/>
  <c r="U38" i="9"/>
  <c r="U40" i="9" s="1"/>
  <c r="N48" i="9" s="1"/>
  <c r="N49" i="9" s="1"/>
  <c r="K49" i="11" s="1"/>
  <c r="W37" i="11" s="1"/>
  <c r="D26" i="3"/>
  <c r="D27" i="3"/>
  <c r="D28" i="3"/>
  <c r="D29" i="3"/>
  <c r="D30" i="3"/>
  <c r="D31" i="3"/>
  <c r="D32" i="3"/>
  <c r="D17" i="3"/>
  <c r="D18" i="3"/>
  <c r="D19" i="3"/>
  <c r="D20" i="3"/>
  <c r="D21" i="3"/>
  <c r="D22" i="3"/>
  <c r="D23" i="3"/>
  <c r="D24" i="3"/>
  <c r="D25" i="3"/>
  <c r="D16" i="3"/>
  <c r="D15" i="3"/>
  <c r="D12" i="3"/>
  <c r="V6" i="3"/>
  <c r="V7" i="3" s="1"/>
  <c r="U32" i="3"/>
  <c r="U31" i="3"/>
  <c r="S30" i="3"/>
  <c r="W30" i="3" s="1"/>
  <c r="S29" i="3"/>
  <c r="W29" i="3" s="1"/>
  <c r="S28" i="3"/>
  <c r="W28" i="3" s="1"/>
  <c r="U27" i="3"/>
  <c r="U26" i="3"/>
  <c r="U25" i="3"/>
  <c r="U24" i="3"/>
  <c r="U23" i="3"/>
  <c r="S22" i="3"/>
  <c r="W22" i="3" s="1"/>
  <c r="S21" i="3"/>
  <c r="W21" i="3" s="1"/>
  <c r="S20" i="3"/>
  <c r="W20" i="3" s="1"/>
  <c r="U19" i="3"/>
  <c r="U18" i="3"/>
  <c r="U17" i="3"/>
  <c r="U16" i="3"/>
  <c r="N46" i="9" l="1"/>
  <c r="K46" i="11" s="1"/>
  <c r="U38" i="8"/>
  <c r="U39" i="8"/>
  <c r="W39" i="8"/>
  <c r="K48" i="11"/>
  <c r="U38" i="11"/>
  <c r="U37" i="11"/>
  <c r="U43" i="8"/>
  <c r="Q12" i="3"/>
  <c r="K12" i="3"/>
  <c r="G12" i="3"/>
  <c r="U29" i="3"/>
  <c r="S27" i="3"/>
  <c r="W27" i="3" s="1"/>
  <c r="U20" i="3"/>
  <c r="U28" i="3"/>
  <c r="U21" i="3"/>
  <c r="S18" i="3"/>
  <c r="W18" i="3" s="1"/>
  <c r="S26" i="3"/>
  <c r="W26" i="3" s="1"/>
  <c r="S17" i="3"/>
  <c r="W17" i="3" s="1"/>
  <c r="S19" i="3"/>
  <c r="W19" i="3" s="1"/>
  <c r="S25" i="3"/>
  <c r="W25" i="3" s="1"/>
  <c r="U22" i="3"/>
  <c r="U30" i="3"/>
  <c r="S16" i="3"/>
  <c r="W16" i="3" s="1"/>
  <c r="S24" i="3"/>
  <c r="W24" i="3" s="1"/>
  <c r="S32" i="3"/>
  <c r="W32" i="3" s="1"/>
  <c r="S23" i="3"/>
  <c r="W23" i="3" s="1"/>
  <c r="S31" i="3"/>
  <c r="W31" i="3" s="1"/>
  <c r="U40" i="11" l="1"/>
  <c r="N48" i="11" s="1"/>
  <c r="N46" i="11"/>
  <c r="K46" i="12" s="1"/>
  <c r="U42" i="9"/>
  <c r="U34" i="3"/>
  <c r="U38" i="3" s="1"/>
  <c r="N49" i="11" l="1"/>
  <c r="K48" i="12"/>
  <c r="W34" i="3"/>
  <c r="W38" i="3" s="1"/>
  <c r="W39" i="3" l="1"/>
  <c r="U39" i="3"/>
  <c r="U43" i="3"/>
  <c r="K49" i="12"/>
  <c r="W37" i="12" s="1"/>
  <c r="U42" i="11"/>
  <c r="U37" i="12" l="1"/>
  <c r="U38" i="12"/>
  <c r="U40" i="12" l="1"/>
  <c r="N48" i="12" s="1"/>
  <c r="N46" i="12"/>
  <c r="K46" i="13" s="1"/>
  <c r="K48" i="13" l="1"/>
  <c r="N49" i="12"/>
  <c r="K49" i="13" l="1"/>
  <c r="W37" i="13" s="1"/>
  <c r="U42" i="12"/>
  <c r="U38" i="13" l="1"/>
  <c r="U37" i="13"/>
  <c r="U40" i="13" l="1"/>
  <c r="N48" i="13" s="1"/>
  <c r="N46" i="13"/>
  <c r="K46" i="14" s="1"/>
  <c r="N49" i="13" l="1"/>
  <c r="K48" i="14"/>
  <c r="U42" i="13" l="1"/>
  <c r="K49" i="14"/>
  <c r="W37" i="14" s="1"/>
  <c r="U38" i="14" l="1"/>
  <c r="U37" i="14"/>
  <c r="U40" i="14" l="1"/>
  <c r="N48" i="14" s="1"/>
  <c r="N46" i="14"/>
  <c r="K46" i="15" s="1"/>
  <c r="N49" i="14" l="1"/>
  <c r="K48" i="15"/>
  <c r="U42" i="14" l="1"/>
  <c r="K49" i="15"/>
  <c r="W37" i="15" s="1"/>
  <c r="U37" i="15" l="1"/>
  <c r="U38" i="15"/>
  <c r="U40" i="15" l="1"/>
  <c r="N48" i="15" s="1"/>
  <c r="N49" i="15" s="1"/>
  <c r="U42" i="15" s="1"/>
  <c r="N4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C133" authorId="0" shapeId="0" xr:uid="{26B838E4-9E47-4AF0-A843-3CFA527E9D41}">
      <text>
        <r>
          <rPr>
            <b/>
            <sz val="10"/>
            <color indexed="81"/>
            <rFont val="Tahoma"/>
            <family val="2"/>
          </rPr>
          <t>Melene AHOUNOU
R</t>
        </r>
        <r>
          <rPr>
            <sz val="10"/>
            <color indexed="81"/>
            <rFont val="Tahoma"/>
            <family val="2"/>
          </rPr>
          <t>enommer CT. Initialement CH par erreur car doublon avec chemise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809ACE89-DAE1-4740-8874-194F0E0C709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98B59B32-3C88-4F0A-8125-B9E7215B149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BC32265D-C4F5-4C85-9B5C-277773D5DCC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104D1462-4DC8-4307-8E53-5FC540F5B67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4630D53F-79CC-4B08-94C2-365399CD35E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BC23C8CF-6136-4E24-B310-CCB624F1968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0E9E105B-EA1A-4FBD-A82C-05C03A17FA9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329EE69B-F643-4A32-9D4E-2CEA7BE2582C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F3A07494-4062-4007-BA71-711947454DB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BDD34E0C-F668-403E-BF7C-28ADA9FF64F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O14" authorId="0" shapeId="0" xr:uid="{6B67B2AC-86F2-4A13-B40F-3FC1C604D3E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0 pour 0% de remise
1 pour 5% de remise
2 pour 7% de remise
3 pour 10% de remise</t>
        </r>
      </text>
    </comment>
    <comment ref="B34" authorId="0" shapeId="0" xr:uid="{82F13E06-CB17-4DFE-B6A1-34C79C8D622F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2A2E6C24-5B49-4499-A9C0-9DAACC1DC38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EF9BF178-9E3B-4862-B42B-E7055AC3985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F08FCBBE-3AD1-4956-97F3-FAE38A53B9F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H11" authorId="0" shapeId="0" xr:uid="{9C3E6D31-D067-4DA7-AA66-3D539C098B0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R11" authorId="0" shapeId="0" xr:uid="{52ECC8FE-EC6F-422D-9B24-0CA3CFAA1E1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B80817EA-0B68-4F30-BCC5-95534CAD063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L14" authorId="0" shapeId="0" xr:uid="{0EEC2F73-AB12-47E4-A93E-9387D17AE71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multiplicateur. A utiliser pour mulitiplier le prix ordinaire par un coefficient. Pour le blanc par exemple</t>
        </r>
      </text>
    </comment>
    <comment ref="M14" authorId="0" shapeId="0" xr:uid="{4EA7AA9C-206E-4A6B-B450-ABAF6C1CC44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0 pour 0% de remise
1 pour 5% de remise
2 pour 7% de remise
3 pour 10% de remise</t>
        </r>
      </text>
    </comment>
    <comment ref="B34" authorId="0" shapeId="0" xr:uid="{B9D645F4-10A6-4AB4-A41F-9459D50332B1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824A48B7-5FFB-4DB2-AEB5-A6A794D10B2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D68BF52C-4FA1-4E16-937B-E7BA08E646E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808BE70E-9176-4DAB-9339-8667EEF7880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B0E1EE49-E1F8-41B8-880C-B731A70A264C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78BBAE04-6EC1-412C-94FD-B02842F94A5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C46C3308-5612-42CB-870F-38257CA810F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933C8243-96EF-4F5F-87A0-58E30ADB8E9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9C64570D-A89D-4655-9B15-E7053DD3C9C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537CC7D6-4E1F-418A-8C94-DD0241EADFC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0C2AA31C-B0D4-489E-8F33-6A71713DE9D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1036944F-F64F-4A1D-90CB-BA1A50C17153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36279C03-C190-424F-B490-6CA75EB2CE2C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0AF62F72-7C01-4E99-B706-4D8F73A3BB4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1C63D129-5E7C-4191-99E9-A09292766E6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516217D7-6987-4D2C-AEB2-096406A8C0C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970C66FD-A220-404B-B8EB-FBCD34A6C19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2D50ADDB-AF51-4AB8-9423-A227FC650AE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6F3B7CCE-AD8B-4853-87E0-75B683C02DB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F1B1FC8A-F499-45D6-B55B-831B9965BB1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CE233125-0E0E-4A7F-8497-B165DC03B7C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4B6D1B98-C2A1-4D2E-851B-AB8FB961014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B6325297-6F96-49BC-8DF2-BF34545AE354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6D0E80E5-EB92-400C-B9DC-EC2389E90CBF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28BB80E4-7A78-4D4D-BD40-41DF87C7786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AD2A1633-C91E-4AD2-BA0F-E17609B2DFC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CB444070-2137-4BCF-8036-E619A4C1E8AD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C6DDC981-2B21-4F41-BEF6-8DEAA97E1CC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9F705764-CAD2-4D40-A483-B3AC5454C9A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29B5C142-BC02-4F0B-BE6E-B01F843FD119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DC2748F1-1B76-4D61-AD11-F71F01D6611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A1739DF4-8937-46FC-B1CE-C8E9D9ACC44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D1CA23C5-925E-4880-AAE9-11FFB9D5A5D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3499FE28-2AC7-4E6A-9D00-A2F9CA03078A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B5B742CD-B1E5-4C8E-A18E-70FA2AF65C3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E5CE9626-4301-4B11-B51B-978A4C46C6D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2885558A-14D4-4E25-9863-DAE674F7417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8E76C1A0-44BA-41E5-A94E-5773E12D065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45B9280A-4207-4F61-9ACF-B1AAB10B393B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DCEFBF4B-08B0-4C6F-963D-F2556DEEECC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021DC53F-7E78-4A22-B8C5-D457258321B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7F186570-EA83-4419-9090-A89F0206E69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A49737E6-A9E7-4613-A19F-778BB5831358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AE9236FD-C51C-4AB2-A425-C6FEAE5B8C9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20DB2EF7-76C5-4E94-BACD-C75BB41F93FD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548E874E-FABD-43DF-8FF3-1A61BC66C45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5244C8C9-AE5C-41EE-96BA-7C6186B633C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29AE2CE6-A5D6-4521-A191-02420392E3C4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2CAD23A0-3A68-4CF0-A135-9EC211578B3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DEC32E4A-2B12-40DA-B5F4-DB2FD41524C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79A9BFA0-C6B0-4476-82E1-0D16AF04123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F01FE1EC-3633-4A26-8630-B588EE5226E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DEBA5080-B70E-4FE1-BFD0-005C721795A5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DC93DBD0-5CCB-43E5-BFE7-8DE5BAD49E52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4B683FF3-3BF4-4DA1-A0D9-9E9D886C579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F9789F55-A5F9-42A6-B533-BAE63ACE2560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Melene AHOUNOU</author>
  </authors>
  <commentList>
    <comment ref="B6" authorId="0" shapeId="0" xr:uid="{FA450F41-F7CF-41B4-8878-576EEADE612E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La date du jour est renseignée automatiquement.
Changer au besoin
</t>
        </r>
      </text>
    </comment>
    <comment ref="S6" authorId="0" shapeId="0" xr:uid="{8B2D8A28-DD7D-4B84-B44C-59A5D7944C2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lorsque le numéro de commande et le type de commande sont bien renseignés
</t>
        </r>
        <r>
          <rPr>
            <b/>
            <sz val="10"/>
            <color indexed="81"/>
            <rFont val="Tahoma"/>
            <family val="2"/>
          </rPr>
          <t>Veiller à toujours ajouter les jours fériés à la feuille du nom pour la prise en compte</t>
        </r>
      </text>
    </comment>
    <comment ref="B8" authorId="0" shapeId="0" xr:uid="{0C85F872-D89F-49AA-9CE1-67CAC027FD7A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Choisir Normale ou Express</t>
        </r>
      </text>
    </comment>
    <comment ref="D11" authorId="0" shapeId="0" xr:uid="{293E3B12-AC9B-4914-97E5-D19DE256E221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 au niveau du num de commande</t>
        </r>
      </text>
    </comment>
    <comment ref="G11" authorId="0" shapeId="0" xr:uid="{627CABEE-B5B4-401F-815B-1FF62459861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1" authorId="0" shapeId="0" xr:uid="{B6537B04-453A-4F0D-B16F-C532BC6B876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
</t>
        </r>
      </text>
    </comment>
    <comment ref="Q11" authorId="0" shapeId="0" xr:uid="{30819AA3-5CBA-435A-8876-0DDA7687DFB7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Ce champ se remplit automatiquement si la réf client est bien renseignée</t>
        </r>
      </text>
    </comment>
    <comment ref="K14" authorId="0" shapeId="0" xr:uid="{291E91C2-4A0D-46C5-999D-26B32D98AE93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Indiquer s'il y a une spécificité comme Repassage, enfant , bébé</t>
        </r>
      </text>
    </comment>
    <comment ref="M14" authorId="0" shapeId="0" xr:uid="{BF16AC17-6601-4DDF-9E6A-13511D3FD066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diviseur.
Mettre 2 par exemple divisera le montant de l'article par 2 (pour les tarif enfant ou repassage)</t>
        </r>
      </text>
    </comment>
    <comment ref="N14" authorId="0" shapeId="0" xr:uid="{25DF73CB-9834-4C09-9F5C-F844B017BFF0}">
      <text>
        <r>
          <rPr>
            <b/>
            <sz val="10"/>
            <color indexed="81"/>
            <rFont val="Tahoma"/>
            <family val="2"/>
          </rPr>
          <t>Melene AHOUNOU:</t>
        </r>
        <r>
          <rPr>
            <sz val="10"/>
            <color indexed="81"/>
            <rFont val="Tahoma"/>
            <family val="2"/>
          </rPr>
          <t xml:space="preserve">
Coefficient multiplicateur
par exemple y mettre 1.45 pour avoir le montant express d'un article</t>
        </r>
      </text>
    </comment>
    <comment ref="B33" authorId="0" shapeId="0" xr:uid="{2365F31D-8BDC-4B6E-9A8C-DD814B384934}">
      <text>
        <r>
          <rPr>
            <b/>
            <sz val="9"/>
            <color indexed="81"/>
            <rFont val="Tahoma"/>
            <family val="2"/>
          </rPr>
          <t>Melene AHOUNOU:</t>
        </r>
        <r>
          <rPr>
            <sz val="9"/>
            <color indexed="81"/>
            <rFont val="Tahoma"/>
            <family val="2"/>
          </rPr>
          <t xml:space="preserve">
Total effets au kilo + Total effets à la pièce</t>
        </r>
      </text>
    </comment>
  </commentList>
</comments>
</file>

<file path=xl/sharedStrings.xml><?xml version="1.0" encoding="utf-8"?>
<sst xmlns="http://schemas.openxmlformats.org/spreadsheetml/2006/main" count="3799" uniqueCount="1805">
  <si>
    <t>N°</t>
  </si>
  <si>
    <t>Articles</t>
  </si>
  <si>
    <t>Détails</t>
  </si>
  <si>
    <t>Code</t>
  </si>
  <si>
    <t>Catégorie</t>
  </si>
  <si>
    <t xml:space="preserve">Prix </t>
  </si>
  <si>
    <t>Boxer homme</t>
  </si>
  <si>
    <t xml:space="preserve">Toutes matières </t>
  </si>
  <si>
    <t>SV</t>
  </si>
  <si>
    <t>Homme</t>
  </si>
  <si>
    <t>Débardeur homme</t>
  </si>
  <si>
    <t>Culotte femme</t>
  </si>
  <si>
    <t>Femme</t>
  </si>
  <si>
    <t>Collant Petit/Grand</t>
  </si>
  <si>
    <t>Soutien-gorge femme</t>
  </si>
  <si>
    <t>Nuisette femme bas /haut</t>
  </si>
  <si>
    <t>Nuisette femme Court</t>
  </si>
  <si>
    <t>Nuisette femme Long</t>
  </si>
  <si>
    <t>SV v2</t>
  </si>
  <si>
    <t>Toutes matières</t>
  </si>
  <si>
    <t>CH</t>
  </si>
  <si>
    <t>Unisex</t>
  </si>
  <si>
    <t>PA</t>
  </si>
  <si>
    <t xml:space="preserve">Polo </t>
  </si>
  <si>
    <t>PO</t>
  </si>
  <si>
    <t>T-Shirt</t>
  </si>
  <si>
    <t>TS</t>
  </si>
  <si>
    <t>Short</t>
  </si>
  <si>
    <t>SH</t>
  </si>
  <si>
    <t xml:space="preserve">Autre Haut </t>
  </si>
  <si>
    <t>AH</t>
  </si>
  <si>
    <t xml:space="preserve">Autre bas </t>
  </si>
  <si>
    <t>AB</t>
  </si>
  <si>
    <t>JU</t>
  </si>
  <si>
    <t>RO</t>
  </si>
  <si>
    <t>RO v2</t>
  </si>
  <si>
    <t>Robe de Mariage/Courte/Longue</t>
  </si>
  <si>
    <t>RO v3</t>
  </si>
  <si>
    <t>TL</t>
  </si>
  <si>
    <t>TL v2</t>
  </si>
  <si>
    <t>CL2</t>
  </si>
  <si>
    <t>CL3</t>
  </si>
  <si>
    <t>CL2 v2</t>
  </si>
  <si>
    <t>CL3 v3</t>
  </si>
  <si>
    <t>VE</t>
  </si>
  <si>
    <t>VE v2</t>
  </si>
  <si>
    <t>CO</t>
  </si>
  <si>
    <t>TG</t>
  </si>
  <si>
    <t>Coton, lin ou autres</t>
  </si>
  <si>
    <t>SE</t>
  </si>
  <si>
    <t>Maison</t>
  </si>
  <si>
    <t>DR</t>
  </si>
  <si>
    <t>Taie par pièce</t>
  </si>
  <si>
    <t>TA</t>
  </si>
  <si>
    <t>Rideau Petit/Moyen-Tissu léger</t>
  </si>
  <si>
    <t>145 à 200 cm de larg x 250 à 380 cm de Haut</t>
  </si>
  <si>
    <t>RI</t>
  </si>
  <si>
    <t>Rideau Grand-Tissu léger</t>
  </si>
  <si>
    <t>200 à 350 cm de largeur x 380 cm de Hauteur</t>
  </si>
  <si>
    <t>Rideau Petit/Moyen-Tissu lourd</t>
  </si>
  <si>
    <t>145 à 200 cm de larg x 250 à 380cm de Haut</t>
  </si>
  <si>
    <t>Rideau Grand-Wax/Tissu lourd</t>
  </si>
  <si>
    <t>200 à 350 cm de larg x 250 à 380cm de Haut</t>
  </si>
  <si>
    <t>RI v2</t>
  </si>
  <si>
    <t>Tissu léger</t>
  </si>
  <si>
    <t>HF</t>
  </si>
  <si>
    <t>Tissu lourd</t>
  </si>
  <si>
    <t>HF v2</t>
  </si>
  <si>
    <t>Nappe de table petit/moyen</t>
  </si>
  <si>
    <t>pour table de 2 à 4 places</t>
  </si>
  <si>
    <t>NA</t>
  </si>
  <si>
    <t>pour table de 6 à 10 places</t>
  </si>
  <si>
    <t>NA v2</t>
  </si>
  <si>
    <t>Torchon cuisine petit/grand</t>
  </si>
  <si>
    <t>NA v3</t>
  </si>
  <si>
    <t>CA</t>
  </si>
  <si>
    <t>CA v2</t>
  </si>
  <si>
    <t>SA</t>
  </si>
  <si>
    <t>SA v2</t>
  </si>
  <si>
    <t>Mouchoir</t>
  </si>
  <si>
    <t>MO</t>
  </si>
  <si>
    <t>UN</t>
  </si>
  <si>
    <t>UN v2</t>
  </si>
  <si>
    <t>Peluche Petit</t>
  </si>
  <si>
    <t>PE</t>
  </si>
  <si>
    <t>Peluche Moyen</t>
  </si>
  <si>
    <t>PE v2</t>
  </si>
  <si>
    <t>Peluche Grand</t>
  </si>
  <si>
    <t>PE v3</t>
  </si>
  <si>
    <t>Peluche Très grand</t>
  </si>
  <si>
    <t>PE v4</t>
  </si>
  <si>
    <t>Cravate/Noeud Papillon</t>
  </si>
  <si>
    <t>CR</t>
  </si>
  <si>
    <t>FO</t>
  </si>
  <si>
    <t>FO v2</t>
  </si>
  <si>
    <t>Gant (Paire ou 1)</t>
  </si>
  <si>
    <t>GA</t>
  </si>
  <si>
    <t>Chausette (Paire ou 1 )</t>
  </si>
  <si>
    <t>Chasuble petit</t>
  </si>
  <si>
    <t>CP</t>
  </si>
  <si>
    <t>Chasuble prêtre</t>
  </si>
  <si>
    <t>CP v2</t>
  </si>
  <si>
    <t>N/A</t>
  </si>
  <si>
    <t>Sous-vêtement  (SV)</t>
  </si>
  <si>
    <t>Sous-vêtement  (SV v2)</t>
  </si>
  <si>
    <t>Chemise (CH)</t>
  </si>
  <si>
    <t>Pantalon (PA)</t>
  </si>
  <si>
    <t>Polo (PO)</t>
  </si>
  <si>
    <t>T-Shirt (TS)</t>
  </si>
  <si>
    <t>Short (SH)</t>
  </si>
  <si>
    <t>Autre Haut (AH)</t>
  </si>
  <si>
    <t>Autre Bas (AB)</t>
  </si>
  <si>
    <t>Tenue Locale (TL)</t>
  </si>
  <si>
    <t>Tenue Locale (TL v2)</t>
  </si>
  <si>
    <t>Complet Local (CL2)</t>
  </si>
  <si>
    <t>Complet Local (CL3)</t>
  </si>
  <si>
    <t>Complet Local (CL3 v3)</t>
  </si>
  <si>
    <t>Veste/Manteau (VE)</t>
  </si>
  <si>
    <t>Veste/Manteau (VE v2)</t>
  </si>
  <si>
    <t>Costume/Tailleur (CO)</t>
  </si>
  <si>
    <t>Serviette/Peignoir (SE)</t>
  </si>
  <si>
    <t>Drap/Couette (DR)</t>
  </si>
  <si>
    <t>Taie ( TA)</t>
  </si>
  <si>
    <t>Rideau (RI)</t>
  </si>
  <si>
    <t>Rideau (RIv2)</t>
  </si>
  <si>
    <t>Housse Fauteuil (HF)</t>
  </si>
  <si>
    <t>Housse Fauteuil (HF v2)</t>
  </si>
  <si>
    <t>Nappe/Torchons (NA)</t>
  </si>
  <si>
    <t>Nappe/Torchons (NAv2)</t>
  </si>
  <si>
    <t>Nappe/Torchons (NAv3)</t>
  </si>
  <si>
    <t>Chapeau (CA)</t>
  </si>
  <si>
    <t>Chapeau (CA v2)</t>
  </si>
  <si>
    <t>Mouchoir (MO)</t>
  </si>
  <si>
    <t>Peluche (PE)</t>
  </si>
  <si>
    <t>Peluche (PE v2)</t>
  </si>
  <si>
    <t>Peluche (PE v3)</t>
  </si>
  <si>
    <t>Peluche (PE v4)</t>
  </si>
  <si>
    <t>Cravate/Noeud Papillon (CR)</t>
  </si>
  <si>
    <t>Foulard/Echarpe (FO)</t>
  </si>
  <si>
    <t>Foulard/Echarpe (FOv2)</t>
  </si>
  <si>
    <t>Gant (GA)</t>
  </si>
  <si>
    <t>Chasuble (CP)</t>
  </si>
  <si>
    <t>Chasuble (CP v2)</t>
  </si>
  <si>
    <t>Num Commande:</t>
  </si>
  <si>
    <t>Nom du Client:</t>
  </si>
  <si>
    <t>Date  de Livraison:</t>
  </si>
  <si>
    <t>Réf Client:</t>
  </si>
  <si>
    <t>CP184KE</t>
  </si>
  <si>
    <t>Paiement dû:</t>
  </si>
  <si>
    <t>Code Art</t>
  </si>
  <si>
    <t>Description</t>
  </si>
  <si>
    <t>Quantité</t>
  </si>
  <si>
    <t>PU Standard</t>
  </si>
  <si>
    <t>Cat 
Rem</t>
  </si>
  <si>
    <t>PU rem</t>
  </si>
  <si>
    <t>Total Remisé</t>
  </si>
  <si>
    <t>Cintres</t>
  </si>
  <si>
    <t>Livraison</t>
  </si>
  <si>
    <t>Total HT</t>
  </si>
  <si>
    <t xml:space="preserve"> Remise</t>
  </si>
  <si>
    <t>TVA</t>
  </si>
  <si>
    <t>AIB</t>
  </si>
  <si>
    <t>Solde Client</t>
  </si>
  <si>
    <t>Net à Payer</t>
  </si>
  <si>
    <t>Washman vous remercie pour la confiance!</t>
  </si>
  <si>
    <t>Matières riches= Lace voile, bazin riche, Vlisco Edition limitée (avec brillant ou en satin) ou Mat de costume ou autres</t>
  </si>
  <si>
    <t>Matières  ordinaires= matières modernes simples, tissus imprimés ou Vlisco simple, guipure, dry lace  ou autres</t>
  </si>
  <si>
    <t>PB= De couleur autre que le blanc</t>
  </si>
  <si>
    <t>TC= De toutes couleurs</t>
  </si>
  <si>
    <t>SPG= Sans pierres ni garnitures</t>
  </si>
  <si>
    <t>APG= Avec pierres et ou garnitures</t>
  </si>
  <si>
    <t>Catalogue de Prix.v2.2023</t>
  </si>
  <si>
    <t>Statut</t>
  </si>
  <si>
    <t>Fréquence</t>
  </si>
  <si>
    <t>Description Fact</t>
  </si>
  <si>
    <t>Express</t>
  </si>
  <si>
    <t>Coef 2</t>
  </si>
  <si>
    <t>Coef 4</t>
  </si>
  <si>
    <t>Inchangé</t>
  </si>
  <si>
    <t>Rare</t>
  </si>
  <si>
    <t>Ens nuisette femme (bas et haut)</t>
  </si>
  <si>
    <t>Chemise v1</t>
  </si>
  <si>
    <t>Chemise couleur crt et long. Chemise Blanche crt</t>
  </si>
  <si>
    <t>Revu</t>
  </si>
  <si>
    <t>Fréquent</t>
  </si>
  <si>
    <t>CH v2</t>
  </si>
  <si>
    <t>Chemise v2</t>
  </si>
  <si>
    <t>Chemise blanche longue</t>
  </si>
  <si>
    <t>Nouveau</t>
  </si>
  <si>
    <t>Chemise (CH v2)</t>
  </si>
  <si>
    <t>HS</t>
  </si>
  <si>
    <t xml:space="preserve">Haut en soie </t>
  </si>
  <si>
    <t>Haut court en soie/ aut mat délicates (dentelle,laine, cachemir…)</t>
  </si>
  <si>
    <t>Haut en matière délicate (HS)</t>
  </si>
  <si>
    <t>Haut qui n'est pas CH TS PO</t>
  </si>
  <si>
    <t>PH</t>
  </si>
  <si>
    <t>Petit Haut</t>
  </si>
  <si>
    <t>Haut petit et léger. Pas en matière délicate</t>
  </si>
  <si>
    <t>Petit Haut (PH)</t>
  </si>
  <si>
    <t>Jupe Courte/Longue simple</t>
  </si>
  <si>
    <t>Jupe simple Toutes matières. Toutes couleurs</t>
  </si>
  <si>
    <t>JU v2</t>
  </si>
  <si>
    <t>Jupe Courte/Longue complexe</t>
  </si>
  <si>
    <t>Jupe complexe ou lourde</t>
  </si>
  <si>
    <t>Jupe (JU v2)</t>
  </si>
  <si>
    <t>JU v3</t>
  </si>
  <si>
    <t>Jupe de Tailleur ou très habillée</t>
  </si>
  <si>
    <t>Jupe bas de Tailleur . Jupe en matière de costume ou délicate</t>
  </si>
  <si>
    <t>Jupe (JU v3)</t>
  </si>
  <si>
    <t>Pantalon simple/ Jeans/Chino</t>
  </si>
  <si>
    <t>Pantalon matière ordinaire. Toutes couleurs</t>
  </si>
  <si>
    <t>PA v2</t>
  </si>
  <si>
    <t>Pantalon Jogging</t>
  </si>
  <si>
    <t>Pantalon jogging lourd ou PA en mat lourd</t>
  </si>
  <si>
    <t>Pantalon (PA v2)</t>
  </si>
  <si>
    <t>PA v3</t>
  </si>
  <si>
    <t>Pantalon Costume</t>
  </si>
  <si>
    <t xml:space="preserve">Pantalon matière costume. </t>
  </si>
  <si>
    <t>Bas qui n'est pas JU PA SH</t>
  </si>
  <si>
    <t>PB</t>
  </si>
  <si>
    <t>Petit Bas</t>
  </si>
  <si>
    <t xml:space="preserve">Bas petit et léger. Pas en mat délicate </t>
  </si>
  <si>
    <t>Petit Bas (PB)</t>
  </si>
  <si>
    <t xml:space="preserve">CB </t>
  </si>
  <si>
    <t>Combinaison Court- v1</t>
  </si>
  <si>
    <t xml:space="preserve">Combi Short + haut  autre mat que matière riche ou délicate </t>
  </si>
  <si>
    <t>Combinaison courte (CB)</t>
  </si>
  <si>
    <t>CB v2</t>
  </si>
  <si>
    <t>Combinaison Long- v2</t>
  </si>
  <si>
    <t xml:space="preserve">Combi PA + Haut  autre matière que matière riche ou délicate </t>
  </si>
  <si>
    <t>Combinaison longue (CB v2)</t>
  </si>
  <si>
    <t>CB v3</t>
  </si>
  <si>
    <t>Combinaison Mat riche- v3</t>
  </si>
  <si>
    <t xml:space="preserve">Combi court/Lg en matière riche </t>
  </si>
  <si>
    <t>CB v4</t>
  </si>
  <si>
    <t>Combi Soie/Mat delicat- v4</t>
  </si>
  <si>
    <t>Combi crt/Lg en soie/autr mat délicat (dentelle,laine, cachemir)</t>
  </si>
  <si>
    <t>Robe courte Mat ordi-v1</t>
  </si>
  <si>
    <t xml:space="preserve">Robe courte en matière ordinaire, TC, SPG
</t>
  </si>
  <si>
    <t>Robe  courte Mat rich -v2</t>
  </si>
  <si>
    <t xml:space="preserve">RO courte en matière  riche TC, SPG. 
</t>
  </si>
  <si>
    <t>Robe courte  en soie -v3</t>
  </si>
  <si>
    <t>RO courte en soie dentelle,laine, cachemire ou autre matièr delicat</t>
  </si>
  <si>
    <t>Robe (RO v3)</t>
  </si>
  <si>
    <t>Robe longue Mat ordi- v3</t>
  </si>
  <si>
    <t xml:space="preserve">RO longue en matière ordimaire,PB, SPG. 
</t>
  </si>
  <si>
    <t>RO v4</t>
  </si>
  <si>
    <t>Robe longue Mat riche -v4</t>
  </si>
  <si>
    <r>
      <t>RO longue en matière riche, PB, SPG.</t>
    </r>
    <r>
      <rPr>
        <b/>
        <sz val="9"/>
        <color theme="1"/>
        <rFont val="Arial"/>
        <family val="2"/>
      </rPr>
      <t xml:space="preserve"> </t>
    </r>
  </si>
  <si>
    <t>Robe (RO v4)</t>
  </si>
  <si>
    <t>RO v5</t>
  </si>
  <si>
    <t>Robe longue en soie -v5</t>
  </si>
  <si>
    <t xml:space="preserve">Robe longue en soie ou autres mat délicates </t>
  </si>
  <si>
    <t>Robe (RO v5)</t>
  </si>
  <si>
    <t>Robe blanche Lg Mat Ordi-v4</t>
  </si>
  <si>
    <t>Robe longue Blanche en matière ordinaire SPG</t>
  </si>
  <si>
    <t>Robe blanche Lg Mat riche-v5</t>
  </si>
  <si>
    <t>Robe longue Blanche en matière riche- SPG</t>
  </si>
  <si>
    <t>Robe APG PB- v5</t>
  </si>
  <si>
    <r>
      <t xml:space="preserve">Robe  avec pierres et ou garnitures PB
</t>
    </r>
    <r>
      <rPr>
        <b/>
        <sz val="9"/>
        <color theme="1"/>
        <rFont val="Arial"/>
        <family val="2"/>
      </rPr>
      <t xml:space="preserve">
</t>
    </r>
    <r>
      <rPr>
        <sz val="9"/>
        <color theme="1"/>
        <rFont val="Arial"/>
        <family val="2"/>
      </rPr>
      <t xml:space="preserve">
</t>
    </r>
  </si>
  <si>
    <t>RO v6</t>
  </si>
  <si>
    <t>Robe  APG blanche- v6</t>
  </si>
  <si>
    <r>
      <t xml:space="preserve">Robe  avec pierres et ou garnitures Blanche
</t>
    </r>
    <r>
      <rPr>
        <b/>
        <sz val="9"/>
        <color theme="1"/>
        <rFont val="Arial"/>
        <family val="2"/>
      </rPr>
      <t xml:space="preserve">
</t>
    </r>
    <r>
      <rPr>
        <sz val="9"/>
        <color theme="1"/>
        <rFont val="Arial"/>
        <family val="2"/>
      </rPr>
      <t xml:space="preserve">
</t>
    </r>
  </si>
  <si>
    <t>Robe (RO v6)</t>
  </si>
  <si>
    <t>RO v7</t>
  </si>
  <si>
    <t>Robe Tailleur -v7</t>
  </si>
  <si>
    <t>Robe en matière et ou avec doublure  de costume</t>
  </si>
  <si>
    <t>Robe (RO v7)</t>
  </si>
  <si>
    <t>Robe - traitement délicat-v7</t>
  </si>
  <si>
    <t>RO crt/Lg avec lav et repassage à faire avec beaucoup de soin</t>
  </si>
  <si>
    <t>Robe (RO v8)</t>
  </si>
  <si>
    <t>RO v8</t>
  </si>
  <si>
    <t>Robe - traitement délicat-v8</t>
  </si>
  <si>
    <t>RO v9</t>
  </si>
  <si>
    <t>Robe - traitement très délicat-v9</t>
  </si>
  <si>
    <t>RO tte mat, délicat à traiter et pas robe de mariée</t>
  </si>
  <si>
    <t>Robe (RO v9)</t>
  </si>
  <si>
    <t>RO v10</t>
  </si>
  <si>
    <t>Tenue locale- v1</t>
  </si>
  <si>
    <r>
      <t>Haut ou Bas en tissu local ordi,TC crt/ Lg. TL</t>
    </r>
    <r>
      <rPr>
        <sz val="10"/>
        <color theme="1"/>
        <rFont val="Arial"/>
        <family val="2"/>
      </rPr>
      <t xml:space="preserve"> Blanc crt</t>
    </r>
  </si>
  <si>
    <t>Tenue locale- v2</t>
  </si>
  <si>
    <t>TL Blanc long .</t>
  </si>
  <si>
    <t>TL v3</t>
  </si>
  <si>
    <t>Tenue locale- v3</t>
  </si>
  <si>
    <t>TL en tissu lourd ou pas simple</t>
  </si>
  <si>
    <t>Tenue Locale (TL v3)</t>
  </si>
  <si>
    <t>Pagne atchoke/Zédédji-v3</t>
  </si>
  <si>
    <t>Pagne atchoke grand</t>
  </si>
  <si>
    <t>TL v4</t>
  </si>
  <si>
    <t>Bisht/Hijab_v4</t>
  </si>
  <si>
    <t>Manteau/Tunique musulman</t>
  </si>
  <si>
    <t>Tenue Locale (TL v4)</t>
  </si>
  <si>
    <t>TL v5</t>
  </si>
  <si>
    <t>Haut de Agbada en mat riche-v5</t>
  </si>
  <si>
    <t>Haut Agbada en matière riche APG</t>
  </si>
  <si>
    <t>Tenue Locale (TL v5)</t>
  </si>
  <si>
    <t>TL v6</t>
  </si>
  <si>
    <t>Haut de Agbada en atchoke-v6</t>
  </si>
  <si>
    <t>Agbada en matière lourde/ délicate/ chargée</t>
  </si>
  <si>
    <t>CL2 Mat Ordinaire- v1</t>
  </si>
  <si>
    <t>CL2 en mat ordi, PB, SPG</t>
  </si>
  <si>
    <t>CL2 Mat riche- v2</t>
  </si>
  <si>
    <t>Complet Local (CL2 v2)</t>
  </si>
  <si>
    <t>CL2 v3</t>
  </si>
  <si>
    <t>CL2  Mat riche Blanc SPG-v3</t>
  </si>
  <si>
    <t>Complet Local (CL2 v3)</t>
  </si>
  <si>
    <t>CL2 v4</t>
  </si>
  <si>
    <t>CL2  Mat riche Blanc APG -v4</t>
  </si>
  <si>
    <r>
      <t xml:space="preserve">CL2 Mat riche Blanc APG. </t>
    </r>
    <r>
      <rPr>
        <b/>
        <sz val="9"/>
        <color theme="1"/>
        <rFont val="Arial"/>
        <family val="2"/>
      </rPr>
      <t>Goodluck costume</t>
    </r>
  </si>
  <si>
    <t>Complet Local (CL2 v4)</t>
  </si>
  <si>
    <t>CL2 v5</t>
  </si>
  <si>
    <t>CL2-Mat rare-v5</t>
  </si>
  <si>
    <t>CL2 en matière rare ou lourde comme atchoke</t>
  </si>
  <si>
    <t>Complet Local (CL2 v5)</t>
  </si>
  <si>
    <t>CL3- Bomba Femme-v1</t>
  </si>
  <si>
    <t>Bomba avec 2 pagnes + 1 haut . Toutes Matières</t>
  </si>
  <si>
    <t>CL3 v2</t>
  </si>
  <si>
    <t>Complet local 3 pièces-Femme-v2</t>
  </si>
  <si>
    <t>CL3 Mat ordi mais PB.</t>
  </si>
  <si>
    <t>Complet Local (CL3 v2)</t>
  </si>
  <si>
    <t>Complet local 3 pièces-PB- v3</t>
  </si>
  <si>
    <t xml:space="preserve">CL3 Mat riche PB. CL3 Mat ordi Blanc ou APG . </t>
  </si>
  <si>
    <t>CL3 v4</t>
  </si>
  <si>
    <t>Complet local 3 pièces -Blanc-v4</t>
  </si>
  <si>
    <t xml:space="preserve">
CL3 Mat riche blanc. 
</t>
  </si>
  <si>
    <t>Complet Local (CL3 v4)</t>
  </si>
  <si>
    <t>Complet local 3 pièces atchoké-v5</t>
  </si>
  <si>
    <t>CL2 + agbada tissu lourd/délicat comme atchoke chargé</t>
  </si>
  <si>
    <t>Complet Local (CL3 v5)</t>
  </si>
  <si>
    <t>Costume/Tailleur 2P -PB-v1</t>
  </si>
  <si>
    <t>Costume/Tailleur 2 pièces Pas Blanc</t>
  </si>
  <si>
    <t>CO v2</t>
  </si>
  <si>
    <t>Costume/Tailleur 3P-PB-v2</t>
  </si>
  <si>
    <t>Costume/Tailleur 3 pièces PB. Costume/Tailleur 2P Blanc</t>
  </si>
  <si>
    <t>Costume/Tailleur (CO v2)</t>
  </si>
  <si>
    <t>CO v3</t>
  </si>
  <si>
    <t>Tailleur femme petit</t>
  </si>
  <si>
    <t xml:space="preserve">Tailleur femme avec jupe, petit, léger. </t>
  </si>
  <si>
    <t>Tailleur femme petit (CO v3)</t>
  </si>
  <si>
    <t>GI</t>
  </si>
  <si>
    <t>Gilet de costume</t>
  </si>
  <si>
    <t>Gilet en matière délicate. Sinon choisir AH</t>
  </si>
  <si>
    <t>Gilet de costume (GI)</t>
  </si>
  <si>
    <t>Toutes Matières</t>
  </si>
  <si>
    <t>Veste costume/tailleur</t>
  </si>
  <si>
    <t>VE en mat et doublure costume.VE en tissu local avec doublure</t>
  </si>
  <si>
    <t>Veston</t>
  </si>
  <si>
    <t>VE petit ou forme VE mais sans doublure</t>
  </si>
  <si>
    <t>VE v3</t>
  </si>
  <si>
    <t>Manteau/blouson/Jacket court</t>
  </si>
  <si>
    <t>VE v4</t>
  </si>
  <si>
    <t>Manteau/blouson/Jacket long</t>
  </si>
  <si>
    <t>Manteau/blouson/Jacket (VE v4)</t>
  </si>
  <si>
    <t>Toge</t>
  </si>
  <si>
    <t>Toge (TG)</t>
  </si>
  <si>
    <t xml:space="preserve">PU </t>
  </si>
  <si>
    <r>
      <t>Pull Over/Cardigan/Sweat</t>
    </r>
    <r>
      <rPr>
        <b/>
        <sz val="10"/>
        <color theme="1"/>
        <rFont val="Arial"/>
        <family val="2"/>
      </rPr>
      <t xml:space="preserve"> lourd</t>
    </r>
  </si>
  <si>
    <t>en matière lourde</t>
  </si>
  <si>
    <t>Pull Over/Cardigan/Sweat (PU)</t>
  </si>
  <si>
    <t>PU v2</t>
  </si>
  <si>
    <r>
      <t>Pull Over/Cardigan/Sweat</t>
    </r>
    <r>
      <rPr>
        <b/>
        <sz val="10"/>
        <color theme="1"/>
        <rFont val="Arial"/>
        <family val="2"/>
      </rPr>
      <t xml:space="preserve"> léger</t>
    </r>
  </si>
  <si>
    <t>en matière  légère</t>
  </si>
  <si>
    <t>Pull Over/Cardigan/Sweat (PU v2)</t>
  </si>
  <si>
    <t>JO</t>
  </si>
  <si>
    <t>Ensemble jogging léger-v1</t>
  </si>
  <si>
    <t>Ensemble pantalon jogging + Haut sweat</t>
  </si>
  <si>
    <t>Ensemble jogging (JO)</t>
  </si>
  <si>
    <t>JO v2</t>
  </si>
  <si>
    <t>Ensemble jogging lourd-v2</t>
  </si>
  <si>
    <t>Ensemble jogging (JO v2)</t>
  </si>
  <si>
    <t>Uniforme H+B Enf -v1</t>
  </si>
  <si>
    <t xml:space="preserve">Uniforme scolaire Haut + Bas. </t>
  </si>
  <si>
    <t>Uniforme (UN)</t>
  </si>
  <si>
    <t>Uniforme Long- v2</t>
  </si>
  <si>
    <t xml:space="preserve"> Uniforme 1 pièce Lg. Haut + Bas adulte simple</t>
  </si>
  <si>
    <t>Uniforme (UN v2)</t>
  </si>
  <si>
    <t>UN v3</t>
  </si>
  <si>
    <t>Uniforme H+B Adulte -v3</t>
  </si>
  <si>
    <t>Haut + Bas adulte simple mat délicate</t>
  </si>
  <si>
    <t>Uniforme (UN v3)</t>
  </si>
  <si>
    <t>Uniforme treillis-v4</t>
  </si>
  <si>
    <t>Ensemble Haut+Bas en treillis</t>
  </si>
  <si>
    <t>Uniforme (UN v4)</t>
  </si>
  <si>
    <t>Casquette/Gobi/Tabla/Turban</t>
  </si>
  <si>
    <t>Casquette/Bonnet/Gobi/Tabla/Turban pas grand</t>
  </si>
  <si>
    <t>Chapeau  forme complexe</t>
  </si>
  <si>
    <t>Chapeau complexe avec atchoke ou autre tissu. Tabla grand</t>
  </si>
  <si>
    <t>Foulard/Echarpe/Châles simple</t>
  </si>
  <si>
    <t>Foulard/Echarpe/Châles pas en matière délicate</t>
  </si>
  <si>
    <t>Foulard/Echarpe/Châles en soie</t>
  </si>
  <si>
    <t>Foulard/Echarpe/Châles en soie, cachemeire ou autres mat délicates</t>
  </si>
  <si>
    <t>Drap 2/3 P/ Couette 1 place -v1</t>
  </si>
  <si>
    <t>Drap 2/3 place/ Couette 1 place. Coton, lin ou autres</t>
  </si>
  <si>
    <t>DR v2</t>
  </si>
  <si>
    <t>Drap 1 place -v2</t>
  </si>
  <si>
    <t>Drap/Couette (DR v2)</t>
  </si>
  <si>
    <t>DR v3</t>
  </si>
  <si>
    <t>Couette 2-3 place -v3</t>
  </si>
  <si>
    <t>Drap/Couette (DR v3)</t>
  </si>
  <si>
    <t>ED</t>
  </si>
  <si>
    <t>Ensemble drap 6 pièces -v1</t>
  </si>
  <si>
    <t xml:space="preserve">Ensemble  1 Drap 2/3 places + 1 couverture  + 4 taies </t>
  </si>
  <si>
    <t>Ensemble Drap (ED)</t>
  </si>
  <si>
    <t>ED v2</t>
  </si>
  <si>
    <t>Ensemble drap 3 pièces -v2</t>
  </si>
  <si>
    <t xml:space="preserve">Ensemble  1Drap 2/3 places + 2 taies </t>
  </si>
  <si>
    <t>Ensemble Drap (ED v2)</t>
  </si>
  <si>
    <t>Serviette Moyen- v1</t>
  </si>
  <si>
    <t>Serviette de toilette 50x100 cm</t>
  </si>
  <si>
    <t>Serviette Grand- v2</t>
  </si>
  <si>
    <r>
      <t xml:space="preserve">Serviette drap de douche 70 x 140 cm. </t>
    </r>
    <r>
      <rPr>
        <sz val="10"/>
        <color theme="1"/>
        <rFont val="Arial"/>
        <family val="2"/>
      </rPr>
      <t>Peignoir</t>
    </r>
  </si>
  <si>
    <t>Serviette/Peignoir (SE v2)</t>
  </si>
  <si>
    <t>SE v3</t>
  </si>
  <si>
    <t>Serviette petit- v3</t>
  </si>
  <si>
    <t>Petite serviette 30 x30 cm ou 3 x50 cm</t>
  </si>
  <si>
    <t>Serviette/Peignoir (SE v3)</t>
  </si>
  <si>
    <t>Housse fauteuil-Tissu léger</t>
  </si>
  <si>
    <t>Housse fauteuil-Tissu lourd</t>
  </si>
  <si>
    <t>Sac Petit</t>
  </si>
  <si>
    <t>Sac d'écolier. Trousse.Pochette. Vanity</t>
  </si>
  <si>
    <t>Sac (SA)</t>
  </si>
  <si>
    <t>Sac Moyen</t>
  </si>
  <si>
    <t>Sac (SA v2)</t>
  </si>
  <si>
    <t>SA v3</t>
  </si>
  <si>
    <t>Sac Grand</t>
  </si>
  <si>
    <t>Sac (SA v3)</t>
  </si>
  <si>
    <t>VA</t>
  </si>
  <si>
    <t>Valise Petit/Moyen</t>
  </si>
  <si>
    <t>Valise (VA)</t>
  </si>
  <si>
    <t>VA v2</t>
  </si>
  <si>
    <t>Valise Grand</t>
  </si>
  <si>
    <t>Valise (VA v2)</t>
  </si>
  <si>
    <t>CS</t>
  </si>
  <si>
    <t>Chaussure Petit/ Moyen</t>
  </si>
  <si>
    <t>Espadrille/Tennis/Basket et assimilés</t>
  </si>
  <si>
    <t>Chaussure (CS)</t>
  </si>
  <si>
    <t>CS v2</t>
  </si>
  <si>
    <t>Chaussure Grand</t>
  </si>
  <si>
    <t>Rangers, chaussures de sécurité</t>
  </si>
  <si>
    <t>Chaussure (CS v2)</t>
  </si>
  <si>
    <t>TP</t>
  </si>
  <si>
    <t>Tapis de prière</t>
  </si>
  <si>
    <t>Tapis de prière de 1m2 au plus</t>
  </si>
  <si>
    <t>Divers</t>
  </si>
  <si>
    <t>Tapis (TP)</t>
  </si>
  <si>
    <t>TP v2</t>
  </si>
  <si>
    <r>
      <t>Prix au m</t>
    </r>
    <r>
      <rPr>
        <vertAlign val="superscript"/>
        <sz val="9"/>
        <color theme="1"/>
        <rFont val="Arial"/>
        <family val="2"/>
      </rPr>
      <t>2</t>
    </r>
  </si>
  <si>
    <t>Tapis (TP v2)</t>
  </si>
  <si>
    <t>TP v3</t>
  </si>
  <si>
    <t>Tapis (TP v3)</t>
  </si>
  <si>
    <t>TP v4</t>
  </si>
  <si>
    <t>Tapis moquette avec tache -v3</t>
  </si>
  <si>
    <t>Tapis (TP v4)</t>
  </si>
  <si>
    <t>KG</t>
  </si>
  <si>
    <t>Lavage au kg</t>
  </si>
  <si>
    <t xml:space="preserve">Lavage </t>
  </si>
  <si>
    <t>Lavage au Kg (KG)</t>
  </si>
  <si>
    <t>KR</t>
  </si>
  <si>
    <t>Lavage au kg avec repassage</t>
  </si>
  <si>
    <t>Traitement + Lavage + Repassage de drap, serviette, rideaux…</t>
  </si>
  <si>
    <t>Lavage au Kg avec option Repassage (KR)</t>
  </si>
  <si>
    <t>KT</t>
  </si>
  <si>
    <t xml:space="preserve">Lavage au kg avec traitement </t>
  </si>
  <si>
    <t>Traitement + Lavage sans repassage_tissu pas blancs</t>
  </si>
  <si>
    <t>Lavage au Kg avec option Traitement (KT )</t>
  </si>
  <si>
    <t>KT v2</t>
  </si>
  <si>
    <t xml:space="preserve">Traitement + Lavage sans repassage_tissu  blancs </t>
  </si>
  <si>
    <t>Lavage au Kg avec option Traitement (KT v2)</t>
  </si>
  <si>
    <t>KT v3</t>
  </si>
  <si>
    <t>Lavage au Kg avec option Traitement (KT v3)</t>
  </si>
  <si>
    <t>KT v4</t>
  </si>
  <si>
    <t>Lavage au Kg avec option Traitement (KT v4)</t>
  </si>
  <si>
    <t xml:space="preserve"> </t>
  </si>
  <si>
    <t>Timestamp</t>
  </si>
  <si>
    <t>Référence</t>
  </si>
  <si>
    <t>NOM</t>
  </si>
  <si>
    <t>Prénom</t>
  </si>
  <si>
    <t>Nom du recruteur</t>
  </si>
  <si>
    <t>Numéro WhatsApp ou appel</t>
  </si>
  <si>
    <t>Autre numéro</t>
  </si>
  <si>
    <t>Adresse élèctronique</t>
  </si>
  <si>
    <t>Position</t>
  </si>
  <si>
    <t>KM</t>
  </si>
  <si>
    <t>Commentaires</t>
  </si>
  <si>
    <t>CP1AM</t>
  </si>
  <si>
    <t>AHOUNOU KEKE</t>
  </si>
  <si>
    <t>MELENE</t>
  </si>
  <si>
    <t xml:space="preserve">AHOUNOU MELENE </t>
  </si>
  <si>
    <t>CALAVI ZOPAH</t>
  </si>
  <si>
    <t>1 KM</t>
  </si>
  <si>
    <t>CP2CF</t>
  </si>
  <si>
    <t>CODJO</t>
  </si>
  <si>
    <t xml:space="preserve">FLORIAN </t>
  </si>
  <si>
    <t xml:space="preserve">CODJO FLORIAN </t>
  </si>
  <si>
    <t>djidjohoflorian@gmail.com</t>
  </si>
  <si>
    <t xml:space="preserve">CALAVI SEMINAIRE </t>
  </si>
  <si>
    <t>CP3KF</t>
  </si>
  <si>
    <t>KEKE</t>
  </si>
  <si>
    <t>FIACRE</t>
  </si>
  <si>
    <t>KEKE FIACRE</t>
  </si>
  <si>
    <t>CALAVI</t>
  </si>
  <si>
    <t>CP4AG</t>
  </si>
  <si>
    <t>AHOUNOU</t>
  </si>
  <si>
    <t>GERAUD</t>
  </si>
  <si>
    <t>AHOUNOU GERAUD</t>
  </si>
  <si>
    <t>CP5KO</t>
  </si>
  <si>
    <t>KOUVEGLO</t>
  </si>
  <si>
    <t>ORIANE</t>
  </si>
  <si>
    <t>KOUVEGLO ORIANE</t>
  </si>
  <si>
    <t>K96580435@gmail.com</t>
  </si>
  <si>
    <t>CP6KP</t>
  </si>
  <si>
    <t>KOKODOKO</t>
  </si>
  <si>
    <t>PIERRE</t>
  </si>
  <si>
    <t>KOKODOKO PIERRE</t>
  </si>
  <si>
    <t>CALAVI KPOTA</t>
  </si>
  <si>
    <t>CP7MP</t>
  </si>
  <si>
    <t>MOUSSA</t>
  </si>
  <si>
    <t>PRUDENCE</t>
  </si>
  <si>
    <t>MOUSSA PRUDENCE</t>
  </si>
  <si>
    <t>HEVIE</t>
  </si>
  <si>
    <t>CP8AI</t>
  </si>
  <si>
    <t>AKPO</t>
  </si>
  <si>
    <t>IRETI</t>
  </si>
  <si>
    <t>AKPO IRETI</t>
  </si>
  <si>
    <t>AHOUNOU MELENE</t>
  </si>
  <si>
    <t>CP9AM</t>
  </si>
  <si>
    <t xml:space="preserve">AHOUNOU </t>
  </si>
  <si>
    <t>MARYLIN</t>
  </si>
  <si>
    <t>AHOUNOU  MARYLIN</t>
  </si>
  <si>
    <t>CP10GK</t>
  </si>
  <si>
    <t>GUINGUINNI</t>
  </si>
  <si>
    <t>KISITO</t>
  </si>
  <si>
    <t>GUINGUINNI KISITO</t>
  </si>
  <si>
    <t>ZOUNDJA</t>
  </si>
  <si>
    <t>CP11DC</t>
  </si>
  <si>
    <t>DAVAKAN</t>
  </si>
  <si>
    <t xml:space="preserve">CHRISTOPHE </t>
  </si>
  <si>
    <t xml:space="preserve">DAVAKAN CHRISTOPHE </t>
  </si>
  <si>
    <t>FLORIAN CODJO</t>
  </si>
  <si>
    <t>CP12TI</t>
  </si>
  <si>
    <t>TOHOUEGNON</t>
  </si>
  <si>
    <t>IMMACULEE</t>
  </si>
  <si>
    <t>TOHOUEGNON IMMACULEE</t>
  </si>
  <si>
    <t>ZOGBO DERRIERE DON BOSCO</t>
  </si>
  <si>
    <t>CP13GI</t>
  </si>
  <si>
    <t>GBAGUIDI</t>
  </si>
  <si>
    <t>INES</t>
  </si>
  <si>
    <t>GBAGUIDI INES</t>
  </si>
  <si>
    <t>FIDJROSSE AKOGBATO</t>
  </si>
  <si>
    <t>CP14AL</t>
  </si>
  <si>
    <t>AHOLIATIN</t>
  </si>
  <si>
    <t>LEONTINE</t>
  </si>
  <si>
    <t>AHOLIATIN LEONTINE</t>
  </si>
  <si>
    <t>CP15NA</t>
  </si>
  <si>
    <t>NIERI</t>
  </si>
  <si>
    <t>ABDIAS</t>
  </si>
  <si>
    <t>NIERI ABDIAS</t>
  </si>
  <si>
    <t xml:space="preserve">FIDJROSSE </t>
  </si>
  <si>
    <t>CP16AP</t>
  </si>
  <si>
    <t>AZILINON</t>
  </si>
  <si>
    <t>PRISQUE</t>
  </si>
  <si>
    <t>AZILINON PRISQUE</t>
  </si>
  <si>
    <t>AHOUNOU KEKE MELENE</t>
  </si>
  <si>
    <t>ETOILE</t>
  </si>
  <si>
    <t>CP17AB</t>
  </si>
  <si>
    <t>ADISSIN</t>
  </si>
  <si>
    <t>BIENVENU</t>
  </si>
  <si>
    <t>ADISSIN BIENVENU</t>
  </si>
  <si>
    <t>CP18TG</t>
  </si>
  <si>
    <t>TOPANOU EPS AHANHANZO</t>
  </si>
  <si>
    <t>GERTRUDE</t>
  </si>
  <si>
    <t>TOPANOU EPS AHANHANZO GERTRUDE</t>
  </si>
  <si>
    <t>CALAVI ZOPAH NON LOIN WASHMAN</t>
  </si>
  <si>
    <t>CP19SB</t>
  </si>
  <si>
    <t>SALANON</t>
  </si>
  <si>
    <t>SALANON BIENVENU</t>
  </si>
  <si>
    <t>CALAVU ZOPAH NON LOIN DE WASHMAN</t>
  </si>
  <si>
    <t>Elle est difficile donc tu dois etre tres patiente</t>
  </si>
  <si>
    <t>CP20AP</t>
  </si>
  <si>
    <t>ALPHA ABDEL</t>
  </si>
  <si>
    <t>PERERE</t>
  </si>
  <si>
    <t>ALPHA ABDEL PERERE</t>
  </si>
  <si>
    <t>NON LOIN DE WASHMAN</t>
  </si>
  <si>
    <t>CP21DM</t>
  </si>
  <si>
    <t>DAGBA</t>
  </si>
  <si>
    <t>MELCHIADE</t>
  </si>
  <si>
    <t>DAGBA MELCHIADE</t>
  </si>
  <si>
    <t>CALAVI BIDOSSESSI</t>
  </si>
  <si>
    <t>CP22DD</t>
  </si>
  <si>
    <t>DJOSSOU</t>
  </si>
  <si>
    <t>DJOSSOU DAGBA</t>
  </si>
  <si>
    <t>CP23DR</t>
  </si>
  <si>
    <t xml:space="preserve">DAGBA </t>
  </si>
  <si>
    <t>RUFFIN</t>
  </si>
  <si>
    <t>DAGBA  RUFFIN</t>
  </si>
  <si>
    <t>CP24AS</t>
  </si>
  <si>
    <t>AMOUZOUNVI</t>
  </si>
  <si>
    <t>SAMUEL</t>
  </si>
  <si>
    <t>AMOUZOUNVI SAMUEL</t>
  </si>
  <si>
    <t>CODJO FLORIAN</t>
  </si>
  <si>
    <t>DJADJO</t>
  </si>
  <si>
    <t>CP25GN</t>
  </si>
  <si>
    <t>GUEZO CAPO CHICHI</t>
  </si>
  <si>
    <t>NOELIE</t>
  </si>
  <si>
    <t>GUEZO CAPO CHICHI NOELIE</t>
  </si>
  <si>
    <t>CP26GC</t>
  </si>
  <si>
    <t>GUEZO DAGBA</t>
  </si>
  <si>
    <t>CHRISTIANE</t>
  </si>
  <si>
    <t>GUEZO DAGBA CHRISTIANE</t>
  </si>
  <si>
    <t>elle fait souvent des abonnements</t>
  </si>
  <si>
    <t>CP27AV</t>
  </si>
  <si>
    <t>AHISSOU</t>
  </si>
  <si>
    <t>VICTOIRE</t>
  </si>
  <si>
    <t>AHISSOU VICTOIRE</t>
  </si>
  <si>
    <t>CP28GS</t>
  </si>
  <si>
    <t>GUEZO</t>
  </si>
  <si>
    <t>SUSUNI</t>
  </si>
  <si>
    <t>GUEZO SUSUNI</t>
  </si>
  <si>
    <t>FIDJROSSE</t>
  </si>
  <si>
    <t>CP29OS</t>
  </si>
  <si>
    <t>OLUWASEGUN</t>
  </si>
  <si>
    <t>SERIKI</t>
  </si>
  <si>
    <t>OLUWASEGUN SERIKI</t>
  </si>
  <si>
    <t xml:space="preserve"> KEKE FIACRE</t>
  </si>
  <si>
    <t>1,8KM</t>
  </si>
  <si>
    <t>CP31DM</t>
  </si>
  <si>
    <t>DOSSOU YOVO</t>
  </si>
  <si>
    <t>MARTIN HONORE</t>
  </si>
  <si>
    <t>DOSSOU YOVO MARTIN HONORE</t>
  </si>
  <si>
    <t>CP30SM</t>
  </si>
  <si>
    <t>SEDJRO</t>
  </si>
  <si>
    <t>MORYA</t>
  </si>
  <si>
    <t>SEDJRO MORYA</t>
  </si>
  <si>
    <t>CALAVI IMMEUBLE WASHMAN</t>
  </si>
  <si>
    <t>CP32HR</t>
  </si>
  <si>
    <t>HOUDEGBE</t>
  </si>
  <si>
    <t>RAOUL</t>
  </si>
  <si>
    <t>HOUDEGBE RAOUL</t>
  </si>
  <si>
    <t>GBEDJROMEDE</t>
  </si>
  <si>
    <t>CP33SF</t>
  </si>
  <si>
    <t>FARA</t>
  </si>
  <si>
    <t>SABI FARA</t>
  </si>
  <si>
    <t>CP34LA</t>
  </si>
  <si>
    <t>LIGAN</t>
  </si>
  <si>
    <t>ALVIQUE</t>
  </si>
  <si>
    <t>LIGAN ALVIQUE</t>
  </si>
  <si>
    <t>CALAVI GRANDE ACADEMIE</t>
  </si>
  <si>
    <t>CP35HJ</t>
  </si>
  <si>
    <t>HOUZANME</t>
  </si>
  <si>
    <t>JONAS</t>
  </si>
  <si>
    <t>HOUZANME JONAS</t>
  </si>
  <si>
    <t>BIDOSSESSI</t>
  </si>
  <si>
    <t>CP36HB</t>
  </si>
  <si>
    <t>HINSON</t>
  </si>
  <si>
    <t>BALBINE</t>
  </si>
  <si>
    <t>HINSON BALBINE</t>
  </si>
  <si>
    <t>HERVIE</t>
  </si>
  <si>
    <t>CP37GC</t>
  </si>
  <si>
    <t>GNONHOSSOU</t>
  </si>
  <si>
    <t>CHARLES</t>
  </si>
  <si>
    <t>GNONHOSSOU CHARLES</t>
  </si>
  <si>
    <t>AHOUNOU MARYLIN</t>
  </si>
  <si>
    <t>SEKANDJI</t>
  </si>
  <si>
    <t>CP38PE</t>
  </si>
  <si>
    <t>POGNON</t>
  </si>
  <si>
    <t>ESPERANCE</t>
  </si>
  <si>
    <t>POGNON ESPERANCE</t>
  </si>
  <si>
    <t>CP39QS</t>
  </si>
  <si>
    <t>QUENUM</t>
  </si>
  <si>
    <t>SERGE</t>
  </si>
  <si>
    <t>QUENUM SERGE</t>
  </si>
  <si>
    <t>CP40NC</t>
  </si>
  <si>
    <t xml:space="preserve">NANSI </t>
  </si>
  <si>
    <t>CHRISTIAN</t>
  </si>
  <si>
    <t>NANSI  CHRISTIAN</t>
  </si>
  <si>
    <t>CP41SG</t>
  </si>
  <si>
    <t xml:space="preserve">SENOU </t>
  </si>
  <si>
    <t>GISLAINE</t>
  </si>
  <si>
    <t>SENOU  GISLAINE</t>
  </si>
  <si>
    <t>CP42NR</t>
  </si>
  <si>
    <t>ROSINE</t>
  </si>
  <si>
    <t>NANSI  ROSINE</t>
  </si>
  <si>
    <t>CP43LD</t>
  </si>
  <si>
    <t>LOKOSSOU</t>
  </si>
  <si>
    <t>DESIRE</t>
  </si>
  <si>
    <t>LOKOSSOU DESIRE</t>
  </si>
  <si>
    <t>CASSE AUTO</t>
  </si>
  <si>
    <t>CP44AB</t>
  </si>
  <si>
    <t xml:space="preserve">ARAS </t>
  </si>
  <si>
    <t>BENIN</t>
  </si>
  <si>
    <t>ARAS  BENIN</t>
  </si>
  <si>
    <t>il n'est plus au Benin</t>
  </si>
  <si>
    <t>CP45CG</t>
  </si>
  <si>
    <t>COMLAN</t>
  </si>
  <si>
    <t>GISCARD</t>
  </si>
  <si>
    <t>COMLAN GISCARD</t>
  </si>
  <si>
    <t>CP46MH</t>
  </si>
  <si>
    <t>MADAME</t>
  </si>
  <si>
    <t>MADAME HOUZANME</t>
  </si>
  <si>
    <t>CP47AE</t>
  </si>
  <si>
    <t>ERIC</t>
  </si>
  <si>
    <t>AHOUNOU ERIC</t>
  </si>
  <si>
    <t>AKPAKPA</t>
  </si>
  <si>
    <t>CP48AJ</t>
  </si>
  <si>
    <t xml:space="preserve">AKOGBETO </t>
  </si>
  <si>
    <t>JEAN - CLAUDE</t>
  </si>
  <si>
    <t>AKOGBETO  JEAN - CLAUDE</t>
  </si>
  <si>
    <t>TOGOUDO</t>
  </si>
  <si>
    <t>16KM</t>
  </si>
  <si>
    <t>CP49AA</t>
  </si>
  <si>
    <t>AMEGNIKOU</t>
  </si>
  <si>
    <t>ANGE MARCEAU</t>
  </si>
  <si>
    <t>AMEGNIKOU ANGE MARCEAU</t>
  </si>
  <si>
    <t>GODOMEY</t>
  </si>
  <si>
    <t>CP50CS</t>
  </si>
  <si>
    <t>CHITOU</t>
  </si>
  <si>
    <t>SOFIATH</t>
  </si>
  <si>
    <t>CHITOU SOFIATH</t>
  </si>
  <si>
    <t>AMEGNIKOU ANGR-MARCEAU</t>
  </si>
  <si>
    <t>CP51TF</t>
  </si>
  <si>
    <t>TONON</t>
  </si>
  <si>
    <t>FIDELE</t>
  </si>
  <si>
    <t>TONON FIDELE</t>
  </si>
  <si>
    <t xml:space="preserve"> COMMISERIAT ZOKA</t>
  </si>
  <si>
    <t>elle n'est plus au Benin</t>
  </si>
  <si>
    <t>CP52HM</t>
  </si>
  <si>
    <t>HOUNDETON</t>
  </si>
  <si>
    <t>MARYSE</t>
  </si>
  <si>
    <t>HOUNDETON MARYSE</t>
  </si>
  <si>
    <t>MAIRIE ZOGBO</t>
  </si>
  <si>
    <t>CP53MP</t>
  </si>
  <si>
    <t xml:space="preserve">MOUSSA </t>
  </si>
  <si>
    <t>PAULIAC</t>
  </si>
  <si>
    <t>MOUSSA  PAULIAC</t>
  </si>
  <si>
    <t>FECECAM</t>
  </si>
  <si>
    <t>CP54AA</t>
  </si>
  <si>
    <t>AKUESON</t>
  </si>
  <si>
    <t>ABOSSEY</t>
  </si>
  <si>
    <t>AKUESON ABOSSEY</t>
  </si>
  <si>
    <t>CP55AJ</t>
  </si>
  <si>
    <t>AVLESSI</t>
  </si>
  <si>
    <t>JOEL</t>
  </si>
  <si>
    <t>AVLESSI JOEL</t>
  </si>
  <si>
    <t>CP56AG</t>
  </si>
  <si>
    <t>ADOUNVO</t>
  </si>
  <si>
    <t>GODEBERTE</t>
  </si>
  <si>
    <t>ADOUNVO GODEBERTE</t>
  </si>
  <si>
    <t>SODJENOUTIN</t>
  </si>
  <si>
    <t>CP57BI</t>
  </si>
  <si>
    <t>BOKPE</t>
  </si>
  <si>
    <t>ISABELLE</t>
  </si>
  <si>
    <t>BOKPE ISABELLE</t>
  </si>
  <si>
    <t>ST MICHEL ATT</t>
  </si>
  <si>
    <t>29KM</t>
  </si>
  <si>
    <t>autre lieu de collecte  ,suru lerequi fai 29KM</t>
  </si>
  <si>
    <t>CP58KJ</t>
  </si>
  <si>
    <t>KOUTON</t>
  </si>
  <si>
    <t>JUDITH</t>
  </si>
  <si>
    <t>KOUTON JUDITH</t>
  </si>
  <si>
    <t>AHOUNOU ARMELLE</t>
  </si>
  <si>
    <t>ABATTOIR</t>
  </si>
  <si>
    <t>elle  paie souvent à la livraison par momo il faut savoir comment la relancer parce qu'elle oublie vite</t>
  </si>
  <si>
    <t>CP59SM</t>
  </si>
  <si>
    <t>SABI MOUSSA</t>
  </si>
  <si>
    <t>CP60HL</t>
  </si>
  <si>
    <t>HOUNTONDJI</t>
  </si>
  <si>
    <t>LAURIANE</t>
  </si>
  <si>
    <t>HOUNTONDJI LAURIANE</t>
  </si>
  <si>
    <t>MARIE ABOMEY CALAVI</t>
  </si>
  <si>
    <t>CP61GJ</t>
  </si>
  <si>
    <t>GUEZO JOEL</t>
  </si>
  <si>
    <t>CP62AK</t>
  </si>
  <si>
    <t>AMADOU</t>
  </si>
  <si>
    <t>KAREN</t>
  </si>
  <si>
    <t>AMADOU KAREN</t>
  </si>
  <si>
    <t>CP63AC</t>
  </si>
  <si>
    <t xml:space="preserve">ADJAI </t>
  </si>
  <si>
    <t>CAMELIA</t>
  </si>
  <si>
    <t>ADJAI  CAMELIA</t>
  </si>
  <si>
    <t>VODJE</t>
  </si>
  <si>
    <t>CP64GA</t>
  </si>
  <si>
    <t>GAD</t>
  </si>
  <si>
    <t>AINA</t>
  </si>
  <si>
    <t>GAD AINA</t>
  </si>
  <si>
    <t>eglise</t>
  </si>
  <si>
    <t>CP68NM</t>
  </si>
  <si>
    <t>NOUDEVIWA</t>
  </si>
  <si>
    <t>MARTIAL</t>
  </si>
  <si>
    <t>NOUDEVIWA MARTIAL</t>
  </si>
  <si>
    <t>MELENE AHOUNOU</t>
  </si>
  <si>
    <t>CP67DJ</t>
  </si>
  <si>
    <t>DE SOUZA</t>
  </si>
  <si>
    <t>JEAN-ESTEVE</t>
  </si>
  <si>
    <t>DE SOUZA JEAN-ESTEVE</t>
  </si>
  <si>
    <t xml:space="preserve">SUNU </t>
  </si>
  <si>
    <t>CP65AM</t>
  </si>
  <si>
    <t>MARIELLE</t>
  </si>
  <si>
    <t>AHOUNOU MARIELLE</t>
  </si>
  <si>
    <t>CP66AA</t>
  </si>
  <si>
    <t>AWADEGOUN</t>
  </si>
  <si>
    <t>ALAIN</t>
  </si>
  <si>
    <t>AWADEGOUN ALAIN</t>
  </si>
  <si>
    <t>CP69AJ</t>
  </si>
  <si>
    <t>ATROKPO</t>
  </si>
  <si>
    <t>JUSTECIEL</t>
  </si>
  <si>
    <t>ATROKPO JUSTECIEL</t>
  </si>
  <si>
    <t>CP70HE</t>
  </si>
  <si>
    <t>HOUNSOU</t>
  </si>
  <si>
    <t>EMILE</t>
  </si>
  <si>
    <t>HOUNSOU EMILE</t>
  </si>
  <si>
    <t>WARRIORS SUPERMAN</t>
  </si>
  <si>
    <t>AKASSATO</t>
  </si>
  <si>
    <t>CP71NE</t>
  </si>
  <si>
    <t>NOUDEDJI</t>
  </si>
  <si>
    <t>EDEX</t>
  </si>
  <si>
    <t>NOUDEDJI EDEX</t>
  </si>
  <si>
    <t>CP72MP</t>
  </si>
  <si>
    <t>MBOUNA</t>
  </si>
  <si>
    <t>PAMELLA</t>
  </si>
  <si>
    <t>MBOUNA PAMELLA</t>
  </si>
  <si>
    <t>ST RITA</t>
  </si>
  <si>
    <t>CP73HF</t>
  </si>
  <si>
    <t>HOUETO</t>
  </si>
  <si>
    <t xml:space="preserve">FIDLER </t>
  </si>
  <si>
    <t xml:space="preserve">HOUETO FIDLER </t>
  </si>
  <si>
    <t>SUNU ASSURANCE</t>
  </si>
  <si>
    <t>plus à cotonou aussi</t>
  </si>
  <si>
    <t>CP74LR</t>
  </si>
  <si>
    <t>LOZES</t>
  </si>
  <si>
    <t>LOZES RAOUL</t>
  </si>
  <si>
    <t>CALAVI (maison LOZES)</t>
  </si>
  <si>
    <t>CP75CA</t>
  </si>
  <si>
    <t>CISSE ALI</t>
  </si>
  <si>
    <t>ABDOU DJAILOU</t>
  </si>
  <si>
    <t>CISSE ALI ABDOU DJAILOU</t>
  </si>
  <si>
    <t>CP76DL</t>
  </si>
  <si>
    <t>LIBOIRE</t>
  </si>
  <si>
    <t>DAVAKAN LIBOIRE</t>
  </si>
  <si>
    <t>CP77FH</t>
  </si>
  <si>
    <t>FAIZOUN</t>
  </si>
  <si>
    <t>FAIZOUN HONOUNE</t>
  </si>
  <si>
    <t>CP78AC</t>
  </si>
  <si>
    <t xml:space="preserve">AMANDE </t>
  </si>
  <si>
    <t>CHERIDATH</t>
  </si>
  <si>
    <t>AMANDE  CHERIDATH</t>
  </si>
  <si>
    <t>CP79DJ</t>
  </si>
  <si>
    <t>DEGUENON</t>
  </si>
  <si>
    <t>JEAN-ARNAUD</t>
  </si>
  <si>
    <t>DEGUENON JEAN-ARNAUD</t>
  </si>
  <si>
    <t>HAIE VIVE</t>
  </si>
  <si>
    <t>AMINOU</t>
  </si>
  <si>
    <t>MADAME AMINOU</t>
  </si>
  <si>
    <t>il paie apres la livraison par momo</t>
  </si>
  <si>
    <t>CP81AW</t>
  </si>
  <si>
    <t>AVOGBANANON</t>
  </si>
  <si>
    <t>WILLIAM</t>
  </si>
  <si>
    <t>AVOGBANANON WILLIAM</t>
  </si>
  <si>
    <t>IZIWASH</t>
  </si>
  <si>
    <t xml:space="preserve"> GBEDJROMEDE</t>
  </si>
  <si>
    <t>23KM</t>
  </si>
  <si>
    <t>CP82AM</t>
  </si>
  <si>
    <t xml:space="preserve">AKPONNA </t>
  </si>
  <si>
    <t>MARC-AUREL</t>
  </si>
  <si>
    <t>AKPONNA  MARC-AUREL</t>
  </si>
  <si>
    <t>MENOTIN</t>
  </si>
  <si>
    <t>CP83SM</t>
  </si>
  <si>
    <t>SOUMBOUNOU</t>
  </si>
  <si>
    <t>SOUMBOUNOU MOUSSA</t>
  </si>
  <si>
    <t>CP84SC</t>
  </si>
  <si>
    <t xml:space="preserve">SONON </t>
  </si>
  <si>
    <t>CONSTANTIN</t>
  </si>
  <si>
    <t>SONON  CONSTANTIN</t>
  </si>
  <si>
    <t>CP85KO</t>
  </si>
  <si>
    <t>OCEANE</t>
  </si>
  <si>
    <t>KOUVEGLO OCEANE</t>
  </si>
  <si>
    <t>CP86AS</t>
  </si>
  <si>
    <t>AGUEMON TAYLOR</t>
  </si>
  <si>
    <t>SOPHIA</t>
  </si>
  <si>
    <t>AGUEMON TAYLOR SOPHIA</t>
  </si>
  <si>
    <t>MIDONBO</t>
  </si>
  <si>
    <t>CP87DP</t>
  </si>
  <si>
    <t>DJISSONON</t>
  </si>
  <si>
    <t>PRISCA</t>
  </si>
  <si>
    <t>DJISSONON PRISCA</t>
  </si>
  <si>
    <t>GBEGAMEY</t>
  </si>
  <si>
    <t>CP88KR</t>
  </si>
  <si>
    <t>KINIFFO</t>
  </si>
  <si>
    <t>RICHARD</t>
  </si>
  <si>
    <t>KINIFFO RICHARD</t>
  </si>
  <si>
    <t>JEANNOT</t>
  </si>
  <si>
    <t>CP89AD</t>
  </si>
  <si>
    <t>AIDJI</t>
  </si>
  <si>
    <t>DELPHIN</t>
  </si>
  <si>
    <t>AIDJI DELPHIN</t>
  </si>
  <si>
    <t>LOLO ANDOCHE</t>
  </si>
  <si>
    <t>CP90LA</t>
  </si>
  <si>
    <t>LONTON</t>
  </si>
  <si>
    <t>AMEN</t>
  </si>
  <si>
    <t>LONTON AMEN</t>
  </si>
  <si>
    <t>ELIFAZ</t>
  </si>
  <si>
    <t>CP91CM</t>
  </si>
  <si>
    <t>CHIDIKOFAN</t>
  </si>
  <si>
    <t>MORRELL</t>
  </si>
  <si>
    <t>CHIDIKOFAN MORRELL</t>
  </si>
  <si>
    <t>CALAVI ZOCA</t>
  </si>
  <si>
    <t>CP92AA</t>
  </si>
  <si>
    <t>ATACOLODJOU</t>
  </si>
  <si>
    <t>ATACOLODJOU ALAIN</t>
  </si>
  <si>
    <t>CP93HL</t>
  </si>
  <si>
    <t xml:space="preserve">HAGNONNOU </t>
  </si>
  <si>
    <t>LOIC</t>
  </si>
  <si>
    <t>HAGNONNOU  LOIC</t>
  </si>
  <si>
    <t>CALAVI AKASSATO</t>
  </si>
  <si>
    <t>CP94DO</t>
  </si>
  <si>
    <t>ONDINE</t>
  </si>
  <si>
    <t>DJOSSOU ONDINE</t>
  </si>
  <si>
    <t>il paie par momo il faut savoir comment le relancer aussi il oubli vite</t>
  </si>
  <si>
    <t>CP95DB</t>
  </si>
  <si>
    <t>DOSSOU- HOUEGBE</t>
  </si>
  <si>
    <t>BORIS</t>
  </si>
  <si>
    <t>DOSSOU- HOUEGBE BORIS</t>
  </si>
  <si>
    <t>CP96GO</t>
  </si>
  <si>
    <t>GOUDJANOU</t>
  </si>
  <si>
    <t>OSCAR</t>
  </si>
  <si>
    <t>GOUDJANOU OSCAR</t>
  </si>
  <si>
    <t>CP97AC</t>
  </si>
  <si>
    <t xml:space="preserve">AMEGNIKOU </t>
  </si>
  <si>
    <t>CEDRIC</t>
  </si>
  <si>
    <t>AMEGNIKOU  CEDRIC</t>
  </si>
  <si>
    <t>CALAVI ZOUNDJA KPEVI</t>
  </si>
  <si>
    <t>3,0KM</t>
  </si>
  <si>
    <t>CP98CA</t>
  </si>
  <si>
    <t>CODJIA</t>
  </si>
  <si>
    <t>ARIELLE</t>
  </si>
  <si>
    <t>CODJIA ARIELLE</t>
  </si>
  <si>
    <t>AMEGNIKOU ANGE</t>
  </si>
  <si>
    <t>HOUEDONOU</t>
  </si>
  <si>
    <t>CP99AF</t>
  </si>
  <si>
    <t>APLOGAN</t>
  </si>
  <si>
    <t>APLOGAN FIDELE</t>
  </si>
  <si>
    <t>CP100TP</t>
  </si>
  <si>
    <t>TOSSA</t>
  </si>
  <si>
    <t>PLATINI</t>
  </si>
  <si>
    <t>TOSSA PLATINI</t>
  </si>
  <si>
    <t>ADO FRANCK</t>
  </si>
  <si>
    <t>CP101MG</t>
  </si>
  <si>
    <t>MEME</t>
  </si>
  <si>
    <t>MEME GBAGUIDI</t>
  </si>
  <si>
    <t>GBAGUIDI GUEZO INES</t>
  </si>
  <si>
    <t>CITE HOUEYIHO</t>
  </si>
  <si>
    <t>CP102AN</t>
  </si>
  <si>
    <t>NADINE</t>
  </si>
  <si>
    <t>AHOUNOU  NADINE</t>
  </si>
  <si>
    <t>CP103AD</t>
  </si>
  <si>
    <t>AIZOUN</t>
  </si>
  <si>
    <t>DIETRICH</t>
  </si>
  <si>
    <t>AIZOUN DIETRICH</t>
  </si>
  <si>
    <t>CP104AF</t>
  </si>
  <si>
    <t>ADO</t>
  </si>
  <si>
    <t>FRANCK</t>
  </si>
  <si>
    <t>CP105LE</t>
  </si>
  <si>
    <t>LAKOUSSAN</t>
  </si>
  <si>
    <t>EDNA</t>
  </si>
  <si>
    <t>LAKOUSSAN EDNA</t>
  </si>
  <si>
    <t>CP106LI</t>
  </si>
  <si>
    <t>LABIYI</t>
  </si>
  <si>
    <t>INNOCENT</t>
  </si>
  <si>
    <t>LABIYI INNOCENT</t>
  </si>
  <si>
    <t>CP107AK</t>
  </si>
  <si>
    <t xml:space="preserve">APPARTEMENT </t>
  </si>
  <si>
    <t>KARNICHOU</t>
  </si>
  <si>
    <t>APPARTEMENT  KARNICHOU</t>
  </si>
  <si>
    <t>CP108NT</t>
  </si>
  <si>
    <t>NOUKOUNWOUI</t>
  </si>
  <si>
    <t>THONY</t>
  </si>
  <si>
    <t>NOUKOUNWOUI THONY</t>
  </si>
  <si>
    <t>CP109AL</t>
  </si>
  <si>
    <t>LOEONIDE</t>
  </si>
  <si>
    <t>AKPO LOEONIDE</t>
  </si>
  <si>
    <t>CP110DF</t>
  </si>
  <si>
    <t>DEGNONGBE</t>
  </si>
  <si>
    <t>FLORIDE</t>
  </si>
  <si>
    <t>DEGNONGBE FLORIDE</t>
  </si>
  <si>
    <t>CP111MB</t>
  </si>
  <si>
    <t>Mme</t>
  </si>
  <si>
    <t>BENI</t>
  </si>
  <si>
    <t>Mme BENI</t>
  </si>
  <si>
    <t>AMEGNIKOU CEDRIC</t>
  </si>
  <si>
    <t>CP112AE</t>
  </si>
  <si>
    <t xml:space="preserve">AKONAKPO </t>
  </si>
  <si>
    <t>AKONAKPO  ERIC</t>
  </si>
  <si>
    <t>CP113KK</t>
  </si>
  <si>
    <t xml:space="preserve">KITTI </t>
  </si>
  <si>
    <t>KIM</t>
  </si>
  <si>
    <t>KITTI  KIM</t>
  </si>
  <si>
    <t>CP114DM</t>
  </si>
  <si>
    <t>MIKE</t>
  </si>
  <si>
    <t>DJOSSOU MIKE</t>
  </si>
  <si>
    <t>CP115MK</t>
  </si>
  <si>
    <t>MAMA</t>
  </si>
  <si>
    <t>KADIR</t>
  </si>
  <si>
    <t>CP116MT</t>
  </si>
  <si>
    <t>TANIA</t>
  </si>
  <si>
    <t>AGONTIKON</t>
  </si>
  <si>
    <t>CP117ME</t>
  </si>
  <si>
    <t>MIGAN</t>
  </si>
  <si>
    <t>EMMANUELLE</t>
  </si>
  <si>
    <t>AGLA</t>
  </si>
  <si>
    <t>CP118AA</t>
  </si>
  <si>
    <t>AGBANI</t>
  </si>
  <si>
    <t>ANSEL</t>
  </si>
  <si>
    <t xml:space="preserve">CALAVI </t>
  </si>
  <si>
    <t>CP119AC</t>
  </si>
  <si>
    <t>ALLADATIN</t>
  </si>
  <si>
    <t>CHANTALE</t>
  </si>
  <si>
    <t>CP120S</t>
  </si>
  <si>
    <t>STEEV</t>
  </si>
  <si>
    <t>DEGNOGBE FLORIDE</t>
  </si>
  <si>
    <t>GODOMEY MAGAZIN</t>
  </si>
  <si>
    <t>CP121AR</t>
  </si>
  <si>
    <t>ADAM</t>
  </si>
  <si>
    <t>RACHIDI</t>
  </si>
  <si>
    <t>CP122HF</t>
  </si>
  <si>
    <t>FRANCIS</t>
  </si>
  <si>
    <t>CP123AY</t>
  </si>
  <si>
    <t>ADEGBINDIN</t>
  </si>
  <si>
    <t>YESIROU</t>
  </si>
  <si>
    <t>CP124ML</t>
  </si>
  <si>
    <t>LUCRECE</t>
  </si>
  <si>
    <t>KPOHOLO Herve</t>
  </si>
  <si>
    <t>CP125KC</t>
  </si>
  <si>
    <t>KINDOMETO</t>
  </si>
  <si>
    <t>CLEMENT</t>
  </si>
  <si>
    <t>CP126CA</t>
  </si>
  <si>
    <t>CHABI BOUKO</t>
  </si>
  <si>
    <t>ARAS BENIN</t>
  </si>
  <si>
    <t>CP127AG</t>
  </si>
  <si>
    <t>AHOUANSOU</t>
  </si>
  <si>
    <t>GLORIA</t>
  </si>
  <si>
    <t>CP128AE</t>
  </si>
  <si>
    <t xml:space="preserve">AGBEDE </t>
  </si>
  <si>
    <t>EDITH</t>
  </si>
  <si>
    <t>CP129AM</t>
  </si>
  <si>
    <t>MYLENE</t>
  </si>
  <si>
    <t>COCOTOMEY</t>
  </si>
  <si>
    <t>CS1GT</t>
  </si>
  <si>
    <t xml:space="preserve">GLOBE </t>
  </si>
  <si>
    <t>TROTTER</t>
  </si>
  <si>
    <t>AIBATIN</t>
  </si>
  <si>
    <t>21KM</t>
  </si>
  <si>
    <t>CP130BA</t>
  </si>
  <si>
    <t>BAGUIDI</t>
  </si>
  <si>
    <t>ARMELLE</t>
  </si>
  <si>
    <t>AHOUNOU Marylin</t>
  </si>
  <si>
    <t>CP131MP</t>
  </si>
  <si>
    <t>MONSIEUR</t>
  </si>
  <si>
    <t>PRINCE</t>
  </si>
  <si>
    <t>ZOCA</t>
  </si>
  <si>
    <t>CP132MH</t>
  </si>
  <si>
    <t xml:space="preserve">Madame </t>
  </si>
  <si>
    <t>HOUINATO</t>
  </si>
  <si>
    <t>CP133NS</t>
  </si>
  <si>
    <t>NDIFON</t>
  </si>
  <si>
    <t>CP134LG</t>
  </si>
  <si>
    <t>LEKOTAN</t>
  </si>
  <si>
    <t>GABILAS</t>
  </si>
  <si>
    <t>MENONTIN ENTREPRISE ADEOTI</t>
  </si>
  <si>
    <t>CP135FM</t>
  </si>
  <si>
    <t>FATON</t>
  </si>
  <si>
    <t>MAILYS</t>
  </si>
  <si>
    <t>CP136DM</t>
  </si>
  <si>
    <t xml:space="preserve">DJAGBASSOU </t>
  </si>
  <si>
    <t>MICHEL</t>
  </si>
  <si>
    <t>DECOUGBE</t>
  </si>
  <si>
    <t>CP137KC</t>
  </si>
  <si>
    <t>KLAO</t>
  </si>
  <si>
    <t>CHRISTELLE</t>
  </si>
  <si>
    <t>CP138DE</t>
  </si>
  <si>
    <t>DJORO</t>
  </si>
  <si>
    <t>EDWIGE</t>
  </si>
  <si>
    <t>CP139HH</t>
  </si>
  <si>
    <t>HOUNKANLINKPE</t>
  </si>
  <si>
    <t>HERMIONNE</t>
  </si>
  <si>
    <t>CP140ZP</t>
  </si>
  <si>
    <t>ZINSOU BODE</t>
  </si>
  <si>
    <t>ARCONVILLE</t>
  </si>
  <si>
    <t>CP141AL</t>
  </si>
  <si>
    <t>LAURENT</t>
  </si>
  <si>
    <t>CP142OF</t>
  </si>
  <si>
    <t>OUINSOU</t>
  </si>
  <si>
    <t>FLORENTIN</t>
  </si>
  <si>
    <t>CP143ZS</t>
  </si>
  <si>
    <t>ZOGO</t>
  </si>
  <si>
    <t>SOLANGE</t>
  </si>
  <si>
    <t>CP144DO</t>
  </si>
  <si>
    <t>DEFANTI</t>
  </si>
  <si>
    <t>OLGA</t>
  </si>
  <si>
    <t>PAVE KEREKOU</t>
  </si>
  <si>
    <t>CP145HL</t>
  </si>
  <si>
    <t>HANS</t>
  </si>
  <si>
    <t>LUCAS</t>
  </si>
  <si>
    <t>CP146AM</t>
  </si>
  <si>
    <t>ADJIBI</t>
  </si>
  <si>
    <t>MOHAMED</t>
  </si>
  <si>
    <t>CP147HL</t>
  </si>
  <si>
    <t xml:space="preserve">HOUNSOU </t>
  </si>
  <si>
    <t>CITE ARCONVILLE</t>
  </si>
  <si>
    <t>CP148RL</t>
  </si>
  <si>
    <t>RODRIGUEZ</t>
  </si>
  <si>
    <t>LEA</t>
  </si>
  <si>
    <t>CP149CP</t>
  </si>
  <si>
    <t>CAKPO</t>
  </si>
  <si>
    <t>PASCOTT</t>
  </si>
  <si>
    <t>CP150GF</t>
  </si>
  <si>
    <t>FLORENCE</t>
  </si>
  <si>
    <t>CP151SD</t>
  </si>
  <si>
    <t>DAVID</t>
  </si>
  <si>
    <t>CP152KC</t>
  </si>
  <si>
    <t>KPATINDE</t>
  </si>
  <si>
    <t>CLEMENCE</t>
  </si>
  <si>
    <t>CP153SR</t>
  </si>
  <si>
    <t>CP154SS</t>
  </si>
  <si>
    <t>STEPHANIE</t>
  </si>
  <si>
    <t>AYADJI</t>
  </si>
  <si>
    <t>FALDIA</t>
  </si>
  <si>
    <t>CP156RG</t>
  </si>
  <si>
    <t>GABIN</t>
  </si>
  <si>
    <t>RODRIGUEZ LEA</t>
  </si>
  <si>
    <t>CP157GE</t>
  </si>
  <si>
    <t>GNONLONFOUN</t>
  </si>
  <si>
    <t>ELISABETH</t>
  </si>
  <si>
    <t>CP158ES</t>
  </si>
  <si>
    <t>EZIN</t>
  </si>
  <si>
    <t>SOPHIE</t>
  </si>
  <si>
    <t>CP159AB</t>
  </si>
  <si>
    <t>ASSOGBA</t>
  </si>
  <si>
    <t>BERNARD</t>
  </si>
  <si>
    <t>CP160AA</t>
  </si>
  <si>
    <t>ADJAHO</t>
  </si>
  <si>
    <t>AGNES</t>
  </si>
  <si>
    <t>CP161MT</t>
  </si>
  <si>
    <t>TAP</t>
  </si>
  <si>
    <t>CP162KS</t>
  </si>
  <si>
    <t>KOUCHADE</t>
  </si>
  <si>
    <t>AKPAKPA IREDE</t>
  </si>
  <si>
    <t>28 KM</t>
  </si>
  <si>
    <t>CP163ML</t>
  </si>
  <si>
    <t>MEVO</t>
  </si>
  <si>
    <t>LICETTE</t>
  </si>
  <si>
    <t>CP164YL</t>
  </si>
  <si>
    <t>YATAKPOE</t>
  </si>
  <si>
    <t>CP165GC</t>
  </si>
  <si>
    <t>GUIDIBI</t>
  </si>
  <si>
    <t>CONSTAN</t>
  </si>
  <si>
    <t>CP166AF</t>
  </si>
  <si>
    <t xml:space="preserve">AREMOU </t>
  </si>
  <si>
    <t>FRIDA</t>
  </si>
  <si>
    <t>DIRECTION MTN</t>
  </si>
  <si>
    <t>CP167MF</t>
  </si>
  <si>
    <t>FASSINOU</t>
  </si>
  <si>
    <t>CP168AR</t>
  </si>
  <si>
    <t>AZON</t>
  </si>
  <si>
    <t>ROMEO</t>
  </si>
  <si>
    <t>CP169DP</t>
  </si>
  <si>
    <t>PRISCILLIA</t>
  </si>
  <si>
    <t>il aime la ponctualité</t>
  </si>
  <si>
    <t>CP170BR</t>
  </si>
  <si>
    <t>BIAOU</t>
  </si>
  <si>
    <t>REGIS</t>
  </si>
  <si>
    <t>CP171MF</t>
  </si>
  <si>
    <t>FONTON</t>
  </si>
  <si>
    <t>CP172SF</t>
  </si>
  <si>
    <t>CP173AC</t>
  </si>
  <si>
    <t>AKONDE</t>
  </si>
  <si>
    <t>CP174HA</t>
  </si>
  <si>
    <t>HECHLI</t>
  </si>
  <si>
    <t>ABRAHAM</t>
  </si>
  <si>
    <t>CP175OI</t>
  </si>
  <si>
    <t>OGOUWALE</t>
  </si>
  <si>
    <t>IRENE</t>
  </si>
  <si>
    <t>CP176MA</t>
  </si>
  <si>
    <t>CP177MA</t>
  </si>
  <si>
    <t>ALIM</t>
  </si>
  <si>
    <t>BAKITA</t>
  </si>
  <si>
    <t>CP178MS</t>
  </si>
  <si>
    <t>SAIDOU</t>
  </si>
  <si>
    <t>2,2KM</t>
  </si>
  <si>
    <t>CP179MP</t>
  </si>
  <si>
    <t>PHILOMENE</t>
  </si>
  <si>
    <t>25KM</t>
  </si>
  <si>
    <t>CP180AT</t>
  </si>
  <si>
    <t>THIERRY</t>
  </si>
  <si>
    <t>CP181AN</t>
  </si>
  <si>
    <t>NOAH</t>
  </si>
  <si>
    <t>CP182VE</t>
  </si>
  <si>
    <t xml:space="preserve">VLAVONOU </t>
  </si>
  <si>
    <t xml:space="preserve"> ELIE</t>
  </si>
  <si>
    <t>CP183KC</t>
  </si>
  <si>
    <t>TERRAIN</t>
  </si>
  <si>
    <t>18KM</t>
  </si>
  <si>
    <t>Rigoureux et pointilleux</t>
  </si>
  <si>
    <t>KPOTA</t>
  </si>
  <si>
    <t>EMILIENNE</t>
  </si>
  <si>
    <t>CITE ARCONVILLE ITTA</t>
  </si>
  <si>
    <t>3,4KM ARCONVILLE</t>
  </si>
  <si>
    <t>CP185MG</t>
  </si>
  <si>
    <t>CP186MB</t>
  </si>
  <si>
    <t>BONAVENTURE</t>
  </si>
  <si>
    <t>CP187HL</t>
  </si>
  <si>
    <t>HASSEN</t>
  </si>
  <si>
    <t>LUNA</t>
  </si>
  <si>
    <t>CP188ME</t>
  </si>
  <si>
    <t>EGUEH</t>
  </si>
  <si>
    <t>CP189MA</t>
  </si>
  <si>
    <t>AHOUIGNAN</t>
  </si>
  <si>
    <t>CP190MF</t>
  </si>
  <si>
    <t>FADONOUGBO</t>
  </si>
  <si>
    <t>CP191DA</t>
  </si>
  <si>
    <t>DANSOU</t>
  </si>
  <si>
    <t>ALEXIS</t>
  </si>
  <si>
    <t>IITA</t>
  </si>
  <si>
    <t>CP192MP</t>
  </si>
  <si>
    <t>PACHELLA</t>
  </si>
  <si>
    <t>ZOGBO</t>
  </si>
  <si>
    <t>CP193L</t>
  </si>
  <si>
    <t>LOUNEDJINON</t>
  </si>
  <si>
    <t>CP194DM</t>
  </si>
  <si>
    <t>DANDJINOU</t>
  </si>
  <si>
    <t>MAUREEN</t>
  </si>
  <si>
    <t>AITCHEDJI</t>
  </si>
  <si>
    <t>CP195KH</t>
  </si>
  <si>
    <t>KOULO</t>
  </si>
  <si>
    <t>HERMINE</t>
  </si>
  <si>
    <t>TANKPE</t>
  </si>
  <si>
    <t>CP196TM</t>
  </si>
  <si>
    <t xml:space="preserve">TOKOUETE </t>
  </si>
  <si>
    <t>MELISSA</t>
  </si>
  <si>
    <t>CP197HB</t>
  </si>
  <si>
    <t>HOUNYOVI</t>
  </si>
  <si>
    <t>BERNADIN</t>
  </si>
  <si>
    <t>CP198OA</t>
  </si>
  <si>
    <t>OGUNRANTI</t>
  </si>
  <si>
    <t>AYODEJI</t>
  </si>
  <si>
    <t>CP199AI</t>
  </si>
  <si>
    <t>AHOSSI</t>
  </si>
  <si>
    <t>ISMAEL</t>
  </si>
  <si>
    <t>CP200ZJ</t>
  </si>
  <si>
    <t>ZODEHOUGAN</t>
  </si>
  <si>
    <t>JUNIOR</t>
  </si>
  <si>
    <t>CP201MH</t>
  </si>
  <si>
    <t xml:space="preserve">MADAME </t>
  </si>
  <si>
    <t>HOUESSINON</t>
  </si>
  <si>
    <t>CP202AL</t>
  </si>
  <si>
    <t>ALASSANE</t>
  </si>
  <si>
    <t>LAMATOU</t>
  </si>
  <si>
    <t>CS2ACG</t>
  </si>
  <si>
    <t>ACM</t>
  </si>
  <si>
    <t>GROUP</t>
  </si>
  <si>
    <t>COTONOU</t>
  </si>
  <si>
    <t>CP203AJ</t>
  </si>
  <si>
    <t>JOSIANE</t>
  </si>
  <si>
    <t>CP204DN</t>
  </si>
  <si>
    <t xml:space="preserve">DONOUVOSSI </t>
  </si>
  <si>
    <t>NATACHA</t>
  </si>
  <si>
    <t>CP205G</t>
  </si>
  <si>
    <t>GHISLAIN</t>
  </si>
  <si>
    <t>CP206DS</t>
  </si>
  <si>
    <t xml:space="preserve">DOMINGO </t>
  </si>
  <si>
    <t>CP207SM</t>
  </si>
  <si>
    <t>SEDRIC</t>
  </si>
  <si>
    <t>MAGNIFICAT</t>
  </si>
  <si>
    <t>CP208AO</t>
  </si>
  <si>
    <t>OLIVIER</t>
  </si>
  <si>
    <t>TEMOIN JEHOVAH</t>
  </si>
  <si>
    <t>CP209MF</t>
  </si>
  <si>
    <t>MAMAN</t>
  </si>
  <si>
    <t>FENOU</t>
  </si>
  <si>
    <t>CP210GN</t>
  </si>
  <si>
    <t>GANDONOU</t>
  </si>
  <si>
    <t>NOURIA</t>
  </si>
  <si>
    <t>CP211HJ</t>
  </si>
  <si>
    <t>HOINDO</t>
  </si>
  <si>
    <t>CP212ON</t>
  </si>
  <si>
    <t>OBOSSOU</t>
  </si>
  <si>
    <t>NADEGE</t>
  </si>
  <si>
    <t>CP213MA</t>
  </si>
  <si>
    <t>CP214AA</t>
  </si>
  <si>
    <t>AGBO</t>
  </si>
  <si>
    <t>AFIAVI</t>
  </si>
  <si>
    <t>PAHOU</t>
  </si>
  <si>
    <t>CP215BC</t>
  </si>
  <si>
    <t>BOKO</t>
  </si>
  <si>
    <t>CLARICE</t>
  </si>
  <si>
    <t>CP216AR</t>
  </si>
  <si>
    <t>ANATO</t>
  </si>
  <si>
    <t>ROLANDE</t>
  </si>
  <si>
    <t>CP217HC</t>
  </si>
  <si>
    <t>CLAUDE</t>
  </si>
  <si>
    <t>CP218MM</t>
  </si>
  <si>
    <t>MEFFIAS</t>
  </si>
  <si>
    <t>CP219EL</t>
  </si>
  <si>
    <t>LAURELLE</t>
  </si>
  <si>
    <t>CP220FO</t>
  </si>
  <si>
    <t xml:space="preserve">FOLLY </t>
  </si>
  <si>
    <t>CP221AO</t>
  </si>
  <si>
    <t>CP222MN</t>
  </si>
  <si>
    <t>NICOLE</t>
  </si>
  <si>
    <t>CP223LD</t>
  </si>
  <si>
    <t>LAWSON</t>
  </si>
  <si>
    <t>DENIS</t>
  </si>
  <si>
    <t>CP224HB</t>
  </si>
  <si>
    <t>HOUENOU</t>
  </si>
  <si>
    <t>BRUNO</t>
  </si>
  <si>
    <t>CP225RZ</t>
  </si>
  <si>
    <t>RAMANOU</t>
  </si>
  <si>
    <t>ZAFIRATH</t>
  </si>
  <si>
    <t>AKPAKPA SODJEATIME</t>
  </si>
  <si>
    <t>28KM</t>
  </si>
  <si>
    <t>CP226AO</t>
  </si>
  <si>
    <t>ADESHEWA</t>
  </si>
  <si>
    <t>ORIYOMI</t>
  </si>
  <si>
    <t>ZOPAH</t>
  </si>
  <si>
    <t>CP227MB</t>
  </si>
  <si>
    <t xml:space="preserve">MONGBO </t>
  </si>
  <si>
    <t>BRICE</t>
  </si>
  <si>
    <t>CP228AM</t>
  </si>
  <si>
    <t>AKAKPO</t>
  </si>
  <si>
    <t>MELANIE</t>
  </si>
  <si>
    <t>CP229OP</t>
  </si>
  <si>
    <t>OLOUKOU</t>
  </si>
  <si>
    <t>CAROLINE</t>
  </si>
  <si>
    <t>CP231MN</t>
  </si>
  <si>
    <t>CP232FM</t>
  </si>
  <si>
    <t>FALADE</t>
  </si>
  <si>
    <t>MICHELINE</t>
  </si>
  <si>
    <t>O,5 KM</t>
  </si>
  <si>
    <t>CP233CA</t>
  </si>
  <si>
    <t>ARMEL</t>
  </si>
  <si>
    <t>CP234TR</t>
  </si>
  <si>
    <t>TINDAGBE</t>
  </si>
  <si>
    <t>RENACK</t>
  </si>
  <si>
    <t>CP235AG</t>
  </si>
  <si>
    <t xml:space="preserve">ADIMOU </t>
  </si>
  <si>
    <t>GILLES CHRIST</t>
  </si>
  <si>
    <t>CP236OA</t>
  </si>
  <si>
    <t>OUASSAGARI</t>
  </si>
  <si>
    <t>ABDEL KAMEL</t>
  </si>
  <si>
    <t>CP237AE</t>
  </si>
  <si>
    <t>ANISSEY</t>
  </si>
  <si>
    <t>ESTELLE</t>
  </si>
  <si>
    <t>CP238SUNU</t>
  </si>
  <si>
    <t xml:space="preserve">SUNU Assurance </t>
  </si>
  <si>
    <t>Vie BENIN</t>
  </si>
  <si>
    <t>CP239AH</t>
  </si>
  <si>
    <t>AMOUSSOU</t>
  </si>
  <si>
    <t>HYPPOLITE</t>
  </si>
  <si>
    <t>CP240OK</t>
  </si>
  <si>
    <t>KAMAR</t>
  </si>
  <si>
    <t>CP241TJ</t>
  </si>
  <si>
    <t>TOHON</t>
  </si>
  <si>
    <t>JONIECE</t>
  </si>
  <si>
    <t>CP242KA</t>
  </si>
  <si>
    <t>KPAKPATROU</t>
  </si>
  <si>
    <t>ABIBATOU</t>
  </si>
  <si>
    <t>Direction MTN</t>
  </si>
  <si>
    <t>CP243FC</t>
  </si>
  <si>
    <t xml:space="preserve">FANDOHAN </t>
  </si>
  <si>
    <t>CARMEN</t>
  </si>
  <si>
    <t>CP244MS</t>
  </si>
  <si>
    <t>MIGUEL</t>
  </si>
  <si>
    <t>STEVE</t>
  </si>
  <si>
    <t>Terrain</t>
  </si>
  <si>
    <t>CP245GC</t>
  </si>
  <si>
    <t>GNANHO</t>
  </si>
  <si>
    <t>CARINE</t>
  </si>
  <si>
    <t>CP246DJ</t>
  </si>
  <si>
    <t>DAGNITO</t>
  </si>
  <si>
    <t>JOANNA</t>
  </si>
  <si>
    <t>CP247AM</t>
  </si>
  <si>
    <t>AKPLOGAN</t>
  </si>
  <si>
    <t>MAXIME</t>
  </si>
  <si>
    <t>4,5KM</t>
  </si>
  <si>
    <t>CP248SF</t>
  </si>
  <si>
    <t>SOGLO</t>
  </si>
  <si>
    <t>FLORENTINE</t>
  </si>
  <si>
    <t>CP249AI</t>
  </si>
  <si>
    <t>ADECHOKPE</t>
  </si>
  <si>
    <t>INGRIDE</t>
  </si>
  <si>
    <t>CP250MH</t>
  </si>
  <si>
    <t>HOSNI</t>
  </si>
  <si>
    <t>CP251AF</t>
  </si>
  <si>
    <t>AKPOVO</t>
  </si>
  <si>
    <t>FRANCOISE</t>
  </si>
  <si>
    <t>CP252MA</t>
  </si>
  <si>
    <t>AGBOTON</t>
  </si>
  <si>
    <t>CARREFOUR LIBS</t>
  </si>
  <si>
    <t>CP253TP</t>
  </si>
  <si>
    <t>TONNOU</t>
  </si>
  <si>
    <t>PASCAL</t>
  </si>
  <si>
    <t>CP254DA</t>
  </si>
  <si>
    <t>DOSSA</t>
  </si>
  <si>
    <t>AMOS</t>
  </si>
  <si>
    <t>CP255MS</t>
  </si>
  <si>
    <t>CP256TA</t>
  </si>
  <si>
    <t>TAPE</t>
  </si>
  <si>
    <t>ABLA NADEGE</t>
  </si>
  <si>
    <t>CP257DR</t>
  </si>
  <si>
    <t>DJINADOU</t>
  </si>
  <si>
    <t>RISSICATH</t>
  </si>
  <si>
    <t>CP258AL</t>
  </si>
  <si>
    <t>ABIOUBI</t>
  </si>
  <si>
    <t>LUCIEN</t>
  </si>
  <si>
    <t>CP259BA</t>
  </si>
  <si>
    <t>BACHABI</t>
  </si>
  <si>
    <t>ANGE</t>
  </si>
  <si>
    <t>66 51 57 51</t>
  </si>
  <si>
    <t>CP260DL</t>
  </si>
  <si>
    <t>DOSSOU-YOVO</t>
  </si>
  <si>
    <t>LUCIE</t>
  </si>
  <si>
    <t>62 90 42 33/ 64 60 05 25/ 95 47 54 51</t>
  </si>
  <si>
    <t>Fidjrosse Akogbato</t>
  </si>
  <si>
    <t>CP261SM</t>
  </si>
  <si>
    <t>SABI IFON</t>
  </si>
  <si>
    <t>MOUFTAOU</t>
  </si>
  <si>
    <t>CP262SP</t>
  </si>
  <si>
    <t>SODOKIN</t>
  </si>
  <si>
    <t>PAUL</t>
  </si>
  <si>
    <t>67 80 94 46</t>
  </si>
  <si>
    <t xml:space="preserve">TABA </t>
  </si>
  <si>
    <t>CP264HM</t>
  </si>
  <si>
    <t xml:space="preserve">HOUENOU </t>
  </si>
  <si>
    <t>MARCIENNE</t>
  </si>
  <si>
    <t>97 09 90 40</t>
  </si>
  <si>
    <t>CP265MR</t>
  </si>
  <si>
    <t>ROSARIO</t>
  </si>
  <si>
    <t>FOLLY OLIVIER</t>
  </si>
  <si>
    <t>CP266MM</t>
  </si>
  <si>
    <t xml:space="preserve">MAMAN </t>
  </si>
  <si>
    <t>MARIAMA</t>
  </si>
  <si>
    <t>CP268MY</t>
  </si>
  <si>
    <t>YASMINE</t>
  </si>
  <si>
    <t>AKPAKPA LOM NAVA</t>
  </si>
  <si>
    <t>CP269MC</t>
  </si>
  <si>
    <t>AYADJI FALDIA</t>
  </si>
  <si>
    <t>CP270GF</t>
  </si>
  <si>
    <t>FRANKLIN</t>
  </si>
  <si>
    <t>INOUSSA</t>
  </si>
  <si>
    <t>2,6KM</t>
  </si>
  <si>
    <t>CP271MD</t>
  </si>
  <si>
    <t>DEO GRATIAS</t>
  </si>
  <si>
    <t>CP272AL</t>
  </si>
  <si>
    <t xml:space="preserve">AKOSSO </t>
  </si>
  <si>
    <t>LIONEL</t>
  </si>
  <si>
    <t>CP273MJ</t>
  </si>
  <si>
    <t>JULIENNE</t>
  </si>
  <si>
    <t>CALAVI CITE ARCONVILLE</t>
  </si>
  <si>
    <t>2 KM</t>
  </si>
  <si>
    <t>CP274MK</t>
  </si>
  <si>
    <t>KADIDJATH</t>
  </si>
  <si>
    <t>CP275AF</t>
  </si>
  <si>
    <t>FRINOCK</t>
  </si>
  <si>
    <t>CALAVI GBETAGBO</t>
  </si>
  <si>
    <t>Distance</t>
  </si>
  <si>
    <t>Statut du client</t>
  </si>
  <si>
    <t>Statut Client</t>
  </si>
  <si>
    <t>Collecte</t>
  </si>
  <si>
    <t>OUI</t>
  </si>
  <si>
    <t>Abonnement</t>
  </si>
  <si>
    <r>
      <rPr>
        <b/>
        <u/>
        <sz val="10"/>
        <color theme="1"/>
        <rFont val="Arial"/>
        <family val="2"/>
      </rPr>
      <t>MOMO PAY</t>
    </r>
    <r>
      <rPr>
        <b/>
        <sz val="10"/>
        <color theme="1"/>
        <rFont val="Arial"/>
        <family val="2"/>
      </rPr>
      <t xml:space="preserve">: </t>
    </r>
    <r>
      <rPr>
        <b/>
        <sz val="10"/>
        <color rgb="FF00B0F0"/>
        <rFont val="Arial"/>
        <family val="2"/>
      </rPr>
      <t>*880*41*955497*Montant#</t>
    </r>
  </si>
  <si>
    <r>
      <rPr>
        <b/>
        <u/>
        <sz val="10"/>
        <color theme="1"/>
        <rFont val="Arial"/>
        <family val="2"/>
      </rPr>
      <t xml:space="preserve">MOOV PAY: </t>
    </r>
    <r>
      <rPr>
        <b/>
        <sz val="10"/>
        <color rgb="FF00B0F0"/>
        <rFont val="Arial"/>
        <family val="2"/>
      </rPr>
      <t>*855*4*1*22518*Montant#</t>
    </r>
  </si>
  <si>
    <t>Informations du client</t>
  </si>
  <si>
    <t>Spécificité</t>
  </si>
  <si>
    <t xml:space="preserve">Coef 1 </t>
  </si>
  <si>
    <r>
      <t>Coef 2</t>
    </r>
    <r>
      <rPr>
        <sz val="11"/>
        <color theme="1"/>
        <rFont val="Calibri"/>
        <family val="2"/>
        <scheme val="minor"/>
      </rPr>
      <t/>
    </r>
  </si>
  <si>
    <t>_</t>
  </si>
  <si>
    <t>/</t>
  </si>
  <si>
    <t>Date Facture:</t>
  </si>
  <si>
    <t>Type Commande:</t>
  </si>
  <si>
    <t>Normal</t>
  </si>
  <si>
    <t>Heureux de vous avoir</t>
  </si>
  <si>
    <r>
      <rPr>
        <b/>
        <u/>
        <sz val="9"/>
        <rFont val="Arial"/>
        <family val="2"/>
      </rPr>
      <t>NB:</t>
    </r>
    <r>
      <rPr>
        <b/>
        <sz val="9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Le client dispose de 7 jours pour payer une fois qu'il a reçu notification que son colis est prêt pour livraison</t>
    </r>
    <r>
      <rPr>
        <b/>
        <sz val="9"/>
        <rFont val="Arial"/>
        <family val="2"/>
      </rPr>
      <t>.</t>
    </r>
  </si>
  <si>
    <t>Combinaison en tissu riche (CB v3)</t>
  </si>
  <si>
    <t>Combinaison en tissu délicat (CB v4)</t>
  </si>
  <si>
    <t>Jupe simple (JU)</t>
  </si>
  <si>
    <r>
      <t xml:space="preserve">CL2 rich PB SPG.CL2 ordi  APG ou </t>
    </r>
    <r>
      <rPr>
        <b/>
        <sz val="8.5"/>
        <color theme="1"/>
        <rFont val="Arial"/>
        <family val="2"/>
      </rPr>
      <t>Blanc</t>
    </r>
    <r>
      <rPr>
        <sz val="8.5"/>
        <color theme="1"/>
        <rFont val="Arial"/>
        <family val="2"/>
      </rPr>
      <t xml:space="preserve"> </t>
    </r>
    <r>
      <rPr>
        <b/>
        <sz val="8.5"/>
        <color theme="1"/>
        <rFont val="Arial"/>
        <family val="2"/>
      </rPr>
      <t>SPG</t>
    </r>
    <r>
      <rPr>
        <sz val="8.5"/>
        <color theme="1"/>
        <rFont val="Arial"/>
        <family val="2"/>
      </rPr>
      <t>.</t>
    </r>
    <r>
      <rPr>
        <b/>
        <sz val="8.5"/>
        <color theme="1"/>
        <rFont val="Arial"/>
        <family val="2"/>
      </rPr>
      <t xml:space="preserve">GoodLuck simple PB
</t>
    </r>
  </si>
  <si>
    <r>
      <t>CL2 Mat riche Blanc SPG. CL2 Mat riche PB APG.</t>
    </r>
    <r>
      <rPr>
        <b/>
        <sz val="7.5"/>
        <color theme="1"/>
        <rFont val="Arial"/>
        <family val="2"/>
      </rPr>
      <t>Goodluck luxueux ou blanc</t>
    </r>
    <r>
      <rPr>
        <sz val="7.5"/>
        <color theme="1"/>
        <rFont val="Arial"/>
        <family val="2"/>
      </rPr>
      <t xml:space="preserve">
</t>
    </r>
  </si>
  <si>
    <t>DATE</t>
  </si>
  <si>
    <t xml:space="preserve"> CALAVI ZOPAH  MOSQUE EN FACE WASH?AN</t>
  </si>
  <si>
    <t>CP80MA</t>
  </si>
  <si>
    <t>CALAVI AKOGBATO</t>
  </si>
  <si>
    <t>17K?</t>
  </si>
  <si>
    <t>AKPAKPA TANTO</t>
  </si>
  <si>
    <t>0KM</t>
  </si>
  <si>
    <t>CP230AC</t>
  </si>
  <si>
    <t>AGBANOU</t>
  </si>
  <si>
    <t>0 KM</t>
  </si>
  <si>
    <t>3,3KM</t>
  </si>
  <si>
    <t>19 KM</t>
  </si>
  <si>
    <t>15KM</t>
  </si>
  <si>
    <t>fidjrosse</t>
  </si>
  <si>
    <t>CP263TR</t>
  </si>
  <si>
    <t>CP267EM</t>
  </si>
  <si>
    <t>EGOUNLETI</t>
  </si>
  <si>
    <t>MATURIN</t>
  </si>
  <si>
    <t>2,4KM</t>
  </si>
  <si>
    <t xml:space="preserve">ACAKPO </t>
  </si>
  <si>
    <t>CP276MT</t>
  </si>
  <si>
    <t xml:space="preserve">MEGNIKPO </t>
  </si>
  <si>
    <t>THERENCE</t>
  </si>
  <si>
    <t xml:space="preserve"> AKPAKPA CINE CONCORDE</t>
  </si>
  <si>
    <t>27KM</t>
  </si>
  <si>
    <t>CP277MG</t>
  </si>
  <si>
    <t>ARCONVILLE PRIVILEGE</t>
  </si>
  <si>
    <t>CP278AB</t>
  </si>
  <si>
    <t>AGBESSI</t>
  </si>
  <si>
    <t>BELLE VIGNE</t>
  </si>
  <si>
    <t>8KM</t>
  </si>
  <si>
    <t>CP279OO</t>
  </si>
  <si>
    <t>OLABOWA</t>
  </si>
  <si>
    <t>OLAYEMI</t>
  </si>
  <si>
    <t>CP280TY</t>
  </si>
  <si>
    <t>TOURE</t>
  </si>
  <si>
    <t>51 04 85 33</t>
  </si>
  <si>
    <t>CP281MJ</t>
  </si>
  <si>
    <t>JEAN PAUL</t>
  </si>
  <si>
    <t>20KM</t>
  </si>
  <si>
    <t>CP282AV</t>
  </si>
  <si>
    <t>ATANVOETOU</t>
  </si>
  <si>
    <t>CP283EA</t>
  </si>
  <si>
    <t>EDEMESSI</t>
  </si>
  <si>
    <t>AXEL</t>
  </si>
  <si>
    <t>MADAME YASMINE</t>
  </si>
  <si>
    <t>GODOMEY SEDEGBE</t>
  </si>
  <si>
    <t>CP284MB</t>
  </si>
  <si>
    <t>BEHANZIN</t>
  </si>
  <si>
    <t>MADAME MAUREEN</t>
  </si>
  <si>
    <t>7,5KM</t>
  </si>
  <si>
    <t>CP285MH</t>
  </si>
  <si>
    <t>HAYIRATH</t>
  </si>
  <si>
    <t>CT</t>
  </si>
  <si>
    <t>Ensemble drap 6 pièces -v3</t>
  </si>
  <si>
    <t xml:space="preserve">Ensemble  1 Drap 2/3 places + 1 couette + 4 taies </t>
  </si>
  <si>
    <t>Ensemble Drap (ED v3)</t>
  </si>
  <si>
    <t>ED v4</t>
  </si>
  <si>
    <t>Ensemble drap 5 pièces -v4</t>
  </si>
  <si>
    <t xml:space="preserve">Ensemble  1 Drap 2/3 places  + 4 taies </t>
  </si>
  <si>
    <t>Ensemble Drap (ED v4)</t>
  </si>
  <si>
    <t>ED v5</t>
  </si>
  <si>
    <t>Ensemble drap -v5</t>
  </si>
  <si>
    <t>Ensemble Drap (ED v5)</t>
  </si>
  <si>
    <r>
      <t xml:space="preserve">Nappe de table grand </t>
    </r>
    <r>
      <rPr>
        <sz val="10"/>
        <color rgb="FFFF0000"/>
        <rFont val="Arial"/>
        <family val="2"/>
      </rPr>
      <t>pas blanc</t>
    </r>
  </si>
  <si>
    <t>NA v4</t>
  </si>
  <si>
    <t>Nappe de table grand blanc</t>
  </si>
  <si>
    <t>Nappe/Torchons (NAv4)</t>
  </si>
  <si>
    <t>EN</t>
  </si>
  <si>
    <t>Ensemble nappe+ sets de table  25 P</t>
  </si>
  <si>
    <t>Nappe PB + 12 dessous de tables + 12 torchons</t>
  </si>
  <si>
    <t>Ensemble nappes + sets</t>
  </si>
  <si>
    <t>Tapis moquette avec tache -v4</t>
  </si>
  <si>
    <t>Tapis moquette  standard- v2</t>
  </si>
  <si>
    <t>PU Express</t>
  </si>
  <si>
    <t xml:space="preserve">Retouches </t>
  </si>
  <si>
    <t>Total avant remise</t>
  </si>
  <si>
    <t>Pantalon (PA v3)</t>
  </si>
  <si>
    <t>Robe (RO)</t>
  </si>
  <si>
    <t>Robe (RO v2)</t>
  </si>
  <si>
    <t>Robe (RO v10)</t>
  </si>
  <si>
    <t>CM2</t>
  </si>
  <si>
    <t>Complet Moderne</t>
  </si>
  <si>
    <t>Complet en tissu moderne</t>
  </si>
  <si>
    <t>Complet Moderne (même prix que le CL2 en fonction des V)</t>
  </si>
  <si>
    <t>Catalogue de Prix.v3.2023</t>
  </si>
  <si>
    <t>AMEGNIKOU ANGE-MARCEAU</t>
  </si>
  <si>
    <t>Maison FIDJROSSE  Bureau Zogbo</t>
  </si>
  <si>
    <t>Bureau 18KM Msn 20KM</t>
  </si>
  <si>
    <t>VEDOKO 20KM  AGLA 18KM</t>
  </si>
  <si>
    <t>AKOGBATO</t>
  </si>
  <si>
    <t>HONORINE</t>
  </si>
  <si>
    <t>zoundja kpevi</t>
  </si>
  <si>
    <t>2,_ km</t>
  </si>
  <si>
    <t>CP155AF</t>
  </si>
  <si>
    <t>900M</t>
  </si>
  <si>
    <t>Maison SOS Calavi
Bureau Cabinet AGONTIKON</t>
  </si>
  <si>
    <t>Cabinet 21KM</t>
  </si>
  <si>
    <t>KODO</t>
  </si>
  <si>
    <t>DIRECTION MTN 24KM
MAISON Menontin 15KM</t>
  </si>
  <si>
    <t>Msn 15KM Bureau 24KM</t>
  </si>
  <si>
    <t>DIRECTION MTN 24KM
MAISON 15KM</t>
  </si>
  <si>
    <t>CALAVI  ZOPAH</t>
  </si>
  <si>
    <t>EMPLOYEE</t>
  </si>
  <si>
    <t>GOOGLE</t>
  </si>
  <si>
    <t>CS2AR</t>
  </si>
  <si>
    <t>ARTJB</t>
  </si>
  <si>
    <t>CP286OV</t>
  </si>
  <si>
    <t>ODJO</t>
  </si>
  <si>
    <t>Victor</t>
  </si>
  <si>
    <t>TIK TOK</t>
  </si>
  <si>
    <t>CP287AA</t>
  </si>
  <si>
    <t>AGBODJOGBE</t>
  </si>
  <si>
    <t>Abigael</t>
  </si>
  <si>
    <t>CALAVI ET COTONOU</t>
  </si>
  <si>
    <t>CP288ME</t>
  </si>
  <si>
    <t>ERMINE</t>
  </si>
  <si>
    <t>CP289HS</t>
  </si>
  <si>
    <t>HONVOU</t>
  </si>
  <si>
    <t>SIMONE</t>
  </si>
  <si>
    <t>ARCONVILLE 2.3 KM
A côté le Savoir 2.9 KM</t>
  </si>
  <si>
    <t>Arconville 2,3KM A côté LE SAVOIR 2.9KM</t>
  </si>
  <si>
    <t>CP290MJ</t>
  </si>
  <si>
    <t>JOSEE</t>
  </si>
  <si>
    <t>LAWSON DENIS</t>
  </si>
  <si>
    <t>CP291MJ</t>
  </si>
  <si>
    <t xml:space="preserve">MONSIEUR </t>
  </si>
  <si>
    <t>JOSUE</t>
  </si>
  <si>
    <t>CP292BE</t>
  </si>
  <si>
    <t>BAYORO</t>
  </si>
  <si>
    <t>ESTHER</t>
  </si>
  <si>
    <t>GLO</t>
  </si>
  <si>
    <t>12KM</t>
  </si>
  <si>
    <t>CP293KR</t>
  </si>
  <si>
    <t>RUSHDANE</t>
  </si>
  <si>
    <t>CP294MJ</t>
  </si>
  <si>
    <t xml:space="preserve">MADEGNAN  </t>
  </si>
  <si>
    <t>JOELLE</t>
  </si>
  <si>
    <t>CINE VOGUE ECOBANK</t>
  </si>
  <si>
    <t>CP295MY</t>
  </si>
  <si>
    <t>YVONNE</t>
  </si>
  <si>
    <t>CP296DM</t>
  </si>
  <si>
    <t>DJIVOH</t>
  </si>
  <si>
    <t>CP297AK</t>
  </si>
  <si>
    <t>KEVIN</t>
  </si>
  <si>
    <t>10KM</t>
  </si>
  <si>
    <t>CP298MT</t>
  </si>
  <si>
    <t>TIDJANI</t>
  </si>
  <si>
    <t>CP299AV</t>
  </si>
  <si>
    <t xml:space="preserve">AGONGLO </t>
  </si>
  <si>
    <t>URSULE</t>
  </si>
  <si>
    <t>CS3CE</t>
  </si>
  <si>
    <t>CE2C SARL</t>
  </si>
  <si>
    <t>CP300KC</t>
  </si>
  <si>
    <t>KOUEVI</t>
  </si>
  <si>
    <t>S. Claudia</t>
  </si>
  <si>
    <t>BIDOSESSI</t>
  </si>
  <si>
    <t>9.4KM</t>
  </si>
  <si>
    <t>CP301OJ</t>
  </si>
  <si>
    <t>OLACHEMEDJI</t>
  </si>
  <si>
    <t>Jean</t>
  </si>
  <si>
    <t>Non loin Témoin jéhovah</t>
  </si>
  <si>
    <t>CP302MB</t>
  </si>
  <si>
    <t>BIAO</t>
  </si>
  <si>
    <t>CP303AC</t>
  </si>
  <si>
    <t>CYRILLE</t>
  </si>
  <si>
    <t>33KM</t>
  </si>
  <si>
    <t>CP304SG</t>
  </si>
  <si>
    <t>CP305HC</t>
  </si>
  <si>
    <t>HOUNDEKON</t>
  </si>
  <si>
    <t>CP306AM</t>
  </si>
  <si>
    <t>MARTHE</t>
  </si>
  <si>
    <t>CP307MP</t>
  </si>
  <si>
    <t xml:space="preserve">MISSIHOUN </t>
  </si>
  <si>
    <t>PRUDENXIA</t>
  </si>
  <si>
    <t>CP308TE</t>
  </si>
  <si>
    <t>TETEH</t>
  </si>
  <si>
    <t>ERICSSON</t>
  </si>
  <si>
    <t>CP309HC</t>
  </si>
  <si>
    <t xml:space="preserve">HOUENASSOU </t>
  </si>
  <si>
    <t>CYNTHIA</t>
  </si>
  <si>
    <t>CP310FA</t>
  </si>
  <si>
    <t>FANOU</t>
  </si>
  <si>
    <t>ALIOTH</t>
  </si>
  <si>
    <t>CP311GM</t>
  </si>
  <si>
    <t>GANDAHO</t>
  </si>
  <si>
    <t>MICHELE</t>
  </si>
  <si>
    <t>CP312YS</t>
  </si>
  <si>
    <t xml:space="preserve">YAMINOU </t>
  </si>
  <si>
    <t>SAFIANOU</t>
  </si>
  <si>
    <t>CP313YZ</t>
  </si>
  <si>
    <t>YESSOUFOU</t>
  </si>
  <si>
    <t>ZEKIYATH</t>
  </si>
  <si>
    <t>CP314HA</t>
  </si>
  <si>
    <t>HOUESSOU</t>
  </si>
  <si>
    <t>ANTOINE</t>
  </si>
  <si>
    <t>CP315SP</t>
  </si>
  <si>
    <t xml:space="preserve">SONOU </t>
  </si>
  <si>
    <t>PAULIN</t>
  </si>
  <si>
    <t>CP316MD</t>
  </si>
  <si>
    <t>DANIELLA</t>
  </si>
  <si>
    <t>MADAME FALADE</t>
  </si>
  <si>
    <t>CP317AS</t>
  </si>
  <si>
    <t>SYLVAIN</t>
  </si>
  <si>
    <t>EULOGE</t>
  </si>
  <si>
    <t>CP318MP</t>
  </si>
  <si>
    <t>PRUDENCIA</t>
  </si>
  <si>
    <t>CP319CO</t>
  </si>
  <si>
    <t>CHIKOU</t>
  </si>
  <si>
    <t>OSIRIS</t>
  </si>
  <si>
    <t>CP320HF</t>
  </si>
  <si>
    <t>HOUNGUE</t>
  </si>
  <si>
    <t>FAUSTINE</t>
  </si>
  <si>
    <t>CP321AE</t>
  </si>
  <si>
    <t xml:space="preserve">ADANDEDJA </t>
  </si>
  <si>
    <t>CP322MB</t>
  </si>
  <si>
    <t>BERTRAND</t>
  </si>
  <si>
    <t>CP323MM</t>
  </si>
  <si>
    <t>MARIETTE</t>
  </si>
  <si>
    <t>CP324BA</t>
  </si>
  <si>
    <t>BONOU</t>
  </si>
  <si>
    <t>ARNAUD</t>
  </si>
  <si>
    <t>CP325KI</t>
  </si>
  <si>
    <t>KETEKE</t>
  </si>
  <si>
    <t>ISAI</t>
  </si>
  <si>
    <t>AGUESSY</t>
  </si>
  <si>
    <t>CP327MF</t>
  </si>
  <si>
    <t>FAGLA</t>
  </si>
  <si>
    <t>CP328MW</t>
  </si>
  <si>
    <t>WAKILU</t>
  </si>
  <si>
    <t>CP329AI</t>
  </si>
  <si>
    <t>IDA</t>
  </si>
  <si>
    <t>CP330BP</t>
  </si>
  <si>
    <t>BOVIS</t>
  </si>
  <si>
    <t>PAO</t>
  </si>
  <si>
    <t>CP331MA</t>
  </si>
  <si>
    <t>ALINE AKPO</t>
  </si>
  <si>
    <t>OGOUWALE IRENE</t>
  </si>
  <si>
    <t>CP332MM</t>
  </si>
  <si>
    <t>MARIAME</t>
  </si>
  <si>
    <t>CS4TH</t>
  </si>
  <si>
    <t>HOTEL</t>
  </si>
  <si>
    <t>TAHITI</t>
  </si>
  <si>
    <t>FIACRE KEKE</t>
  </si>
  <si>
    <t>CP333AI</t>
  </si>
  <si>
    <t>ISLAMIA</t>
  </si>
  <si>
    <t>13KM</t>
  </si>
  <si>
    <t>CP326MA</t>
  </si>
  <si>
    <t>RACHELLE</t>
  </si>
  <si>
    <t>15 KM</t>
  </si>
  <si>
    <t>29 KM</t>
  </si>
  <si>
    <t>22 KM</t>
  </si>
  <si>
    <t>Client partenaire</t>
  </si>
  <si>
    <t>Grand client</t>
  </si>
  <si>
    <t>GODOME SALAMIN</t>
  </si>
  <si>
    <t>Il est décédé</t>
  </si>
  <si>
    <t>Bonus Lavage au kilo</t>
  </si>
  <si>
    <t>Lavage à la pièce + Bonus</t>
  </si>
  <si>
    <t>Date d'expiration</t>
  </si>
  <si>
    <t>Récapitulatif de suivi d'abonnement</t>
  </si>
  <si>
    <t>Montant initial</t>
  </si>
  <si>
    <t>Paiement client</t>
  </si>
  <si>
    <t>Non Applicable</t>
  </si>
  <si>
    <t>Total Lavage Kilo</t>
  </si>
  <si>
    <t>Total Lavage Pièce</t>
  </si>
  <si>
    <t>Nombre  d'effets</t>
  </si>
  <si>
    <t>Nombre de pièces</t>
  </si>
  <si>
    <t>Sous-total</t>
  </si>
  <si>
    <t>Item</t>
  </si>
  <si>
    <t>Total à consommer</t>
  </si>
  <si>
    <t>Voir detail ci-dessus</t>
  </si>
  <si>
    <t>Total TTC</t>
  </si>
  <si>
    <t>Total Standard</t>
  </si>
  <si>
    <t>Total Express</t>
  </si>
  <si>
    <t>Remise additionnelle</t>
  </si>
  <si>
    <t>Retouches</t>
  </si>
  <si>
    <t>Remise sur abonnement</t>
  </si>
  <si>
    <r>
      <t>FACTURE PRO FORMA</t>
    </r>
    <r>
      <rPr>
        <b/>
        <sz val="16"/>
        <color rgb="FF00B0F0"/>
        <rFont val="Arial"/>
        <family val="2"/>
      </rPr>
      <t xml:space="preserve"> # xxx/04/2024</t>
    </r>
  </si>
  <si>
    <t>1ère cmde du mois</t>
  </si>
  <si>
    <r>
      <t>2</t>
    </r>
    <r>
      <rPr>
        <b/>
        <sz val="11"/>
        <color theme="0"/>
        <rFont val="Aptos Narrow"/>
        <family val="2"/>
      </rPr>
      <t>ème</t>
    </r>
    <r>
      <rPr>
        <b/>
        <sz val="10"/>
        <color theme="0"/>
        <rFont val="Aptos Narrow"/>
        <family val="2"/>
      </rPr>
      <t xml:space="preserve"> cmde du mois</t>
    </r>
  </si>
  <si>
    <t>Solde restant 1</t>
  </si>
  <si>
    <t>Solde restant 2</t>
  </si>
  <si>
    <t>Kankpé</t>
  </si>
  <si>
    <r>
      <rPr>
        <b/>
        <sz val="11"/>
        <color theme="0"/>
        <rFont val="Aptos Narrow"/>
        <family val="2"/>
      </rPr>
      <t>3ème</t>
    </r>
    <r>
      <rPr>
        <b/>
        <sz val="10"/>
        <color theme="0"/>
        <rFont val="Aptos Narrow"/>
        <family val="2"/>
      </rPr>
      <t xml:space="preserve"> cmde du mois</t>
    </r>
  </si>
  <si>
    <t>Solde restant 3</t>
  </si>
  <si>
    <t>Solde restant 4</t>
  </si>
  <si>
    <r>
      <rPr>
        <b/>
        <sz val="11"/>
        <color theme="0"/>
        <rFont val="Aptos Narrow"/>
        <family val="2"/>
      </rPr>
      <t>4ème</t>
    </r>
    <r>
      <rPr>
        <b/>
        <sz val="10"/>
        <color theme="0"/>
        <rFont val="Aptos Narrow"/>
        <family val="2"/>
      </rPr>
      <t xml:space="preserve"> cmde du mois</t>
    </r>
  </si>
  <si>
    <r>
      <rPr>
        <b/>
        <sz val="11"/>
        <color theme="0"/>
        <rFont val="Aptos Narrow"/>
        <family val="2"/>
      </rPr>
      <t>5ème</t>
    </r>
    <r>
      <rPr>
        <b/>
        <sz val="10"/>
        <color theme="0"/>
        <rFont val="Aptos Narrow"/>
        <family val="2"/>
      </rPr>
      <t xml:space="preserve"> cmde du mois</t>
    </r>
  </si>
  <si>
    <t>Solde restant 5</t>
  </si>
  <si>
    <r>
      <rPr>
        <b/>
        <sz val="11"/>
        <color theme="0"/>
        <rFont val="Aptos Narrow"/>
        <family val="2"/>
      </rPr>
      <t>6ème</t>
    </r>
    <r>
      <rPr>
        <b/>
        <sz val="10"/>
        <color theme="0"/>
        <rFont val="Aptos Narrow"/>
        <family val="2"/>
      </rPr>
      <t xml:space="preserve"> cmde du mois</t>
    </r>
  </si>
  <si>
    <t>Solde restant 6</t>
  </si>
  <si>
    <t>pensez à renouveler votre abonnement!</t>
  </si>
  <si>
    <t>J-</t>
  </si>
  <si>
    <r>
      <rPr>
        <b/>
        <u/>
        <sz val="9"/>
        <rFont val="Arial"/>
        <family val="2"/>
      </rPr>
      <t>NB:</t>
    </r>
    <r>
      <rPr>
        <b/>
        <sz val="9"/>
        <rFont val="Arial"/>
        <family val="2"/>
      </rPr>
      <t xml:space="preserve"> Nous sommes à jour</t>
    </r>
  </si>
  <si>
    <t>Nombre d'effets</t>
  </si>
  <si>
    <r>
      <rPr>
        <b/>
        <u/>
        <sz val="9"/>
        <rFont val="Arial"/>
        <family val="2"/>
      </rPr>
      <t>NB:</t>
    </r>
    <r>
      <rPr>
        <b/>
        <sz val="9"/>
        <color rgb="FFFF0000"/>
        <rFont val="Arial"/>
        <family val="2"/>
      </rPr>
      <t xml:space="preserve"> Le paiement est dû avant ou à la livraison.</t>
    </r>
  </si>
  <si>
    <t>Chaussette (CT)</t>
  </si>
  <si>
    <t>Tenue Locale (TL v6)</t>
  </si>
  <si>
    <t>CL3 v5</t>
  </si>
  <si>
    <t>Manteau/blouson/Jacket (VE v3)</t>
  </si>
  <si>
    <t>UN v4</t>
  </si>
  <si>
    <t>Ensemble Drap</t>
  </si>
  <si>
    <t>SE v2</t>
  </si>
  <si>
    <t>ED v3</t>
  </si>
  <si>
    <t>RI v3</t>
  </si>
  <si>
    <t>Rideau (RIv3)</t>
  </si>
  <si>
    <t>Rideau Grand-Tissu lourd/délicat</t>
  </si>
  <si>
    <r>
      <t>Haut ou Bas en tissu local ordi,TC crt/ Lg. TL</t>
    </r>
    <r>
      <rPr>
        <sz val="10"/>
        <color theme="1"/>
        <rFont val="Aptos Narrow"/>
        <family val="2"/>
      </rPr>
      <t xml:space="preserve"> Blanc crt</t>
    </r>
  </si>
  <si>
    <t>-5%</t>
  </si>
  <si>
    <t>-7%</t>
  </si>
  <si>
    <t>-10%</t>
  </si>
  <si>
    <r>
      <t>FACTURE PRO FORMA</t>
    </r>
    <r>
      <rPr>
        <b/>
        <sz val="16"/>
        <color rgb="FF00B0F0"/>
        <rFont val="Arial"/>
        <family val="2"/>
      </rPr>
      <t xml:space="preserve"> # xxx/03/2024</t>
    </r>
  </si>
  <si>
    <t>id</t>
  </si>
  <si>
    <t>date</t>
  </si>
  <si>
    <t>code</t>
  </si>
  <si>
    <t>jdfjh</t>
  </si>
  <si>
    <t>a2</t>
  </si>
  <si>
    <t>a3</t>
  </si>
  <si>
    <t>Bébé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</si>
</sst>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[$-409]d\-mmm\-yyyy;@"/>
    <numFmt numFmtId="167" formatCode="[$-409]dd\-mmm\-yy;@"/>
    <numFmt numFmtId="168" formatCode="[$-409]d\-mmm\-yy;@"/>
    <numFmt numFmtId="169" formatCode="[$-40C]dd\-mmm\-yy;@"/>
    <numFmt numFmtId="170" formatCode="[$-409]mmmm\ d\,\ yyyy;@"/>
  </numFmts>
  <fonts count="9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9.5"/>
      <color theme="1"/>
      <name val="Arial"/>
      <family val="2"/>
    </font>
    <font>
      <b/>
      <u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00B0F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FF0000"/>
      <name val="Arial"/>
      <family val="2"/>
    </font>
    <font>
      <b/>
      <u/>
      <sz val="9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6"/>
      <color theme="1"/>
      <name val="Arial"/>
      <family val="2"/>
    </font>
    <font>
      <b/>
      <sz val="9.5"/>
      <color theme="1"/>
      <name val="Arial"/>
      <family val="2"/>
    </font>
    <font>
      <b/>
      <sz val="8.5"/>
      <color theme="1"/>
      <name val="Arial"/>
      <family val="2"/>
    </font>
    <font>
      <sz val="8.5"/>
      <color theme="1"/>
      <name val="Arial"/>
      <family val="2"/>
    </font>
    <font>
      <sz val="8"/>
      <color theme="1"/>
      <name val="Arial"/>
      <family val="2"/>
    </font>
    <font>
      <vertAlign val="superscript"/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CC4125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0"/>
      <color rgb="FF00B0F0"/>
      <name val="Arial"/>
      <family val="2"/>
    </font>
    <font>
      <i/>
      <sz val="10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b/>
      <sz val="9.5"/>
      <color theme="0"/>
      <name val="Arial"/>
      <family val="2"/>
    </font>
    <font>
      <b/>
      <sz val="8"/>
      <color rgb="FF00B0F0"/>
      <name val="Arial"/>
      <family val="2"/>
    </font>
    <font>
      <b/>
      <sz val="9"/>
      <name val="Arial"/>
      <family val="2"/>
    </font>
    <font>
      <b/>
      <sz val="9"/>
      <color rgb="FF002060"/>
      <name val="Arial"/>
      <family val="2"/>
    </font>
    <font>
      <b/>
      <sz val="8"/>
      <color rgb="FFFFFF00"/>
      <name val="Arial"/>
      <family val="2"/>
    </font>
    <font>
      <b/>
      <sz val="7.5"/>
      <color theme="0"/>
      <name val="Arial"/>
      <family val="2"/>
    </font>
    <font>
      <b/>
      <sz val="11"/>
      <color rgb="FF00B0F0"/>
      <name val="Calibri"/>
      <family val="2"/>
      <scheme val="minor"/>
    </font>
    <font>
      <b/>
      <sz val="11"/>
      <color rgb="FF00B0F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7.5"/>
      <color theme="1"/>
      <name val="Arial"/>
      <family val="2"/>
    </font>
    <font>
      <b/>
      <sz val="7.5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2060"/>
      <name val="Arial"/>
      <family val="2"/>
    </font>
    <font>
      <sz val="9"/>
      <color indexed="81"/>
      <name val="Tahoma"/>
      <family val="2"/>
    </font>
    <font>
      <b/>
      <sz val="9"/>
      <color rgb="FF00B0F0"/>
      <name val="Calibri"/>
      <family val="2"/>
      <scheme val="minor"/>
    </font>
    <font>
      <b/>
      <sz val="9"/>
      <color indexed="81"/>
      <name val="Tahoma"/>
      <family val="2"/>
    </font>
    <font>
      <b/>
      <sz val="9"/>
      <name val="Aptos Narrow"/>
      <family val="2"/>
    </font>
    <font>
      <b/>
      <sz val="10"/>
      <color rgb="FF002060"/>
      <name val="Aptos Narrow"/>
      <family val="2"/>
    </font>
    <font>
      <sz val="10"/>
      <color rgb="FF002060"/>
      <name val="Arial"/>
      <family val="2"/>
    </font>
    <font>
      <b/>
      <sz val="8"/>
      <color theme="0"/>
      <name val="Aptos Narrow"/>
      <family val="2"/>
    </font>
    <font>
      <b/>
      <sz val="9"/>
      <color theme="0"/>
      <name val="Aptos Narrow"/>
      <family val="2"/>
    </font>
    <font>
      <b/>
      <sz val="10"/>
      <color theme="0"/>
      <name val="Aptos Narrow"/>
      <family val="2"/>
    </font>
    <font>
      <b/>
      <sz val="8.5"/>
      <color rgb="FFFFFF00"/>
      <name val="Aptos Narrow"/>
      <family val="2"/>
    </font>
    <font>
      <b/>
      <sz val="8"/>
      <color rgb="FFFFFF00"/>
      <name val="Aptos Narrow"/>
      <family val="2"/>
    </font>
    <font>
      <sz val="11"/>
      <color rgb="FF002060"/>
      <name val="Arial"/>
      <family val="2"/>
    </font>
    <font>
      <b/>
      <sz val="11"/>
      <color theme="0"/>
      <name val="Aptos SemiBold"/>
      <family val="2"/>
    </font>
    <font>
      <b/>
      <sz val="10"/>
      <color theme="0"/>
      <name val="Aptos SemiBold"/>
      <family val="2"/>
    </font>
    <font>
      <b/>
      <sz val="11"/>
      <color rgb="FFFFFF00"/>
      <name val="Aptos SemiBold"/>
      <family val="2"/>
    </font>
    <font>
      <b/>
      <sz val="10"/>
      <color rgb="FF00B0F0"/>
      <name val="Aptos SemiBold"/>
      <family val="2"/>
    </font>
    <font>
      <sz val="9.5"/>
      <color rgb="FF002060"/>
      <name val="Arial"/>
      <family val="2"/>
    </font>
    <font>
      <sz val="9"/>
      <color rgb="FF002060"/>
      <name val="Arial"/>
      <family val="2"/>
    </font>
    <font>
      <b/>
      <sz val="11"/>
      <color rgb="FF00B0F0"/>
      <name val="Aptos Narrow"/>
      <family val="2"/>
    </font>
    <font>
      <b/>
      <sz val="11"/>
      <color theme="0"/>
      <name val="Aptos Narrow"/>
      <family val="2"/>
    </font>
    <font>
      <b/>
      <sz val="9.5"/>
      <color rgb="FFFF0000"/>
      <name val="Arial"/>
      <family val="2"/>
    </font>
    <font>
      <b/>
      <sz val="11"/>
      <color theme="4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sz val="11"/>
      <color theme="1"/>
      <name val="Aptos"/>
      <family val="2"/>
    </font>
    <font>
      <sz val="10"/>
      <color theme="1"/>
      <name val="Aptos"/>
      <family val="2"/>
    </font>
    <font>
      <b/>
      <sz val="10"/>
      <color theme="1"/>
      <name val="Calibri "/>
    </font>
    <font>
      <sz val="10"/>
      <name val="Calibri "/>
    </font>
    <font>
      <b/>
      <sz val="10"/>
      <name val="Calibri "/>
    </font>
    <font>
      <b/>
      <sz val="12"/>
      <name val="Calibri "/>
    </font>
    <font>
      <sz val="10"/>
      <color theme="1"/>
      <name val="Aptos Narrow"/>
      <family val="2"/>
    </font>
    <font>
      <sz val="9"/>
      <color theme="1"/>
      <name val="Aptos Narrow"/>
      <family val="2"/>
    </font>
    <font>
      <sz val="10"/>
      <name val="Aptos Narrow"/>
      <family val="2"/>
    </font>
    <font>
      <b/>
      <sz val="16"/>
      <color theme="1"/>
      <name val="Aptos Narrow"/>
      <family val="2"/>
    </font>
    <font>
      <sz val="16"/>
      <color theme="1"/>
      <name val="Aptos Narrow"/>
      <family val="2"/>
    </font>
    <font>
      <b/>
      <sz val="10"/>
      <color theme="1"/>
      <name val="Aptos Narrow"/>
      <family val="2"/>
    </font>
    <font>
      <b/>
      <sz val="9.5"/>
      <color theme="1"/>
      <name val="Aptos Narrow"/>
      <family val="2"/>
    </font>
    <font>
      <sz val="10"/>
      <color theme="1"/>
      <name val="Aptos SemiBold"/>
      <family val="2"/>
    </font>
    <font>
      <b/>
      <sz val="10"/>
      <color theme="1"/>
      <name val="Aptos SemiBold"/>
      <family val="2"/>
    </font>
    <font>
      <b/>
      <sz val="9"/>
      <color theme="1"/>
      <name val="Aptos SemiBold"/>
      <family val="2"/>
    </font>
    <font>
      <b/>
      <sz val="8.5"/>
      <color theme="1"/>
      <name val="Aptos SemiBold"/>
      <family val="2"/>
    </font>
    <font>
      <sz val="10"/>
      <name val="Aptos SemiBold"/>
      <family val="2"/>
    </font>
    <font>
      <sz val="9"/>
      <name val="Aptos Narrow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/>
  </cellStyleXfs>
  <cellXfs count="659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5" xfId="0" applyFont="1" applyBorder="1" applyAlignment="1">
      <alignment wrapText="1"/>
    </xf>
    <xf numFmtId="0" fontId="5" fillId="0" borderId="5" xfId="0" applyFont="1" applyBorder="1"/>
    <xf numFmtId="0" fontId="4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165" fontId="10" fillId="0" borderId="0" xfId="1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10" fillId="0" borderId="0" xfId="0" applyFont="1"/>
    <xf numFmtId="0" fontId="10" fillId="4" borderId="5" xfId="0" applyFont="1" applyFill="1" applyBorder="1" applyAlignment="1">
      <alignment horizontal="center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4" borderId="0" xfId="0" applyFont="1" applyFill="1" applyAlignment="1">
      <alignment horizontal="center"/>
    </xf>
    <xf numFmtId="165" fontId="10" fillId="0" borderId="0" xfId="0" applyNumberFormat="1" applyFont="1"/>
    <xf numFmtId="0" fontId="10" fillId="0" borderId="0" xfId="0" applyFont="1" applyAlignment="1" applyProtection="1">
      <alignment horizontal="center"/>
      <protection locked="0"/>
    </xf>
    <xf numFmtId="165" fontId="10" fillId="0" borderId="0" xfId="1" applyNumberFormat="1" applyFont="1" applyAlignment="1" applyProtection="1">
      <alignment horizontal="center" vertical="center"/>
    </xf>
    <xf numFmtId="165" fontId="10" fillId="0" borderId="0" xfId="1" applyNumberFormat="1" applyFont="1" applyAlignment="1" applyProtection="1">
      <alignment horizontal="center"/>
    </xf>
    <xf numFmtId="0" fontId="4" fillId="7" borderId="0" xfId="0" applyFont="1" applyFill="1"/>
    <xf numFmtId="0" fontId="5" fillId="7" borderId="0" xfId="0" applyFont="1" applyFill="1"/>
    <xf numFmtId="0" fontId="4" fillId="7" borderId="0" xfId="0" applyFont="1" applyFill="1" applyAlignment="1">
      <alignment horizontal="center"/>
    </xf>
    <xf numFmtId="165" fontId="4" fillId="7" borderId="0" xfId="1" applyNumberFormat="1" applyFont="1" applyFill="1" applyBorder="1" applyAlignment="1">
      <alignment horizontal="center"/>
    </xf>
    <xf numFmtId="165" fontId="4" fillId="8" borderId="0" xfId="1" applyNumberFormat="1" applyFont="1" applyFill="1"/>
    <xf numFmtId="165" fontId="4" fillId="0" borderId="0" xfId="1" applyNumberFormat="1" applyFont="1" applyFill="1"/>
    <xf numFmtId="9" fontId="4" fillId="8" borderId="0" xfId="2" applyFont="1" applyFill="1"/>
    <xf numFmtId="165" fontId="4" fillId="0" borderId="0" xfId="1" applyNumberFormat="1" applyFont="1" applyAlignment="1"/>
    <xf numFmtId="0" fontId="19" fillId="7" borderId="0" xfId="0" applyFont="1" applyFill="1"/>
    <xf numFmtId="0" fontId="20" fillId="7" borderId="0" xfId="0" applyFont="1" applyFill="1"/>
    <xf numFmtId="0" fontId="19" fillId="7" borderId="0" xfId="0" applyFont="1" applyFill="1" applyAlignment="1">
      <alignment horizontal="center"/>
    </xf>
    <xf numFmtId="165" fontId="2" fillId="7" borderId="0" xfId="1" applyNumberFormat="1" applyFont="1" applyFill="1" applyBorder="1" applyAlignment="1">
      <alignment horizontal="center"/>
    </xf>
    <xf numFmtId="0" fontId="21" fillId="4" borderId="0" xfId="0" applyFont="1" applyFill="1"/>
    <xf numFmtId="165" fontId="22" fillId="8" borderId="0" xfId="1" applyNumberFormat="1" applyFont="1" applyFill="1"/>
    <xf numFmtId="165" fontId="22" fillId="0" borderId="0" xfId="1" applyNumberFormat="1" applyFont="1" applyFill="1"/>
    <xf numFmtId="165" fontId="22" fillId="4" borderId="0" xfId="1" applyNumberFormat="1" applyFont="1" applyFill="1"/>
    <xf numFmtId="0" fontId="22" fillId="4" borderId="0" xfId="0" applyFont="1" applyFill="1"/>
    <xf numFmtId="9" fontId="22" fillId="8" borderId="0" xfId="2" applyFont="1" applyFill="1"/>
    <xf numFmtId="165" fontId="22" fillId="4" borderId="0" xfId="1" applyNumberFormat="1" applyFont="1" applyFill="1" applyAlignment="1"/>
    <xf numFmtId="165" fontId="19" fillId="7" borderId="0" xfId="1" applyNumberFormat="1" applyFont="1" applyFill="1" applyBorder="1"/>
    <xf numFmtId="9" fontId="22" fillId="4" borderId="0" xfId="2" applyFont="1" applyFill="1"/>
    <xf numFmtId="0" fontId="11" fillId="4" borderId="7" xfId="0" applyFont="1" applyFill="1" applyBorder="1" applyAlignment="1">
      <alignment horizontal="centerContinuous"/>
    </xf>
    <xf numFmtId="0" fontId="11" fillId="4" borderId="14" xfId="0" applyFont="1" applyFill="1" applyBorder="1" applyAlignment="1">
      <alignment horizontal="centerContinuous"/>
    </xf>
    <xf numFmtId="0" fontId="23" fillId="4" borderId="14" xfId="0" applyFont="1" applyFill="1" applyBorder="1" applyAlignment="1">
      <alignment horizontal="centerContinuous"/>
    </xf>
    <xf numFmtId="165" fontId="23" fillId="4" borderId="14" xfId="1" applyNumberFormat="1" applyFont="1" applyFill="1" applyBorder="1" applyAlignment="1">
      <alignment horizontal="centerContinuous"/>
    </xf>
    <xf numFmtId="0" fontId="23" fillId="4" borderId="14" xfId="0" applyFont="1" applyFill="1" applyBorder="1"/>
    <xf numFmtId="0" fontId="23" fillId="4" borderId="13" xfId="0" applyFont="1" applyFill="1" applyBorder="1"/>
    <xf numFmtId="165" fontId="23" fillId="8" borderId="0" xfId="1" applyNumberFormat="1" applyFont="1" applyFill="1"/>
    <xf numFmtId="165" fontId="23" fillId="0" borderId="0" xfId="1" applyNumberFormat="1" applyFont="1" applyFill="1"/>
    <xf numFmtId="0" fontId="23" fillId="0" borderId="0" xfId="0" applyFont="1"/>
    <xf numFmtId="9" fontId="23" fillId="8" borderId="0" xfId="2" applyFont="1" applyFill="1"/>
    <xf numFmtId="165" fontId="23" fillId="0" borderId="0" xfId="1" applyNumberFormat="1" applyFont="1" applyAlignment="1"/>
    <xf numFmtId="0" fontId="6" fillId="4" borderId="4" xfId="0" applyFont="1" applyFill="1" applyBorder="1" applyAlignment="1">
      <alignment horizontal="center"/>
    </xf>
    <xf numFmtId="0" fontId="24" fillId="4" borderId="4" xfId="0" applyFont="1" applyFill="1" applyBorder="1" applyAlignment="1">
      <alignment horizontal="center"/>
    </xf>
    <xf numFmtId="165" fontId="6" fillId="4" borderId="4" xfId="1" applyNumberFormat="1" applyFont="1" applyFill="1" applyBorder="1" applyAlignment="1">
      <alignment horizontal="center"/>
    </xf>
    <xf numFmtId="165" fontId="6" fillId="8" borderId="0" xfId="1" applyNumberFormat="1" applyFont="1" applyFill="1" applyAlignment="1">
      <alignment horizontal="center"/>
    </xf>
    <xf numFmtId="165" fontId="6" fillId="0" borderId="0" xfId="1" applyNumberFormat="1" applyFont="1" applyFill="1" applyAlignment="1">
      <alignment horizontal="center"/>
    </xf>
    <xf numFmtId="9" fontId="6" fillId="0" borderId="0" xfId="2" applyFont="1" applyFill="1" applyAlignment="1"/>
    <xf numFmtId="9" fontId="6" fillId="0" borderId="0" xfId="2" applyFont="1" applyAlignment="1"/>
    <xf numFmtId="9" fontId="6" fillId="8" borderId="0" xfId="2" applyFont="1" applyFill="1" applyAlignment="1">
      <alignment horizontal="center"/>
    </xf>
    <xf numFmtId="165" fontId="6" fillId="0" borderId="0" xfId="1" applyNumberFormat="1" applyFont="1" applyAlignment="1"/>
    <xf numFmtId="0" fontId="4" fillId="4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wrapText="1"/>
    </xf>
    <xf numFmtId="0" fontId="5" fillId="4" borderId="5" xfId="0" applyFont="1" applyFill="1" applyBorder="1"/>
    <xf numFmtId="165" fontId="4" fillId="4" borderId="5" xfId="1" applyNumberFormat="1" applyFont="1" applyFill="1" applyBorder="1" applyAlignment="1">
      <alignment horizontal="center" vertical="center"/>
    </xf>
    <xf numFmtId="0" fontId="4" fillId="4" borderId="5" xfId="0" applyFont="1" applyFill="1" applyBorder="1"/>
    <xf numFmtId="0" fontId="7" fillId="4" borderId="5" xfId="0" applyFont="1" applyFill="1" applyBorder="1" applyAlignment="1">
      <alignment wrapText="1"/>
    </xf>
    <xf numFmtId="165" fontId="4" fillId="4" borderId="5" xfId="1" applyNumberFormat="1" applyFont="1" applyFill="1" applyBorder="1" applyAlignment="1">
      <alignment horizontal="center"/>
    </xf>
    <xf numFmtId="0" fontId="4" fillId="4" borderId="0" xfId="0" applyFont="1" applyFill="1"/>
    <xf numFmtId="0" fontId="4" fillId="9" borderId="5" xfId="0" applyFont="1" applyFill="1" applyBorder="1"/>
    <xf numFmtId="0" fontId="5" fillId="9" borderId="5" xfId="0" applyFont="1" applyFill="1" applyBorder="1"/>
    <xf numFmtId="0" fontId="4" fillId="9" borderId="5" xfId="0" applyFont="1" applyFill="1" applyBorder="1" applyAlignment="1">
      <alignment horizontal="center"/>
    </xf>
    <xf numFmtId="165" fontId="4" fillId="9" borderId="5" xfId="1" applyNumberFormat="1" applyFont="1" applyFill="1" applyBorder="1" applyAlignment="1">
      <alignment horizontal="center"/>
    </xf>
    <xf numFmtId="165" fontId="4" fillId="9" borderId="0" xfId="1" applyNumberFormat="1" applyFont="1" applyFill="1"/>
    <xf numFmtId="0" fontId="4" fillId="9" borderId="5" xfId="0" applyFont="1" applyFill="1" applyBorder="1" applyAlignment="1">
      <alignment wrapText="1"/>
    </xf>
    <xf numFmtId="0" fontId="4" fillId="9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horizontal="center"/>
    </xf>
    <xf numFmtId="165" fontId="4" fillId="10" borderId="5" xfId="1" applyNumberFormat="1" applyFont="1" applyFill="1" applyBorder="1" applyAlignment="1">
      <alignment horizontal="center"/>
    </xf>
    <xf numFmtId="0" fontId="4" fillId="10" borderId="5" xfId="0" applyFont="1" applyFill="1" applyBorder="1"/>
    <xf numFmtId="165" fontId="4" fillId="10" borderId="0" xfId="1" applyNumberFormat="1" applyFont="1" applyFill="1"/>
    <xf numFmtId="0" fontId="4" fillId="11" borderId="5" xfId="0" applyFont="1" applyFill="1" applyBorder="1" applyAlignment="1">
      <alignment vertical="center" wrapText="1"/>
    </xf>
    <xf numFmtId="0" fontId="5" fillId="11" borderId="5" xfId="0" applyFont="1" applyFill="1" applyBorder="1" applyAlignment="1">
      <alignment vertical="top" wrapText="1"/>
    </xf>
    <xf numFmtId="0" fontId="4" fillId="11" borderId="5" xfId="0" applyFont="1" applyFill="1" applyBorder="1" applyAlignment="1">
      <alignment horizontal="center"/>
    </xf>
    <xf numFmtId="165" fontId="4" fillId="11" borderId="5" xfId="1" applyNumberFormat="1" applyFont="1" applyFill="1" applyBorder="1" applyAlignment="1">
      <alignment horizontal="center"/>
    </xf>
    <xf numFmtId="0" fontId="4" fillId="11" borderId="5" xfId="0" applyFont="1" applyFill="1" applyBorder="1"/>
    <xf numFmtId="165" fontId="4" fillId="11" borderId="0" xfId="1" applyNumberFormat="1" applyFont="1" applyFill="1"/>
    <xf numFmtId="0" fontId="19" fillId="12" borderId="5" xfId="0" applyFont="1" applyFill="1" applyBorder="1" applyAlignment="1">
      <alignment wrapText="1"/>
    </xf>
    <xf numFmtId="0" fontId="20" fillId="12" borderId="5" xfId="0" applyFont="1" applyFill="1" applyBorder="1" applyAlignment="1">
      <alignment vertical="distributed"/>
    </xf>
    <xf numFmtId="0" fontId="19" fillId="12" borderId="5" xfId="0" applyFont="1" applyFill="1" applyBorder="1" applyAlignment="1">
      <alignment horizontal="center"/>
    </xf>
    <xf numFmtId="165" fontId="19" fillId="12" borderId="5" xfId="1" applyNumberFormat="1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distributed"/>
    </xf>
    <xf numFmtId="0" fontId="9" fillId="4" borderId="5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5" fillId="4" borderId="5" xfId="0" applyFont="1" applyFill="1" applyBorder="1" applyAlignment="1">
      <alignment wrapText="1"/>
    </xf>
    <xf numFmtId="165" fontId="4" fillId="0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20" fillId="12" borderId="5" xfId="0" applyFont="1" applyFill="1" applyBorder="1"/>
    <xf numFmtId="165" fontId="19" fillId="12" borderId="5" xfId="1" applyNumberFormat="1" applyFont="1" applyFill="1" applyBorder="1" applyAlignment="1">
      <alignment horizontal="center"/>
    </xf>
    <xf numFmtId="0" fontId="19" fillId="12" borderId="5" xfId="0" applyFont="1" applyFill="1" applyBorder="1"/>
    <xf numFmtId="165" fontId="19" fillId="8" borderId="0" xfId="1" applyNumberFormat="1" applyFont="1" applyFill="1"/>
    <xf numFmtId="165" fontId="19" fillId="12" borderId="0" xfId="1" applyNumberFormat="1" applyFont="1" applyFill="1"/>
    <xf numFmtId="165" fontId="4" fillId="0" borderId="0" xfId="1" applyNumberFormat="1" applyFont="1" applyFill="1" applyAlignment="1">
      <alignment horizontal="center"/>
    </xf>
    <xf numFmtId="169" fontId="6" fillId="13" borderId="15" xfId="3" applyNumberFormat="1" applyFont="1" applyFill="1" applyBorder="1" applyAlignment="1">
      <alignment horizontal="left"/>
    </xf>
    <xf numFmtId="0" fontId="6" fillId="13" borderId="15" xfId="3" applyFont="1" applyFill="1" applyBorder="1"/>
    <xf numFmtId="0" fontId="6" fillId="13" borderId="16" xfId="3" applyFont="1" applyFill="1" applyBorder="1"/>
    <xf numFmtId="0" fontId="29" fillId="0" borderId="0" xfId="3"/>
    <xf numFmtId="169" fontId="4" fillId="0" borderId="5" xfId="3" applyNumberFormat="1" applyFont="1" applyBorder="1" applyAlignment="1">
      <alignment horizontal="left"/>
    </xf>
    <xf numFmtId="0" fontId="4" fillId="0" borderId="5" xfId="3" applyFont="1" applyBorder="1"/>
    <xf numFmtId="0" fontId="4" fillId="0" borderId="7" xfId="3" applyFont="1" applyBorder="1"/>
    <xf numFmtId="0" fontId="29" fillId="0" borderId="5" xfId="3" applyBorder="1"/>
    <xf numFmtId="0" fontId="4" fillId="0" borderId="5" xfId="3" applyFont="1" applyBorder="1" applyAlignment="1">
      <alignment horizontal="left"/>
    </xf>
    <xf numFmtId="0" fontId="31" fillId="0" borderId="5" xfId="3" applyFont="1" applyBorder="1"/>
    <xf numFmtId="0" fontId="4" fillId="0" borderId="5" xfId="3" applyFont="1" applyBorder="1" applyAlignment="1">
      <alignment horizontal="right"/>
    </xf>
    <xf numFmtId="169" fontId="29" fillId="0" borderId="5" xfId="3" applyNumberFormat="1" applyBorder="1"/>
    <xf numFmtId="0" fontId="29" fillId="14" borderId="5" xfId="3" applyFill="1" applyBorder="1"/>
    <xf numFmtId="169" fontId="29" fillId="3" borderId="5" xfId="3" applyNumberFormat="1" applyFill="1" applyBorder="1"/>
    <xf numFmtId="0" fontId="29" fillId="3" borderId="5" xfId="3" applyFill="1" applyBorder="1"/>
    <xf numFmtId="0" fontId="29" fillId="3" borderId="0" xfId="3" applyFill="1"/>
    <xf numFmtId="169" fontId="29" fillId="0" borderId="0" xfId="3" applyNumberFormat="1"/>
    <xf numFmtId="166" fontId="14" fillId="0" borderId="0" xfId="0" applyNumberFormat="1" applyFont="1" applyAlignment="1" applyProtection="1">
      <alignment horizontal="left" vertical="center"/>
      <protection locked="0"/>
    </xf>
    <xf numFmtId="168" fontId="0" fillId="0" borderId="0" xfId="0" applyNumberFormat="1"/>
    <xf numFmtId="0" fontId="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168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>
      <alignment vertical="center" wrapText="1"/>
    </xf>
    <xf numFmtId="167" fontId="6" fillId="0" borderId="0" xfId="0" applyNumberFormat="1" applyFont="1" applyAlignment="1">
      <alignment horizontal="center"/>
    </xf>
    <xf numFmtId="0" fontId="6" fillId="0" borderId="0" xfId="0" applyFont="1"/>
    <xf numFmtId="166" fontId="6" fillId="0" borderId="0" xfId="1" applyNumberFormat="1" applyFont="1" applyFill="1" applyAlignment="1" applyProtection="1">
      <alignment horizontal="center" vertical="center"/>
      <protection locked="0"/>
    </xf>
    <xf numFmtId="165" fontId="36" fillId="0" borderId="0" xfId="1" applyNumberFormat="1" applyFont="1" applyFill="1" applyAlignment="1" applyProtection="1">
      <alignment horizontal="center" vertical="center"/>
      <protection locked="0"/>
    </xf>
    <xf numFmtId="167" fontId="6" fillId="0" borderId="0" xfId="0" applyNumberFormat="1" applyFont="1" applyAlignment="1" applyProtection="1">
      <alignment horizontal="center"/>
      <protection locked="0"/>
    </xf>
    <xf numFmtId="167" fontId="6" fillId="0" borderId="0" xfId="0" applyNumberFormat="1" applyFont="1" applyAlignment="1" applyProtection="1">
      <alignment horizontal="left"/>
      <protection locked="0"/>
    </xf>
    <xf numFmtId="0" fontId="19" fillId="6" borderId="5" xfId="0" applyFont="1" applyFill="1" applyBorder="1" applyAlignment="1">
      <alignment horizontal="center" vertical="center"/>
    </xf>
    <xf numFmtId="0" fontId="19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164" fontId="10" fillId="0" borderId="0" xfId="1" applyFont="1" applyAlignment="1">
      <alignment horizontal="left" vertical="center"/>
    </xf>
    <xf numFmtId="164" fontId="6" fillId="0" borderId="0" xfId="1" applyFont="1" applyAlignment="1" applyProtection="1">
      <alignment horizontal="center" vertical="center"/>
      <protection locked="0"/>
    </xf>
    <xf numFmtId="164" fontId="4" fillId="0" borderId="0" xfId="1" applyFont="1" applyBorder="1"/>
    <xf numFmtId="164" fontId="0" fillId="0" borderId="0" xfId="1" applyFont="1"/>
    <xf numFmtId="164" fontId="10" fillId="0" borderId="0" xfId="1" applyFont="1"/>
    <xf numFmtId="167" fontId="24" fillId="0" borderId="0" xfId="0" applyNumberFormat="1" applyFont="1" applyAlignment="1" applyProtection="1">
      <alignment horizontal="center" vertical="center"/>
      <protection locked="0"/>
    </xf>
    <xf numFmtId="0" fontId="24" fillId="0" borderId="0" xfId="0" applyFont="1" applyAlignment="1">
      <alignment horizontal="center" vertical="center"/>
    </xf>
    <xf numFmtId="168" fontId="24" fillId="0" borderId="0" xfId="0" applyNumberFormat="1" applyFont="1" applyAlignment="1" applyProtection="1">
      <alignment horizontal="center" vertical="center"/>
      <protection locked="0"/>
    </xf>
    <xf numFmtId="167" fontId="6" fillId="0" borderId="0" xfId="0" applyNumberFormat="1" applyFont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 vertical="center"/>
    </xf>
    <xf numFmtId="167" fontId="6" fillId="0" borderId="0" xfId="0" applyNumberFormat="1" applyFont="1" applyAlignment="1">
      <alignment horizontal="centerContinuous"/>
    </xf>
    <xf numFmtId="0" fontId="6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166" fontId="38" fillId="0" borderId="0" xfId="1" applyNumberFormat="1" applyFont="1" applyFill="1" applyBorder="1" applyAlignment="1" applyProtection="1">
      <alignment horizontal="center" vertical="center" wrapText="1"/>
      <protection locked="0"/>
    </xf>
    <xf numFmtId="165" fontId="39" fillId="0" borderId="0" xfId="1" applyNumberFormat="1" applyFont="1" applyFill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Continuous"/>
    </xf>
    <xf numFmtId="0" fontId="13" fillId="0" borderId="0" xfId="0" applyFont="1"/>
    <xf numFmtId="167" fontId="4" fillId="0" borderId="0" xfId="0" applyNumberFormat="1" applyFont="1" applyAlignment="1">
      <alignment horizontal="left"/>
    </xf>
    <xf numFmtId="0" fontId="41" fillId="7" borderId="5" xfId="0" applyFont="1" applyFill="1" applyBorder="1" applyAlignment="1">
      <alignment horizontal="center" vertical="center" wrapText="1"/>
    </xf>
    <xf numFmtId="167" fontId="5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left"/>
      <protection locked="0"/>
    </xf>
    <xf numFmtId="168" fontId="4" fillId="0" borderId="0" xfId="0" applyNumberFormat="1" applyFont="1"/>
    <xf numFmtId="0" fontId="43" fillId="6" borderId="5" xfId="0" applyFont="1" applyFill="1" applyBorder="1" applyAlignment="1">
      <alignment horizontal="center" vertical="center" wrapText="1"/>
    </xf>
    <xf numFmtId="167" fontId="45" fillId="7" borderId="5" xfId="0" applyNumberFormat="1" applyFont="1" applyFill="1" applyBorder="1" applyAlignment="1" applyProtection="1">
      <alignment horizontal="center" vertical="center"/>
      <protection locked="0"/>
    </xf>
    <xf numFmtId="9" fontId="10" fillId="0" borderId="0" xfId="2" applyFont="1"/>
    <xf numFmtId="164" fontId="10" fillId="0" borderId="0" xfId="1" applyFont="1" applyFill="1" applyAlignment="1">
      <alignment horizontal="left" vertical="center"/>
    </xf>
    <xf numFmtId="165" fontId="10" fillId="0" borderId="0" xfId="1" applyNumberFormat="1" applyFont="1" applyFill="1" applyAlignment="1">
      <alignment horizontal="center"/>
    </xf>
    <xf numFmtId="165" fontId="46" fillId="0" borderId="0" xfId="1" applyNumberFormat="1" applyFont="1" applyFill="1" applyBorder="1" applyAlignment="1">
      <alignment horizontal="center" vertical="center" wrapText="1"/>
    </xf>
    <xf numFmtId="165" fontId="47" fillId="0" borderId="0" xfId="1" applyNumberFormat="1" applyFont="1" applyFill="1" applyBorder="1" applyAlignment="1" applyProtection="1">
      <alignment vertical="center" wrapText="1"/>
      <protection hidden="1"/>
    </xf>
    <xf numFmtId="0" fontId="48" fillId="0" borderId="0" xfId="0" applyFont="1"/>
    <xf numFmtId="0" fontId="49" fillId="0" borderId="0" xfId="0" applyFont="1" applyAlignment="1">
      <alignment horizontal="centerContinuous"/>
    </xf>
    <xf numFmtId="164" fontId="49" fillId="0" borderId="0" xfId="1" applyFont="1" applyAlignment="1">
      <alignment horizontal="centerContinuous"/>
    </xf>
    <xf numFmtId="0" fontId="48" fillId="0" borderId="0" xfId="0" applyFont="1" applyAlignment="1">
      <alignment horizontal="centerContinuous" vertical="center"/>
    </xf>
    <xf numFmtId="165" fontId="48" fillId="0" borderId="0" xfId="1" applyNumberFormat="1" applyFont="1" applyAlignment="1" applyProtection="1">
      <alignment horizontal="centerContinuous" vertical="center"/>
    </xf>
    <xf numFmtId="0" fontId="26" fillId="4" borderId="5" xfId="0" applyFont="1" applyFill="1" applyBorder="1" applyAlignment="1">
      <alignment vertical="top" wrapText="1"/>
    </xf>
    <xf numFmtId="0" fontId="50" fillId="4" borderId="5" xfId="0" applyFont="1" applyFill="1" applyBorder="1" applyAlignment="1">
      <alignment vertical="top" wrapText="1"/>
    </xf>
    <xf numFmtId="167" fontId="37" fillId="7" borderId="7" xfId="0" applyNumberFormat="1" applyFont="1" applyFill="1" applyBorder="1" applyAlignment="1">
      <alignment horizontal="center" vertical="center" wrapText="1"/>
    </xf>
    <xf numFmtId="0" fontId="37" fillId="7" borderId="14" xfId="0" applyFont="1" applyFill="1" applyBorder="1" applyAlignment="1">
      <alignment horizontal="center" vertical="center" wrapText="1"/>
    </xf>
    <xf numFmtId="0" fontId="37" fillId="7" borderId="13" xfId="0" applyFont="1" applyFill="1" applyBorder="1" applyAlignment="1">
      <alignment horizontal="center" vertical="center" wrapText="1"/>
    </xf>
    <xf numFmtId="169" fontId="52" fillId="3" borderId="0" xfId="3" applyNumberFormat="1" applyFont="1" applyFill="1"/>
    <xf numFmtId="166" fontId="53" fillId="3" borderId="0" xfId="3" applyNumberFormat="1" applyFont="1" applyFill="1"/>
    <xf numFmtId="0" fontId="52" fillId="3" borderId="0" xfId="3" applyFont="1" applyFill="1"/>
    <xf numFmtId="0" fontId="29" fillId="15" borderId="0" xfId="3" applyFill="1"/>
    <xf numFmtId="0" fontId="29" fillId="16" borderId="5" xfId="3" applyFill="1" applyBorder="1"/>
    <xf numFmtId="0" fontId="4" fillId="16" borderId="7" xfId="3" applyFont="1" applyFill="1" applyBorder="1"/>
    <xf numFmtId="0" fontId="29" fillId="16" borderId="0" xfId="3" applyFill="1"/>
    <xf numFmtId="169" fontId="29" fillId="16" borderId="5" xfId="3" applyNumberFormat="1" applyFill="1" applyBorder="1"/>
    <xf numFmtId="3" fontId="29" fillId="0" borderId="0" xfId="3" applyNumberFormat="1"/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wrapText="1"/>
    </xf>
    <xf numFmtId="0" fontId="5" fillId="3" borderId="5" xfId="0" applyFont="1" applyFill="1" applyBorder="1"/>
    <xf numFmtId="165" fontId="4" fillId="3" borderId="5" xfId="1" applyNumberFormat="1" applyFont="1" applyFill="1" applyBorder="1" applyAlignment="1">
      <alignment horizontal="center"/>
    </xf>
    <xf numFmtId="0" fontId="4" fillId="3" borderId="5" xfId="0" applyFont="1" applyFill="1" applyBorder="1"/>
    <xf numFmtId="165" fontId="4" fillId="3" borderId="0" xfId="1" applyNumberFormat="1" applyFont="1" applyFill="1"/>
    <xf numFmtId="165" fontId="4" fillId="3" borderId="5" xfId="1" applyNumberFormat="1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wrapText="1"/>
    </xf>
    <xf numFmtId="0" fontId="25" fillId="3" borderId="5" xfId="0" applyFont="1" applyFill="1" applyBorder="1" applyAlignment="1">
      <alignment wrapText="1"/>
    </xf>
    <xf numFmtId="0" fontId="4" fillId="10" borderId="5" xfId="0" applyFont="1" applyFill="1" applyBorder="1" applyAlignment="1">
      <alignment wrapText="1"/>
    </xf>
    <xf numFmtId="0" fontId="20" fillId="7" borderId="7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0" fontId="20" fillId="7" borderId="13" xfId="0" applyFont="1" applyFill="1" applyBorder="1" applyAlignment="1">
      <alignment vertical="center"/>
    </xf>
    <xf numFmtId="0" fontId="40" fillId="7" borderId="7" xfId="0" applyFont="1" applyFill="1" applyBorder="1" applyAlignment="1">
      <alignment vertical="center"/>
    </xf>
    <xf numFmtId="0" fontId="40" fillId="7" borderId="14" xfId="0" applyFont="1" applyFill="1" applyBorder="1" applyAlignment="1">
      <alignment vertical="center"/>
    </xf>
    <xf numFmtId="0" fontId="40" fillId="7" borderId="13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10" fillId="4" borderId="7" xfId="1" applyNumberFormat="1" applyFont="1" applyFill="1" applyBorder="1" applyAlignment="1" applyProtection="1">
      <alignment horizontal="centerContinuous" vertical="center"/>
      <protection hidden="1"/>
    </xf>
    <xf numFmtId="165" fontId="10" fillId="4" borderId="13" xfId="1" applyNumberFormat="1" applyFont="1" applyFill="1" applyBorder="1" applyAlignment="1" applyProtection="1">
      <alignment horizontal="centerContinuous" vertical="center"/>
      <protection hidden="1"/>
    </xf>
    <xf numFmtId="165" fontId="4" fillId="2" borderId="0" xfId="1" applyNumberFormat="1" applyFont="1" applyFill="1"/>
    <xf numFmtId="9" fontId="4" fillId="0" borderId="0" xfId="2" applyFont="1" applyFill="1"/>
    <xf numFmtId="165" fontId="4" fillId="0" borderId="0" xfId="1" applyNumberFormat="1" applyFont="1" applyFill="1" applyAlignment="1"/>
    <xf numFmtId="169" fontId="4" fillId="4" borderId="5" xfId="3" applyNumberFormat="1" applyFont="1" applyFill="1" applyBorder="1" applyAlignment="1">
      <alignment horizontal="left"/>
    </xf>
    <xf numFmtId="0" fontId="4" fillId="4" borderId="5" xfId="3" applyFont="1" applyFill="1" applyBorder="1"/>
    <xf numFmtId="0" fontId="30" fillId="4" borderId="5" xfId="3" applyFont="1" applyFill="1" applyBorder="1"/>
    <xf numFmtId="0" fontId="29" fillId="4" borderId="5" xfId="3" applyFill="1" applyBorder="1"/>
    <xf numFmtId="0" fontId="4" fillId="4" borderId="7" xfId="3" applyFont="1" applyFill="1" applyBorder="1"/>
    <xf numFmtId="0" fontId="31" fillId="4" borderId="5" xfId="3" applyFont="1" applyFill="1" applyBorder="1"/>
    <xf numFmtId="0" fontId="29" fillId="0" borderId="5" xfId="3" applyBorder="1" applyAlignment="1">
      <alignment wrapText="1"/>
    </xf>
    <xf numFmtId="0" fontId="30" fillId="0" borderId="5" xfId="3" applyFont="1" applyBorder="1"/>
    <xf numFmtId="0" fontId="52" fillId="3" borderId="0" xfId="3" applyFont="1" applyFill="1" applyAlignment="1">
      <alignment wrapText="1"/>
    </xf>
    <xf numFmtId="0" fontId="6" fillId="13" borderId="5" xfId="3" applyFont="1" applyFill="1" applyBorder="1" applyAlignment="1">
      <alignment wrapText="1"/>
    </xf>
    <xf numFmtId="0" fontId="4" fillId="0" borderId="5" xfId="3" applyFont="1" applyBorder="1" applyAlignment="1">
      <alignment wrapText="1"/>
    </xf>
    <xf numFmtId="0" fontId="4" fillId="4" borderId="5" xfId="3" applyFont="1" applyFill="1" applyBorder="1" applyAlignment="1">
      <alignment wrapText="1"/>
    </xf>
    <xf numFmtId="0" fontId="29" fillId="0" borderId="0" xfId="3" applyAlignment="1">
      <alignment wrapText="1"/>
    </xf>
    <xf numFmtId="0" fontId="4" fillId="16" borderId="5" xfId="3" applyFont="1" applyFill="1" applyBorder="1" applyAlignment="1">
      <alignment wrapText="1"/>
    </xf>
    <xf numFmtId="169" fontId="4" fillId="14" borderId="5" xfId="3" applyNumberFormat="1" applyFont="1" applyFill="1" applyBorder="1" applyAlignment="1">
      <alignment horizontal="left"/>
    </xf>
    <xf numFmtId="0" fontId="4" fillId="14" borderId="5" xfId="3" applyFont="1" applyFill="1" applyBorder="1" applyAlignment="1">
      <alignment horizontal="left"/>
    </xf>
    <xf numFmtId="0" fontId="4" fillId="14" borderId="5" xfId="3" applyFont="1" applyFill="1" applyBorder="1"/>
    <xf numFmtId="0" fontId="4" fillId="14" borderId="7" xfId="3" applyFont="1" applyFill="1" applyBorder="1"/>
    <xf numFmtId="0" fontId="4" fillId="14" borderId="5" xfId="3" applyFont="1" applyFill="1" applyBorder="1" applyAlignment="1">
      <alignment wrapText="1"/>
    </xf>
    <xf numFmtId="0" fontId="52" fillId="3" borderId="0" xfId="3" applyFont="1" applyFill="1" applyAlignment="1">
      <alignment horizontal="center"/>
    </xf>
    <xf numFmtId="0" fontId="6" fillId="0" borderId="15" xfId="3" applyFont="1" applyBorder="1" applyAlignment="1">
      <alignment horizontal="center"/>
    </xf>
    <xf numFmtId="0" fontId="4" fillId="0" borderId="5" xfId="3" applyFont="1" applyBorder="1" applyAlignment="1">
      <alignment horizontal="center"/>
    </xf>
    <xf numFmtId="0" fontId="29" fillId="0" borderId="5" xfId="3" applyBorder="1" applyAlignment="1">
      <alignment horizontal="center"/>
    </xf>
    <xf numFmtId="0" fontId="29" fillId="0" borderId="0" xfId="3" applyAlignment="1">
      <alignment horizontal="center"/>
    </xf>
    <xf numFmtId="165" fontId="56" fillId="0" borderId="0" xfId="1" applyNumberFormat="1" applyFont="1" applyFill="1" applyBorder="1" applyAlignment="1">
      <alignment horizontal="center" vertical="center" wrapText="1"/>
    </xf>
    <xf numFmtId="9" fontId="4" fillId="0" borderId="0" xfId="2" applyFont="1"/>
    <xf numFmtId="165" fontId="4" fillId="0" borderId="0" xfId="1" applyNumberFormat="1" applyFont="1"/>
    <xf numFmtId="2" fontId="24" fillId="0" borderId="0" xfId="2" applyNumberFormat="1" applyFont="1" applyAlignment="1">
      <alignment horizontal="center" vertical="center"/>
    </xf>
    <xf numFmtId="165" fontId="41" fillId="0" borderId="0" xfId="1" applyNumberFormat="1" applyFont="1" applyFill="1" applyBorder="1" applyAlignment="1" applyProtection="1">
      <alignment vertical="center" wrapText="1"/>
      <protection hidden="1"/>
    </xf>
    <xf numFmtId="0" fontId="4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64" fontId="3" fillId="0" borderId="0" xfId="1" applyFont="1" applyFill="1" applyBorder="1" applyAlignment="1" applyProtection="1">
      <alignment vertical="center"/>
      <protection hidden="1"/>
    </xf>
    <xf numFmtId="0" fontId="10" fillId="0" borderId="41" xfId="0" applyFont="1" applyBorder="1"/>
    <xf numFmtId="164" fontId="10" fillId="0" borderId="0" xfId="0" applyNumberFormat="1" applyFont="1"/>
    <xf numFmtId="0" fontId="60" fillId="2" borderId="5" xfId="0" applyFont="1" applyFill="1" applyBorder="1" applyAlignment="1">
      <alignment horizontal="center"/>
    </xf>
    <xf numFmtId="0" fontId="66" fillId="2" borderId="5" xfId="0" applyFont="1" applyFill="1" applyBorder="1" applyAlignment="1" applyProtection="1">
      <alignment horizontal="center" vertical="center"/>
      <protection locked="0"/>
    </xf>
    <xf numFmtId="0" fontId="42" fillId="3" borderId="0" xfId="0" applyFont="1" applyFill="1" applyAlignment="1">
      <alignment vertical="center" wrapText="1"/>
    </xf>
    <xf numFmtId="168" fontId="27" fillId="0" borderId="0" xfId="0" applyNumberFormat="1" applyFont="1"/>
    <xf numFmtId="2" fontId="27" fillId="0" borderId="0" xfId="0" applyNumberFormat="1" applyFont="1" applyAlignment="1">
      <alignment horizontal="center"/>
    </xf>
    <xf numFmtId="0" fontId="42" fillId="3" borderId="0" xfId="0" applyFont="1" applyFill="1" applyAlignment="1">
      <alignment horizontal="centerContinuous" vertical="center" wrapText="1"/>
    </xf>
    <xf numFmtId="0" fontId="42" fillId="0" borderId="0" xfId="0" applyFont="1" applyAlignment="1">
      <alignment horizontal="centerContinuous" vertical="center" wrapText="1"/>
    </xf>
    <xf numFmtId="0" fontId="42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165" fontId="75" fillId="0" borderId="0" xfId="0" applyNumberFormat="1" applyFont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67" fillId="7" borderId="5" xfId="0" applyFont="1" applyFill="1" applyBorder="1" applyAlignment="1">
      <alignment horizontal="center" vertical="center"/>
    </xf>
    <xf numFmtId="0" fontId="79" fillId="0" borderId="17" xfId="0" applyFont="1" applyBorder="1" applyAlignment="1">
      <alignment horizontal="center"/>
    </xf>
    <xf numFmtId="0" fontId="80" fillId="5" borderId="17" xfId="0" applyFont="1" applyFill="1" applyBorder="1" applyAlignment="1" applyProtection="1">
      <alignment horizontal="center"/>
      <protection locked="0"/>
    </xf>
    <xf numFmtId="0" fontId="79" fillId="0" borderId="0" xfId="0" applyFont="1"/>
    <xf numFmtId="165" fontId="79" fillId="0" borderId="0" xfId="0" applyNumberFormat="1" applyFont="1"/>
    <xf numFmtId="0" fontId="82" fillId="2" borderId="17" xfId="0" applyFont="1" applyFill="1" applyBorder="1" applyAlignment="1" applyProtection="1">
      <alignment horizontal="center" vertical="center"/>
      <protection locked="0"/>
    </xf>
    <xf numFmtId="164" fontId="10" fillId="0" borderId="0" xfId="1" applyFont="1" applyBorder="1" applyAlignment="1">
      <alignment horizontal="left" vertical="center"/>
    </xf>
    <xf numFmtId="0" fontId="67" fillId="7" borderId="4" xfId="0" applyFont="1" applyFill="1" applyBorder="1" applyAlignment="1">
      <alignment horizontal="center" vertical="center"/>
    </xf>
    <xf numFmtId="0" fontId="42" fillId="4" borderId="0" xfId="0" applyFont="1" applyFill="1" applyAlignment="1">
      <alignment horizontal="left" vertical="center" wrapText="1"/>
    </xf>
    <xf numFmtId="0" fontId="48" fillId="4" borderId="0" xfId="0" applyFont="1" applyFill="1"/>
    <xf numFmtId="165" fontId="67" fillId="0" borderId="0" xfId="1" applyNumberFormat="1" applyFont="1" applyFill="1" applyBorder="1" applyAlignment="1">
      <alignment horizontal="center" vertical="center" wrapText="1"/>
    </xf>
    <xf numFmtId="165" fontId="67" fillId="0" borderId="0" xfId="1" applyNumberFormat="1" applyFont="1" applyFill="1" applyBorder="1" applyAlignment="1" applyProtection="1">
      <alignment horizontal="center" vertical="center" wrapText="1"/>
      <protection hidden="1"/>
    </xf>
    <xf numFmtId="165" fontId="82" fillId="2" borderId="17" xfId="1" applyNumberFormat="1" applyFont="1" applyFill="1" applyBorder="1" applyAlignment="1" applyProtection="1">
      <alignment horizontal="center" vertical="center"/>
      <protection locked="0"/>
    </xf>
    <xf numFmtId="165" fontId="4" fillId="3" borderId="0" xfId="1" applyNumberFormat="1" applyFont="1" applyFill="1" applyAlignment="1"/>
    <xf numFmtId="0" fontId="85" fillId="0" borderId="0" xfId="0" applyFont="1"/>
    <xf numFmtId="165" fontId="85" fillId="8" borderId="0" xfId="1" applyNumberFormat="1" applyFont="1" applyFill="1"/>
    <xf numFmtId="165" fontId="85" fillId="0" borderId="0" xfId="1" applyNumberFormat="1" applyFont="1" applyFill="1"/>
    <xf numFmtId="9" fontId="85" fillId="8" borderId="0" xfId="2" applyFont="1" applyFill="1"/>
    <xf numFmtId="165" fontId="85" fillId="0" borderId="0" xfId="1" applyNumberFormat="1" applyFont="1" applyAlignment="1"/>
    <xf numFmtId="0" fontId="63" fillId="7" borderId="0" xfId="0" applyFont="1" applyFill="1" applyAlignment="1">
      <alignment horizontal="center"/>
    </xf>
    <xf numFmtId="165" fontId="87" fillId="4" borderId="0" xfId="1" applyNumberFormat="1" applyFont="1" applyFill="1"/>
    <xf numFmtId="0" fontId="87" fillId="4" borderId="0" xfId="0" applyFont="1" applyFill="1"/>
    <xf numFmtId="9" fontId="87" fillId="8" borderId="0" xfId="2" applyFont="1" applyFill="1"/>
    <xf numFmtId="0" fontId="89" fillId="0" borderId="0" xfId="0" applyFont="1"/>
    <xf numFmtId="9" fontId="89" fillId="8" borderId="0" xfId="2" applyFont="1" applyFill="1"/>
    <xf numFmtId="0" fontId="90" fillId="4" borderId="4" xfId="0" applyFont="1" applyFill="1" applyBorder="1" applyAlignment="1">
      <alignment horizontal="center"/>
    </xf>
    <xf numFmtId="0" fontId="91" fillId="4" borderId="4" xfId="0" applyFont="1" applyFill="1" applyBorder="1" applyAlignment="1">
      <alignment horizontal="center"/>
    </xf>
    <xf numFmtId="165" fontId="90" fillId="4" borderId="4" xfId="1" applyNumberFormat="1" applyFont="1" applyFill="1" applyBorder="1" applyAlignment="1">
      <alignment horizontal="center"/>
    </xf>
    <xf numFmtId="165" fontId="90" fillId="8" borderId="0" xfId="1" applyNumberFormat="1" applyFont="1" applyFill="1" applyAlignment="1">
      <alignment horizontal="center"/>
    </xf>
    <xf numFmtId="165" fontId="90" fillId="0" borderId="0" xfId="1" applyNumberFormat="1" applyFont="1" applyFill="1" applyAlignment="1">
      <alignment horizontal="center"/>
    </xf>
    <xf numFmtId="9" fontId="90" fillId="8" borderId="0" xfId="2" applyFont="1" applyFill="1" applyAlignment="1">
      <alignment horizontal="center"/>
    </xf>
    <xf numFmtId="165" fontId="90" fillId="0" borderId="0" xfId="1" applyNumberFormat="1" applyFont="1" applyAlignment="1"/>
    <xf numFmtId="0" fontId="90" fillId="0" borderId="0" xfId="0" applyFont="1" applyAlignment="1">
      <alignment horizontal="center"/>
    </xf>
    <xf numFmtId="0" fontId="85" fillId="4" borderId="5" xfId="0" applyFont="1" applyFill="1" applyBorder="1" applyAlignment="1">
      <alignment horizontal="center"/>
    </xf>
    <xf numFmtId="0" fontId="85" fillId="4" borderId="5" xfId="0" applyFont="1" applyFill="1" applyBorder="1" applyAlignment="1">
      <alignment wrapText="1"/>
    </xf>
    <xf numFmtId="0" fontId="86" fillId="4" borderId="5" xfId="0" applyFont="1" applyFill="1" applyBorder="1"/>
    <xf numFmtId="165" fontId="85" fillId="4" borderId="5" xfId="1" applyNumberFormat="1" applyFont="1" applyFill="1" applyBorder="1" applyAlignment="1">
      <alignment horizontal="center" vertical="center"/>
    </xf>
    <xf numFmtId="0" fontId="85" fillId="4" borderId="5" xfId="0" applyFont="1" applyFill="1" applyBorder="1"/>
    <xf numFmtId="165" fontId="85" fillId="4" borderId="5" xfId="1" applyNumberFormat="1" applyFont="1" applyFill="1" applyBorder="1" applyAlignment="1">
      <alignment horizontal="center"/>
    </xf>
    <xf numFmtId="0" fontId="85" fillId="4" borderId="0" xfId="0" applyFont="1" applyFill="1"/>
    <xf numFmtId="165" fontId="85" fillId="2" borderId="0" xfId="1" applyNumberFormat="1" applyFont="1" applyFill="1"/>
    <xf numFmtId="0" fontId="85" fillId="0" borderId="0" xfId="0" applyFont="1" applyAlignment="1">
      <alignment horizontal="center"/>
    </xf>
    <xf numFmtId="0" fontId="86" fillId="4" borderId="5" xfId="0" applyFont="1" applyFill="1" applyBorder="1" applyAlignment="1">
      <alignment vertical="distributed"/>
    </xf>
    <xf numFmtId="0" fontId="86" fillId="4" borderId="5" xfId="0" applyFont="1" applyFill="1" applyBorder="1" applyAlignment="1">
      <alignment wrapText="1"/>
    </xf>
    <xf numFmtId="0" fontId="85" fillId="0" borderId="5" xfId="0" applyFont="1" applyBorder="1"/>
    <xf numFmtId="9" fontId="85" fillId="0" borderId="0" xfId="2" applyFont="1" applyFill="1"/>
    <xf numFmtId="0" fontId="85" fillId="2" borderId="5" xfId="0" applyFont="1" applyFill="1" applyBorder="1" applyAlignment="1">
      <alignment horizontal="center"/>
    </xf>
    <xf numFmtId="0" fontId="85" fillId="0" borderId="5" xfId="0" applyFont="1" applyBorder="1" applyAlignment="1">
      <alignment wrapText="1"/>
    </xf>
    <xf numFmtId="0" fontId="86" fillId="0" borderId="5" xfId="0" applyFont="1" applyBorder="1"/>
    <xf numFmtId="0" fontId="85" fillId="0" borderId="5" xfId="0" applyFont="1" applyBorder="1" applyAlignment="1">
      <alignment horizontal="center"/>
    </xf>
    <xf numFmtId="165" fontId="85" fillId="0" borderId="5" xfId="1" applyNumberFormat="1" applyFont="1" applyFill="1" applyBorder="1" applyAlignment="1">
      <alignment horizontal="center"/>
    </xf>
    <xf numFmtId="0" fontId="86" fillId="0" borderId="0" xfId="0" applyFont="1"/>
    <xf numFmtId="165" fontId="85" fillId="0" borderId="0" xfId="1" applyNumberFormat="1" applyFont="1" applyFill="1" applyAlignment="1">
      <alignment horizontal="center"/>
    </xf>
    <xf numFmtId="0" fontId="93" fillId="4" borderId="4" xfId="0" applyFont="1" applyFill="1" applyBorder="1" applyAlignment="1">
      <alignment horizontal="center"/>
    </xf>
    <xf numFmtId="0" fontId="92" fillId="4" borderId="5" xfId="0" applyFont="1" applyFill="1" applyBorder="1" applyAlignment="1">
      <alignment horizontal="center"/>
    </xf>
    <xf numFmtId="0" fontId="94" fillId="4" borderId="5" xfId="0" applyFont="1" applyFill="1" applyBorder="1" applyAlignment="1">
      <alignment horizontal="center"/>
    </xf>
    <xf numFmtId="0" fontId="95" fillId="4" borderId="5" xfId="0" applyFont="1" applyFill="1" applyBorder="1" applyAlignment="1">
      <alignment horizontal="center"/>
    </xf>
    <xf numFmtId="0" fontId="92" fillId="2" borderId="5" xfId="0" applyFont="1" applyFill="1" applyBorder="1" applyAlignment="1">
      <alignment horizontal="center"/>
    </xf>
    <xf numFmtId="0" fontId="92" fillId="0" borderId="0" xfId="0" applyFont="1"/>
    <xf numFmtId="0" fontId="92" fillId="0" borderId="0" xfId="0" applyFont="1" applyAlignment="1">
      <alignment horizontal="center"/>
    </xf>
    <xf numFmtId="165" fontId="85" fillId="0" borderId="5" xfId="1" applyNumberFormat="1" applyFont="1" applyFill="1" applyBorder="1"/>
    <xf numFmtId="9" fontId="85" fillId="8" borderId="5" xfId="2" applyFont="1" applyFill="1" applyBorder="1"/>
    <xf numFmtId="165" fontId="85" fillId="0" borderId="5" xfId="1" applyNumberFormat="1" applyFont="1" applyBorder="1" applyAlignment="1"/>
    <xf numFmtId="0" fontId="85" fillId="2" borderId="5" xfId="0" applyFont="1" applyFill="1" applyBorder="1" applyAlignment="1">
      <alignment wrapText="1"/>
    </xf>
    <xf numFmtId="0" fontId="86" fillId="2" borderId="5" xfId="0" applyFont="1" applyFill="1" applyBorder="1"/>
    <xf numFmtId="165" fontId="85" fillId="2" borderId="5" xfId="1" applyNumberFormat="1" applyFont="1" applyFill="1" applyBorder="1" applyAlignment="1">
      <alignment horizontal="center"/>
    </xf>
    <xf numFmtId="0" fontId="85" fillId="2" borderId="5" xfId="0" applyFont="1" applyFill="1" applyBorder="1"/>
    <xf numFmtId="165" fontId="85" fillId="2" borderId="5" xfId="1" applyNumberFormat="1" applyFont="1" applyFill="1" applyBorder="1"/>
    <xf numFmtId="9" fontId="85" fillId="2" borderId="5" xfId="2" applyFont="1" applyFill="1" applyBorder="1"/>
    <xf numFmtId="165" fontId="85" fillId="2" borderId="5" xfId="1" applyNumberFormat="1" applyFont="1" applyFill="1" applyBorder="1" applyAlignment="1"/>
    <xf numFmtId="0" fontId="87" fillId="4" borderId="5" xfId="0" applyFont="1" applyFill="1" applyBorder="1" applyAlignment="1">
      <alignment horizontal="center"/>
    </xf>
    <xf numFmtId="0" fontId="96" fillId="4" borderId="5" xfId="0" applyFont="1" applyFill="1" applyBorder="1" applyAlignment="1">
      <alignment horizontal="center"/>
    </xf>
    <xf numFmtId="9" fontId="87" fillId="4" borderId="5" xfId="2" applyFont="1" applyFill="1" applyBorder="1"/>
    <xf numFmtId="0" fontId="87" fillId="4" borderId="5" xfId="0" applyFont="1" applyFill="1" applyBorder="1" applyAlignment="1">
      <alignment wrapText="1"/>
    </xf>
    <xf numFmtId="0" fontId="97" fillId="4" borderId="5" xfId="0" applyFont="1" applyFill="1" applyBorder="1"/>
    <xf numFmtId="165" fontId="87" fillId="4" borderId="5" xfId="1" applyNumberFormat="1" applyFont="1" applyFill="1" applyBorder="1" applyAlignment="1">
      <alignment horizontal="center"/>
    </xf>
    <xf numFmtId="0" fontId="87" fillId="4" borderId="5" xfId="0" applyFont="1" applyFill="1" applyBorder="1"/>
    <xf numFmtId="165" fontId="87" fillId="4" borderId="5" xfId="1" applyNumberFormat="1" applyFont="1" applyFill="1" applyBorder="1"/>
    <xf numFmtId="165" fontId="87" fillId="4" borderId="5" xfId="1" applyNumberFormat="1" applyFont="1" applyFill="1" applyBorder="1" applyAlignment="1"/>
    <xf numFmtId="165" fontId="63" fillId="7" borderId="0" xfId="1" applyNumberFormat="1" applyFont="1" applyFill="1" applyBorder="1" applyAlignment="1">
      <alignment horizontal="center"/>
    </xf>
    <xf numFmtId="0" fontId="90" fillId="0" borderId="4" xfId="2" quotePrefix="1" applyNumberFormat="1" applyFont="1" applyFill="1" applyBorder="1" applyAlignment="1">
      <alignment horizontal="center" vertical="center"/>
    </xf>
    <xf numFmtId="0" fontId="90" fillId="0" borderId="4" xfId="2" quotePrefix="1" applyNumberFormat="1" applyFont="1" applyBorder="1" applyAlignment="1">
      <alignment horizontal="center" vertical="center"/>
    </xf>
    <xf numFmtId="9" fontId="90" fillId="8" borderId="4" xfId="2" applyFont="1" applyFill="1" applyBorder="1" applyAlignment="1">
      <alignment horizontal="center" vertical="center"/>
    </xf>
    <xf numFmtId="165" fontId="91" fillId="0" borderId="4" xfId="1" applyNumberFormat="1" applyFont="1" applyBorder="1" applyAlignment="1">
      <alignment vertical="center"/>
    </xf>
    <xf numFmtId="165" fontId="85" fillId="8" borderId="5" xfId="1" applyNumberFormat="1" applyFont="1" applyFill="1" applyBorder="1"/>
    <xf numFmtId="0" fontId="88" fillId="4" borderId="5" xfId="0" applyFont="1" applyFill="1" applyBorder="1" applyAlignment="1">
      <alignment horizontal="center"/>
    </xf>
    <xf numFmtId="0" fontId="63" fillId="7" borderId="0" xfId="0" applyFont="1" applyFill="1" applyAlignment="1">
      <alignment horizontal="center"/>
    </xf>
    <xf numFmtId="165" fontId="63" fillId="7" borderId="0" xfId="1" applyNumberFormat="1" applyFont="1" applyFill="1" applyBorder="1" applyAlignment="1">
      <alignment horizontal="center"/>
    </xf>
    <xf numFmtId="165" fontId="85" fillId="7" borderId="0" xfId="1" applyNumberFormat="1" applyFont="1" applyFill="1" applyAlignment="1">
      <alignment horizontal="center"/>
    </xf>
    <xf numFmtId="165" fontId="85" fillId="7" borderId="0" xfId="1" applyNumberFormat="1" applyFont="1" applyFill="1" applyBorder="1" applyAlignment="1">
      <alignment horizontal="center"/>
    </xf>
    <xf numFmtId="165" fontId="85" fillId="7" borderId="32" xfId="1" applyNumberFormat="1" applyFont="1" applyFill="1" applyBorder="1" applyAlignment="1">
      <alignment horizontal="center"/>
    </xf>
    <xf numFmtId="165" fontId="63" fillId="7" borderId="32" xfId="1" applyNumberFormat="1" applyFont="1" applyFill="1" applyBorder="1" applyAlignment="1">
      <alignment horizontal="center"/>
    </xf>
    <xf numFmtId="165" fontId="20" fillId="6" borderId="7" xfId="1" applyNumberFormat="1" applyFont="1" applyFill="1" applyBorder="1" applyAlignment="1" applyProtection="1">
      <alignment horizontal="center" vertical="center" wrapText="1"/>
      <protection hidden="1"/>
    </xf>
    <xf numFmtId="165" fontId="20" fillId="6" borderId="13" xfId="1" applyNumberFormat="1" applyFont="1" applyFill="1" applyBorder="1" applyAlignment="1" applyProtection="1">
      <alignment horizontal="center" vertical="center" wrapText="1"/>
      <protection hidden="1"/>
    </xf>
    <xf numFmtId="165" fontId="10" fillId="0" borderId="7" xfId="1" applyNumberFormat="1" applyFont="1" applyBorder="1" applyAlignment="1" applyProtection="1">
      <alignment horizontal="center" vertical="center"/>
      <protection hidden="1"/>
    </xf>
    <xf numFmtId="165" fontId="10" fillId="0" borderId="13" xfId="1" applyNumberFormat="1" applyFont="1" applyBorder="1" applyAlignment="1" applyProtection="1">
      <alignment horizontal="center" vertical="center"/>
      <protection hidden="1"/>
    </xf>
    <xf numFmtId="165" fontId="10" fillId="4" borderId="5" xfId="1" applyNumberFormat="1" applyFont="1" applyFill="1" applyBorder="1" applyAlignment="1" applyProtection="1">
      <alignment horizontal="center" vertical="center"/>
      <protection hidden="1"/>
    </xf>
    <xf numFmtId="164" fontId="7" fillId="4" borderId="7" xfId="1" applyFont="1" applyFill="1" applyBorder="1" applyAlignment="1" applyProtection="1">
      <alignment horizontal="left" vertical="center"/>
      <protection hidden="1"/>
    </xf>
    <xf numFmtId="164" fontId="7" fillId="4" borderId="14" xfId="1" applyFont="1" applyFill="1" applyBorder="1" applyAlignment="1" applyProtection="1">
      <alignment horizontal="left" vertical="center"/>
      <protection hidden="1"/>
    </xf>
    <xf numFmtId="164" fontId="7" fillId="4" borderId="13" xfId="1" applyFont="1" applyFill="1" applyBorder="1" applyAlignment="1" applyProtection="1">
      <alignment horizontal="left" vertical="center"/>
      <protection hidden="1"/>
    </xf>
    <xf numFmtId="165" fontId="10" fillId="0" borderId="5" xfId="1" applyNumberFormat="1" applyFont="1" applyBorder="1" applyAlignment="1" applyProtection="1">
      <alignment horizontal="center" vertical="center"/>
      <protection hidden="1"/>
    </xf>
    <xf numFmtId="0" fontId="19" fillId="6" borderId="7" xfId="0" applyFont="1" applyFill="1" applyBorder="1" applyAlignment="1" applyProtection="1">
      <alignment horizontal="center" vertical="center"/>
      <protection hidden="1"/>
    </xf>
    <xf numFmtId="0" fontId="19" fillId="6" borderId="14" xfId="0" applyFont="1" applyFill="1" applyBorder="1" applyAlignment="1" applyProtection="1">
      <alignment horizontal="center" vertical="center"/>
      <protection hidden="1"/>
    </xf>
    <xf numFmtId="0" fontId="19" fillId="6" borderId="13" xfId="0" applyFont="1" applyFill="1" applyBorder="1" applyAlignment="1" applyProtection="1">
      <alignment horizontal="center" vertical="center"/>
      <protection hidden="1"/>
    </xf>
    <xf numFmtId="0" fontId="20" fillId="6" borderId="7" xfId="0" applyFont="1" applyFill="1" applyBorder="1" applyAlignment="1" applyProtection="1">
      <alignment horizontal="center" vertical="center" wrapText="1"/>
      <protection hidden="1"/>
    </xf>
    <xf numFmtId="0" fontId="20" fillId="6" borderId="13" xfId="0" applyFont="1" applyFill="1" applyBorder="1" applyAlignment="1" applyProtection="1">
      <alignment horizontal="center" vertical="center" wrapText="1"/>
      <protection hidden="1"/>
    </xf>
    <xf numFmtId="0" fontId="5" fillId="4" borderId="7" xfId="0" applyFont="1" applyFill="1" applyBorder="1" applyAlignment="1" applyProtection="1">
      <alignment horizontal="center" vertical="center"/>
      <protection hidden="1"/>
    </xf>
    <xf numFmtId="0" fontId="5" fillId="4" borderId="13" xfId="0" applyFont="1" applyFill="1" applyBorder="1" applyAlignment="1" applyProtection="1">
      <alignment horizontal="center" vertical="center"/>
      <protection hidden="1"/>
    </xf>
    <xf numFmtId="0" fontId="5" fillId="4" borderId="5" xfId="0" applyFont="1" applyFill="1" applyBorder="1" applyAlignment="1" applyProtection="1">
      <alignment horizontal="center" vertical="center"/>
      <protection hidden="1"/>
    </xf>
    <xf numFmtId="165" fontId="82" fillId="2" borderId="28" xfId="1" applyNumberFormat="1" applyFont="1" applyFill="1" applyBorder="1" applyAlignment="1" applyProtection="1">
      <alignment horizontal="center" vertical="center"/>
      <protection locked="0"/>
    </xf>
    <xf numFmtId="165" fontId="82" fillId="2" borderId="30" xfId="1" applyNumberFormat="1" applyFont="1" applyFill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59" fillId="0" borderId="22" xfId="1" applyNumberFormat="1" applyFont="1" applyFill="1" applyBorder="1" applyAlignment="1" applyProtection="1">
      <alignment horizontal="center" vertical="center"/>
      <protection hidden="1"/>
    </xf>
    <xf numFmtId="0" fontId="59" fillId="0" borderId="34" xfId="1" applyNumberFormat="1" applyFont="1" applyFill="1" applyBorder="1" applyAlignment="1" applyProtection="1">
      <alignment horizontal="center" vertical="center"/>
      <protection hidden="1"/>
    </xf>
    <xf numFmtId="165" fontId="19" fillId="6" borderId="5" xfId="1" applyNumberFormat="1" applyFont="1" applyFill="1" applyBorder="1" applyAlignment="1" applyProtection="1">
      <alignment horizontal="center" vertical="center" wrapText="1"/>
      <protection hidden="1"/>
    </xf>
    <xf numFmtId="164" fontId="81" fillId="2" borderId="28" xfId="1" applyFont="1" applyFill="1" applyBorder="1" applyAlignment="1" applyProtection="1">
      <alignment horizontal="right" vertical="center"/>
      <protection hidden="1"/>
    </xf>
    <xf numFmtId="164" fontId="81" fillId="2" borderId="29" xfId="1" applyFont="1" applyFill="1" applyBorder="1" applyAlignment="1" applyProtection="1">
      <alignment horizontal="right" vertical="center"/>
      <protection hidden="1"/>
    </xf>
    <xf numFmtId="164" fontId="81" fillId="2" borderId="30" xfId="1" applyFont="1" applyFill="1" applyBorder="1" applyAlignment="1" applyProtection="1">
      <alignment horizontal="right" vertical="center"/>
      <protection hidden="1"/>
    </xf>
    <xf numFmtId="165" fontId="10" fillId="4" borderId="7" xfId="1" applyNumberFormat="1" applyFont="1" applyFill="1" applyBorder="1" applyAlignment="1" applyProtection="1">
      <alignment horizontal="center" vertical="center"/>
      <protection hidden="1"/>
    </xf>
    <xf numFmtId="165" fontId="10" fillId="4" borderId="13" xfId="1" applyNumberFormat="1" applyFont="1" applyFill="1" applyBorder="1" applyAlignment="1" applyProtection="1">
      <alignment horizontal="center" vertical="center"/>
      <protection hidden="1"/>
    </xf>
    <xf numFmtId="165" fontId="10" fillId="0" borderId="22" xfId="1" applyNumberFormat="1" applyFont="1" applyFill="1" applyBorder="1" applyAlignment="1" applyProtection="1">
      <alignment horizontal="center" vertical="center"/>
      <protection hidden="1"/>
    </xf>
    <xf numFmtId="165" fontId="10" fillId="0" borderId="34" xfId="1" applyNumberFormat="1" applyFont="1" applyFill="1" applyBorder="1" applyAlignment="1" applyProtection="1">
      <alignment horizontal="center" vertical="center"/>
      <protection hidden="1"/>
    </xf>
    <xf numFmtId="165" fontId="19" fillId="6" borderId="7" xfId="1" applyNumberFormat="1" applyFont="1" applyFill="1" applyBorder="1" applyAlignment="1" applyProtection="1">
      <alignment horizontal="center" vertical="center" wrapText="1"/>
      <protection hidden="1"/>
    </xf>
    <xf numFmtId="165" fontId="19" fillId="6" borderId="13" xfId="1" applyNumberFormat="1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center" vertical="center"/>
      <protection locked="0"/>
    </xf>
    <xf numFmtId="0" fontId="20" fillId="7" borderId="7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41" fillId="7" borderId="7" xfId="0" applyFont="1" applyFill="1" applyBorder="1" applyAlignment="1">
      <alignment horizontal="center" vertical="center" wrapText="1"/>
    </xf>
    <xf numFmtId="0" fontId="41" fillId="7" borderId="14" xfId="0" applyFont="1" applyFill="1" applyBorder="1" applyAlignment="1">
      <alignment horizontal="center" vertical="center" wrapText="1"/>
    </xf>
    <xf numFmtId="0" fontId="41" fillId="7" borderId="1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167" fontId="19" fillId="7" borderId="0" xfId="0" applyNumberFormat="1" applyFont="1" applyFill="1" applyAlignment="1" applyProtection="1">
      <alignment horizontal="center" vertical="center"/>
      <protection locked="0"/>
    </xf>
    <xf numFmtId="0" fontId="19" fillId="7" borderId="0" xfId="0" applyFont="1" applyFill="1" applyAlignment="1">
      <alignment horizontal="left" vertical="center"/>
    </xf>
    <xf numFmtId="168" fontId="35" fillId="7" borderId="0" xfId="0" applyNumberFormat="1" applyFont="1" applyFill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167" fontId="19" fillId="7" borderId="0" xfId="0" applyNumberFormat="1" applyFont="1" applyFill="1" applyAlignment="1">
      <alignment horizontal="left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7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67" fontId="5" fillId="0" borderId="0" xfId="0" applyNumberFormat="1" applyFont="1" applyAlignment="1" applyProtection="1">
      <alignment horizontal="center"/>
      <protection locked="0"/>
    </xf>
    <xf numFmtId="0" fontId="40" fillId="7" borderId="7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 vertical="center"/>
    </xf>
    <xf numFmtId="0" fontId="40" fillId="7" borderId="13" xfId="0" applyFont="1" applyFill="1" applyBorder="1" applyAlignment="1">
      <alignment horizontal="center" vertical="center"/>
    </xf>
    <xf numFmtId="164" fontId="44" fillId="7" borderId="7" xfId="1" applyFont="1" applyFill="1" applyBorder="1" applyAlignment="1" applyProtection="1">
      <alignment horizontal="center" vertical="center" wrapText="1"/>
      <protection locked="0"/>
    </xf>
    <xf numFmtId="164" fontId="44" fillId="7" borderId="14" xfId="1" applyFont="1" applyFill="1" applyBorder="1" applyAlignment="1" applyProtection="1">
      <alignment horizontal="center" vertical="center" wrapText="1"/>
      <protection locked="0"/>
    </xf>
    <xf numFmtId="164" fontId="44" fillId="7" borderId="13" xfId="1" applyFont="1" applyFill="1" applyBorder="1" applyAlignment="1" applyProtection="1">
      <alignment horizontal="center" vertical="center" wrapText="1"/>
      <protection locked="0"/>
    </xf>
    <xf numFmtId="164" fontId="37" fillId="7" borderId="7" xfId="1" applyFont="1" applyFill="1" applyBorder="1" applyAlignment="1" applyProtection="1">
      <alignment horizontal="center" vertical="center" wrapText="1"/>
      <protection locked="0"/>
    </xf>
    <xf numFmtId="164" fontId="37" fillId="7" borderId="14" xfId="1" applyFont="1" applyFill="1" applyBorder="1" applyAlignment="1" applyProtection="1">
      <alignment horizontal="center" vertical="center" wrapText="1"/>
      <protection locked="0"/>
    </xf>
    <xf numFmtId="164" fontId="37" fillId="7" borderId="13" xfId="1" applyFont="1" applyFill="1" applyBorder="1" applyAlignment="1" applyProtection="1">
      <alignment horizontal="center" vertical="center" wrapText="1"/>
      <protection locked="0"/>
    </xf>
    <xf numFmtId="164" fontId="37" fillId="7" borderId="7" xfId="1" applyFont="1" applyFill="1" applyBorder="1" applyAlignment="1">
      <alignment horizontal="center" vertical="center" wrapText="1"/>
    </xf>
    <xf numFmtId="164" fontId="37" fillId="7" borderId="13" xfId="1" applyFont="1" applyFill="1" applyBorder="1" applyAlignment="1">
      <alignment horizontal="center" vertical="center" wrapText="1"/>
    </xf>
    <xf numFmtId="0" fontId="42" fillId="3" borderId="0" xfId="0" applyFont="1" applyFill="1" applyAlignment="1">
      <alignment horizontal="left" vertical="center" wrapText="1"/>
    </xf>
    <xf numFmtId="165" fontId="67" fillId="7" borderId="31" xfId="1" applyNumberFormat="1" applyFont="1" applyFill="1" applyBorder="1" applyAlignment="1" applyProtection="1">
      <alignment horizontal="center" vertical="center"/>
      <protection hidden="1"/>
    </xf>
    <xf numFmtId="165" fontId="67" fillId="7" borderId="33" xfId="1" applyNumberFormat="1" applyFont="1" applyFill="1" applyBorder="1" applyAlignment="1" applyProtection="1">
      <alignment horizontal="center" vertical="center"/>
      <protection hidden="1"/>
    </xf>
    <xf numFmtId="9" fontId="76" fillId="0" borderId="31" xfId="2" applyFont="1" applyFill="1" applyBorder="1" applyAlignment="1" applyProtection="1">
      <alignment horizontal="center" vertical="center"/>
      <protection hidden="1"/>
    </xf>
    <xf numFmtId="9" fontId="76" fillId="0" borderId="33" xfId="2" applyFont="1" applyFill="1" applyBorder="1" applyAlignment="1" applyProtection="1">
      <alignment horizontal="center" vertical="center"/>
      <protection hidden="1"/>
    </xf>
    <xf numFmtId="1" fontId="77" fillId="0" borderId="7" xfId="2" applyNumberFormat="1" applyFont="1" applyFill="1" applyBorder="1" applyAlignment="1" applyProtection="1">
      <alignment horizontal="center" vertical="center"/>
      <protection hidden="1"/>
    </xf>
    <xf numFmtId="1" fontId="77" fillId="0" borderId="13" xfId="2" applyNumberFormat="1" applyFont="1" applyFill="1" applyBorder="1" applyAlignment="1" applyProtection="1">
      <alignment horizontal="center" vertical="center"/>
      <protection hidden="1"/>
    </xf>
    <xf numFmtId="165" fontId="76" fillId="0" borderId="31" xfId="1" applyNumberFormat="1" applyFont="1" applyFill="1" applyBorder="1" applyAlignment="1" applyProtection="1">
      <alignment horizontal="center" vertical="center"/>
      <protection hidden="1"/>
    </xf>
    <xf numFmtId="165" fontId="76" fillId="0" borderId="33" xfId="1" applyNumberFormat="1" applyFont="1" applyFill="1" applyBorder="1" applyAlignment="1" applyProtection="1">
      <alignment horizontal="center" vertical="center"/>
      <protection hidden="1"/>
    </xf>
    <xf numFmtId="165" fontId="78" fillId="0" borderId="7" xfId="1" applyNumberFormat="1" applyFont="1" applyFill="1" applyBorder="1" applyAlignment="1" applyProtection="1">
      <alignment horizontal="center" vertical="center"/>
      <protection hidden="1"/>
    </xf>
    <xf numFmtId="165" fontId="78" fillId="0" borderId="13" xfId="1" applyNumberFormat="1" applyFont="1" applyFill="1" applyBorder="1" applyAlignment="1" applyProtection="1">
      <alignment horizontal="center" vertical="center"/>
      <protection hidden="1"/>
    </xf>
    <xf numFmtId="0" fontId="77" fillId="0" borderId="7" xfId="0" applyFont="1" applyBorder="1" applyAlignment="1">
      <alignment horizontal="center" vertical="center" wrapText="1"/>
    </xf>
    <xf numFmtId="0" fontId="77" fillId="0" borderId="14" xfId="0" applyFont="1" applyBorder="1" applyAlignment="1">
      <alignment horizontal="center" vertical="center" wrapText="1"/>
    </xf>
    <xf numFmtId="0" fontId="77" fillId="0" borderId="13" xfId="0" applyFont="1" applyBorder="1" applyAlignment="1">
      <alignment horizontal="center" vertical="center" wrapText="1"/>
    </xf>
    <xf numFmtId="165" fontId="77" fillId="0" borderId="7" xfId="1" applyNumberFormat="1" applyFont="1" applyFill="1" applyBorder="1" applyAlignment="1" applyProtection="1">
      <alignment horizontal="center" vertical="center"/>
      <protection hidden="1"/>
    </xf>
    <xf numFmtId="165" fontId="77" fillId="0" borderId="13" xfId="1" applyNumberFormat="1" applyFont="1" applyFill="1" applyBorder="1" applyAlignment="1" applyProtection="1">
      <alignment horizontal="center" vertical="center"/>
      <protection hidden="1"/>
    </xf>
    <xf numFmtId="165" fontId="67" fillId="7" borderId="7" xfId="1" applyNumberFormat="1" applyFont="1" applyFill="1" applyBorder="1" applyAlignment="1">
      <alignment horizontal="center" vertical="center" wrapText="1"/>
    </xf>
    <xf numFmtId="165" fontId="67" fillId="7" borderId="14" xfId="1" applyNumberFormat="1" applyFont="1" applyFill="1" applyBorder="1" applyAlignment="1">
      <alignment horizontal="center" vertical="center" wrapText="1"/>
    </xf>
    <xf numFmtId="165" fontId="67" fillId="7" borderId="14" xfId="1" applyNumberFormat="1" applyFont="1" applyFill="1" applyBorder="1" applyAlignment="1" applyProtection="1">
      <alignment horizontal="center" vertical="center" wrapText="1"/>
      <protection hidden="1"/>
    </xf>
    <xf numFmtId="165" fontId="67" fillId="7" borderId="13" xfId="1" applyNumberFormat="1" applyFont="1" applyFill="1" applyBorder="1" applyAlignment="1" applyProtection="1">
      <alignment horizontal="center" vertical="center" wrapText="1"/>
      <protection hidden="1"/>
    </xf>
    <xf numFmtId="0" fontId="67" fillId="7" borderId="31" xfId="0" applyFont="1" applyFill="1" applyBorder="1" applyAlignment="1">
      <alignment horizontal="right" vertical="center"/>
    </xf>
    <xf numFmtId="0" fontId="67" fillId="7" borderId="32" xfId="0" applyFont="1" applyFill="1" applyBorder="1" applyAlignment="1">
      <alignment horizontal="right" vertical="center"/>
    </xf>
    <xf numFmtId="0" fontId="67" fillId="7" borderId="33" xfId="0" applyFont="1" applyFill="1" applyBorder="1" applyAlignment="1">
      <alignment horizontal="right" vertical="center"/>
    </xf>
    <xf numFmtId="0" fontId="67" fillId="7" borderId="31" xfId="0" applyFont="1" applyFill="1" applyBorder="1" applyAlignment="1">
      <alignment horizontal="center" vertical="center"/>
    </xf>
    <xf numFmtId="0" fontId="67" fillId="7" borderId="33" xfId="0" applyFont="1" applyFill="1" applyBorder="1" applyAlignment="1">
      <alignment horizontal="center" vertical="center"/>
    </xf>
    <xf numFmtId="0" fontId="67" fillId="7" borderId="31" xfId="0" applyFont="1" applyFill="1" applyBorder="1" applyAlignment="1">
      <alignment horizontal="center" vertical="center" wrapText="1"/>
    </xf>
    <xf numFmtId="0" fontId="67" fillId="7" borderId="32" xfId="0" applyFont="1" applyFill="1" applyBorder="1" applyAlignment="1">
      <alignment horizontal="center" vertical="center" wrapText="1"/>
    </xf>
    <xf numFmtId="0" fontId="67" fillId="7" borderId="33" xfId="0" applyFont="1" applyFill="1" applyBorder="1" applyAlignment="1">
      <alignment horizontal="center" vertical="center" wrapText="1"/>
    </xf>
    <xf numFmtId="0" fontId="84" fillId="2" borderId="17" xfId="1" applyNumberFormat="1" applyFont="1" applyFill="1" applyBorder="1" applyAlignment="1" applyProtection="1">
      <alignment horizontal="center" vertical="center"/>
      <protection hidden="1"/>
    </xf>
    <xf numFmtId="0" fontId="10" fillId="0" borderId="7" xfId="1" applyNumberFormat="1" applyFont="1" applyFill="1" applyBorder="1" applyAlignment="1" applyProtection="1">
      <alignment horizontal="center" vertical="center"/>
      <protection hidden="1"/>
    </xf>
    <xf numFmtId="0" fontId="10" fillId="0" borderId="14" xfId="1" applyNumberFormat="1" applyFont="1" applyFill="1" applyBorder="1" applyAlignment="1" applyProtection="1">
      <alignment horizontal="center" vertical="center"/>
      <protection hidden="1"/>
    </xf>
    <xf numFmtId="0" fontId="10" fillId="0" borderId="13" xfId="1" applyNumberFormat="1" applyFont="1" applyFill="1" applyBorder="1" applyAlignment="1" applyProtection="1">
      <alignment horizontal="center" vertical="center"/>
      <protection hidden="1"/>
    </xf>
    <xf numFmtId="0" fontId="76" fillId="0" borderId="31" xfId="0" applyFont="1" applyBorder="1" applyAlignment="1">
      <alignment horizontal="center" vertical="center" wrapText="1"/>
    </xf>
    <xf numFmtId="0" fontId="76" fillId="0" borderId="32" xfId="0" applyFont="1" applyBorder="1" applyAlignment="1">
      <alignment horizontal="center" vertical="center" wrapText="1"/>
    </xf>
    <xf numFmtId="0" fontId="76" fillId="0" borderId="33" xfId="0" applyFont="1" applyBorder="1" applyAlignment="1">
      <alignment horizontal="center" vertical="center" wrapText="1"/>
    </xf>
    <xf numFmtId="165" fontId="82" fillId="2" borderId="17" xfId="1" applyNumberFormat="1" applyFont="1" applyFill="1" applyBorder="1" applyAlignment="1">
      <alignment horizontal="center" vertical="center"/>
    </xf>
    <xf numFmtId="165" fontId="82" fillId="2" borderId="17" xfId="1" applyNumberFormat="1" applyFont="1" applyFill="1" applyBorder="1" applyAlignment="1" applyProtection="1">
      <alignment horizontal="center" vertical="center"/>
      <protection hidden="1"/>
    </xf>
    <xf numFmtId="165" fontId="82" fillId="2" borderId="28" xfId="1" applyNumberFormat="1" applyFont="1" applyFill="1" applyBorder="1" applyAlignment="1" applyProtection="1">
      <alignment horizontal="center" vertical="center"/>
      <protection hidden="1"/>
    </xf>
    <xf numFmtId="165" fontId="82" fillId="2" borderId="30" xfId="1" applyNumberFormat="1" applyFont="1" applyFill="1" applyBorder="1" applyAlignment="1" applyProtection="1">
      <alignment horizontal="center" vertical="center"/>
      <protection hidden="1"/>
    </xf>
    <xf numFmtId="0" fontId="10" fillId="0" borderId="18" xfId="1" applyNumberFormat="1" applyFont="1" applyFill="1" applyBorder="1" applyAlignment="1" applyProtection="1">
      <alignment horizontal="center" vertical="center"/>
      <protection hidden="1"/>
    </xf>
    <xf numFmtId="0" fontId="10" fillId="0" borderId="19" xfId="1" applyNumberFormat="1" applyFont="1" applyFill="1" applyBorder="1" applyAlignment="1" applyProtection="1">
      <alignment horizontal="center" vertical="center"/>
      <protection hidden="1"/>
    </xf>
    <xf numFmtId="0" fontId="10" fillId="0" borderId="20" xfId="1" applyNumberFormat="1" applyFont="1" applyFill="1" applyBorder="1" applyAlignment="1" applyProtection="1">
      <alignment horizontal="center" vertical="center"/>
      <protection hidden="1"/>
    </xf>
    <xf numFmtId="165" fontId="10" fillId="0" borderId="45" xfId="1" applyNumberFormat="1" applyFont="1" applyFill="1" applyBorder="1" applyAlignment="1" applyProtection="1">
      <alignment horizontal="center" vertical="center"/>
      <protection hidden="1"/>
    </xf>
    <xf numFmtId="0" fontId="59" fillId="0" borderId="45" xfId="0" applyFont="1" applyBorder="1" applyAlignment="1">
      <alignment horizontal="right"/>
    </xf>
    <xf numFmtId="0" fontId="59" fillId="0" borderId="22" xfId="0" applyFont="1" applyBorder="1" applyAlignment="1">
      <alignment horizontal="right"/>
    </xf>
    <xf numFmtId="0" fontId="59" fillId="2" borderId="22" xfId="0" applyFont="1" applyFill="1" applyBorder="1" applyAlignment="1">
      <alignment horizontal="center"/>
    </xf>
    <xf numFmtId="0" fontId="59" fillId="2" borderId="34" xfId="0" applyFont="1" applyFill="1" applyBorder="1" applyAlignment="1">
      <alignment horizontal="center"/>
    </xf>
    <xf numFmtId="164" fontId="3" fillId="0" borderId="18" xfId="1" applyFont="1" applyFill="1" applyBorder="1" applyAlignment="1" applyProtection="1">
      <alignment horizontal="right" vertical="center"/>
      <protection hidden="1"/>
    </xf>
    <xf numFmtId="164" fontId="3" fillId="0" borderId="19" xfId="1" applyFont="1" applyFill="1" applyBorder="1" applyAlignment="1" applyProtection="1">
      <alignment horizontal="right" vertical="center"/>
      <protection hidden="1"/>
    </xf>
    <xf numFmtId="164" fontId="3" fillId="0" borderId="20" xfId="1" applyFont="1" applyFill="1" applyBorder="1" applyAlignment="1" applyProtection="1">
      <alignment horizontal="right" vertical="center"/>
      <protection hidden="1"/>
    </xf>
    <xf numFmtId="164" fontId="3" fillId="0" borderId="7" xfId="1" applyFont="1" applyFill="1" applyBorder="1" applyAlignment="1" applyProtection="1">
      <alignment horizontal="right" vertical="center"/>
      <protection hidden="1"/>
    </xf>
    <xf numFmtId="164" fontId="3" fillId="0" borderId="14" xfId="1" applyFont="1" applyFill="1" applyBorder="1" applyAlignment="1" applyProtection="1">
      <alignment horizontal="right" vertical="center"/>
      <protection hidden="1"/>
    </xf>
    <xf numFmtId="164" fontId="3" fillId="0" borderId="13" xfId="1" applyFont="1" applyFill="1" applyBorder="1" applyAlignment="1" applyProtection="1">
      <alignment horizontal="right" vertical="center"/>
      <protection hidden="1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45" fillId="7" borderId="7" xfId="0" applyFont="1" applyFill="1" applyBorder="1" applyAlignment="1">
      <alignment horizontal="center" vertical="center"/>
    </xf>
    <xf numFmtId="0" fontId="45" fillId="7" borderId="14" xfId="0" applyFont="1" applyFill="1" applyBorder="1" applyAlignment="1">
      <alignment horizontal="center" vertical="center"/>
    </xf>
    <xf numFmtId="0" fontId="45" fillId="7" borderId="13" xfId="0" applyFont="1" applyFill="1" applyBorder="1" applyAlignment="1">
      <alignment horizontal="center" vertical="center"/>
    </xf>
    <xf numFmtId="0" fontId="67" fillId="7" borderId="7" xfId="0" applyFont="1" applyFill="1" applyBorder="1" applyAlignment="1">
      <alignment horizontal="right" vertical="center"/>
    </xf>
    <xf numFmtId="0" fontId="67" fillId="7" borderId="14" xfId="0" applyFont="1" applyFill="1" applyBorder="1" applyAlignment="1">
      <alignment horizontal="right" vertical="center"/>
    </xf>
    <xf numFmtId="0" fontId="67" fillId="7" borderId="13" xfId="0" applyFont="1" applyFill="1" applyBorder="1" applyAlignment="1">
      <alignment horizontal="right" vertical="center"/>
    </xf>
    <xf numFmtId="0" fontId="67" fillId="7" borderId="7" xfId="0" applyFont="1" applyFill="1" applyBorder="1" applyAlignment="1">
      <alignment horizontal="center" vertical="center" wrapText="1"/>
    </xf>
    <xf numFmtId="0" fontId="67" fillId="7" borderId="14" xfId="0" applyFont="1" applyFill="1" applyBorder="1" applyAlignment="1">
      <alignment horizontal="center" vertical="center" wrapText="1"/>
    </xf>
    <xf numFmtId="0" fontId="67" fillId="7" borderId="13" xfId="0" applyFont="1" applyFill="1" applyBorder="1" applyAlignment="1">
      <alignment horizontal="center" vertical="center" wrapText="1"/>
    </xf>
    <xf numFmtId="165" fontId="67" fillId="7" borderId="7" xfId="1" applyNumberFormat="1" applyFont="1" applyFill="1" applyBorder="1" applyAlignment="1" applyProtection="1">
      <alignment horizontal="center" vertical="center"/>
      <protection hidden="1"/>
    </xf>
    <xf numFmtId="165" fontId="67" fillId="7" borderId="13" xfId="1" applyNumberFormat="1" applyFont="1" applyFill="1" applyBorder="1" applyAlignment="1" applyProtection="1">
      <alignment horizontal="center" vertical="center"/>
      <protection hidden="1"/>
    </xf>
    <xf numFmtId="165" fontId="10" fillId="0" borderId="2" xfId="1" applyNumberFormat="1" applyFont="1" applyFill="1" applyBorder="1" applyAlignment="1" applyProtection="1">
      <alignment horizontal="center" vertical="center"/>
      <protection hidden="1"/>
    </xf>
    <xf numFmtId="165" fontId="10" fillId="0" borderId="21" xfId="1" applyNumberFormat="1" applyFont="1" applyFill="1" applyBorder="1" applyAlignment="1" applyProtection="1">
      <alignment horizontal="center" vertical="center"/>
      <protection hidden="1"/>
    </xf>
    <xf numFmtId="1" fontId="82" fillId="2" borderId="17" xfId="0" applyNumberFormat="1" applyFont="1" applyFill="1" applyBorder="1" applyAlignment="1">
      <alignment horizontal="center" vertical="center"/>
    </xf>
    <xf numFmtId="0" fontId="82" fillId="2" borderId="24" xfId="1" applyNumberFormat="1" applyFont="1" applyFill="1" applyBorder="1" applyAlignment="1" applyProtection="1">
      <alignment horizontal="center" vertical="center"/>
      <protection hidden="1"/>
    </xf>
    <xf numFmtId="0" fontId="82" fillId="2" borderId="25" xfId="1" applyNumberFormat="1" applyFont="1" applyFill="1" applyBorder="1" applyAlignment="1" applyProtection="1">
      <alignment horizontal="center" vertical="center"/>
      <protection hidden="1"/>
    </xf>
    <xf numFmtId="1" fontId="83" fillId="2" borderId="24" xfId="1" applyNumberFormat="1" applyFont="1" applyFill="1" applyBorder="1" applyAlignment="1" applyProtection="1">
      <alignment horizontal="center" vertical="center"/>
      <protection hidden="1"/>
    </xf>
    <xf numFmtId="1" fontId="83" fillId="2" borderId="25" xfId="1" applyNumberFormat="1" applyFont="1" applyFill="1" applyBorder="1" applyAlignment="1" applyProtection="1">
      <alignment horizontal="center" vertical="center"/>
      <protection hidden="1"/>
    </xf>
    <xf numFmtId="0" fontId="67" fillId="7" borderId="7" xfId="0" applyFont="1" applyFill="1" applyBorder="1" applyAlignment="1">
      <alignment horizontal="center" vertical="center"/>
    </xf>
    <xf numFmtId="0" fontId="67" fillId="7" borderId="13" xfId="0" applyFont="1" applyFill="1" applyBorder="1" applyAlignment="1">
      <alignment horizontal="center" vertical="center"/>
    </xf>
    <xf numFmtId="165" fontId="66" fillId="4" borderId="7" xfId="1" applyNumberFormat="1" applyFont="1" applyFill="1" applyBorder="1" applyAlignment="1" applyProtection="1">
      <alignment horizontal="center" vertical="center"/>
      <protection hidden="1"/>
    </xf>
    <xf numFmtId="165" fontId="66" fillId="4" borderId="13" xfId="1" applyNumberFormat="1" applyFont="1" applyFill="1" applyBorder="1" applyAlignment="1" applyProtection="1">
      <alignment horizontal="center" vertical="center"/>
      <protection hidden="1"/>
    </xf>
    <xf numFmtId="165" fontId="14" fillId="0" borderId="7" xfId="1" applyNumberFormat="1" applyFont="1" applyBorder="1" applyAlignment="1" applyProtection="1">
      <alignment horizontal="center" vertical="center"/>
      <protection hidden="1"/>
    </xf>
    <xf numFmtId="165" fontId="14" fillId="0" borderId="13" xfId="1" applyNumberFormat="1" applyFont="1" applyBorder="1" applyAlignment="1" applyProtection="1">
      <alignment horizontal="center" vertical="center"/>
      <protection hidden="1"/>
    </xf>
    <xf numFmtId="165" fontId="54" fillId="6" borderId="5" xfId="1" applyNumberFormat="1" applyFont="1" applyFill="1" applyBorder="1" applyAlignment="1" applyProtection="1">
      <alignment horizontal="center" vertical="center" wrapText="1"/>
      <protection hidden="1"/>
    </xf>
    <xf numFmtId="165" fontId="20" fillId="6" borderId="5" xfId="1" applyNumberFormat="1" applyFont="1" applyFill="1" applyBorder="1" applyAlignment="1" applyProtection="1">
      <alignment horizontal="center" vertical="center" wrapText="1"/>
      <protection hidden="1"/>
    </xf>
    <xf numFmtId="0" fontId="9" fillId="7" borderId="0" xfId="0" applyFont="1" applyFill="1" applyAlignment="1">
      <alignment horizontal="center" vertical="center"/>
    </xf>
    <xf numFmtId="0" fontId="35" fillId="7" borderId="0" xfId="0" applyFont="1" applyFill="1" applyAlignment="1">
      <alignment horizontal="center"/>
    </xf>
    <xf numFmtId="167" fontId="37" fillId="7" borderId="14" xfId="0" applyNumberFormat="1" applyFont="1" applyFill="1" applyBorder="1" applyAlignment="1">
      <alignment horizontal="center" vertical="center" wrapText="1"/>
    </xf>
    <xf numFmtId="167" fontId="37" fillId="7" borderId="13" xfId="0" applyNumberFormat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82" fillId="2" borderId="24" xfId="0" applyFont="1" applyFill="1" applyBorder="1" applyAlignment="1" applyProtection="1">
      <alignment horizontal="center" vertical="center"/>
      <protection locked="0"/>
    </xf>
    <xf numFmtId="0" fontId="82" fillId="2" borderId="26" xfId="0" applyFont="1" applyFill="1" applyBorder="1" applyAlignment="1" applyProtection="1">
      <alignment horizontal="center" vertical="center"/>
      <protection locked="0"/>
    </xf>
    <xf numFmtId="0" fontId="82" fillId="2" borderId="25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3" fillId="0" borderId="4" xfId="1" applyFont="1" applyFill="1" applyBorder="1" applyAlignment="1" applyProtection="1">
      <alignment horizontal="right" vertical="center"/>
      <protection hidden="1"/>
    </xf>
    <xf numFmtId="164" fontId="3" fillId="0" borderId="5" xfId="1" applyFont="1" applyFill="1" applyBorder="1" applyAlignment="1" applyProtection="1">
      <alignment horizontal="right" vertical="center"/>
      <protection hidden="1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2" borderId="20" xfId="0" applyFont="1" applyFill="1" applyBorder="1" applyAlignment="1" applyProtection="1">
      <alignment horizontal="center" vertical="center"/>
      <protection locked="0"/>
    </xf>
    <xf numFmtId="0" fontId="10" fillId="2" borderId="7" xfId="0" applyFont="1" applyFill="1" applyBorder="1" applyAlignment="1" applyProtection="1">
      <alignment horizontal="center" vertical="center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 applyProtection="1">
      <alignment horizontal="center" vertical="center"/>
      <protection locked="0"/>
    </xf>
    <xf numFmtId="165" fontId="10" fillId="0" borderId="23" xfId="1" applyNumberFormat="1" applyFont="1" applyFill="1" applyBorder="1" applyAlignment="1" applyProtection="1">
      <alignment horizontal="center" vertical="center"/>
      <protection hidden="1"/>
    </xf>
    <xf numFmtId="165" fontId="10" fillId="0" borderId="3" xfId="1" applyNumberFormat="1" applyFont="1" applyFill="1" applyBorder="1" applyAlignment="1" applyProtection="1">
      <alignment horizontal="center" vertical="center"/>
      <protection hidden="1"/>
    </xf>
    <xf numFmtId="165" fontId="10" fillId="0" borderId="1" xfId="1" applyNumberFormat="1" applyFont="1" applyFill="1" applyBorder="1" applyAlignment="1" applyProtection="1">
      <alignment horizontal="right" vertical="center"/>
      <protection hidden="1"/>
    </xf>
    <xf numFmtId="165" fontId="10" fillId="0" borderId="2" xfId="1" applyNumberFormat="1" applyFont="1" applyFill="1" applyBorder="1" applyAlignment="1" applyProtection="1">
      <alignment horizontal="right" vertical="center"/>
      <protection hidden="1"/>
    </xf>
    <xf numFmtId="165" fontId="10" fillId="0" borderId="3" xfId="1" applyNumberFormat="1" applyFont="1" applyFill="1" applyBorder="1" applyAlignment="1" applyProtection="1">
      <alignment horizontal="right" vertical="center"/>
      <protection hidden="1"/>
    </xf>
    <xf numFmtId="0" fontId="59" fillId="0" borderId="22" xfId="0" applyFont="1" applyBorder="1" applyAlignment="1">
      <alignment horizontal="center"/>
    </xf>
    <xf numFmtId="0" fontId="59" fillId="0" borderId="34" xfId="0" applyFont="1" applyBorder="1" applyAlignment="1">
      <alignment horizontal="center"/>
    </xf>
    <xf numFmtId="0" fontId="59" fillId="0" borderId="45" xfId="0" applyFont="1" applyBorder="1" applyAlignment="1">
      <alignment horizontal="center"/>
    </xf>
    <xf numFmtId="0" fontId="43" fillId="6" borderId="7" xfId="0" applyFont="1" applyFill="1" applyBorder="1" applyAlignment="1" applyProtection="1">
      <alignment horizontal="center" vertical="center"/>
      <protection hidden="1"/>
    </xf>
    <xf numFmtId="0" fontId="43" fillId="6" borderId="13" xfId="0" applyFont="1" applyFill="1" applyBorder="1" applyAlignment="1" applyProtection="1">
      <alignment horizontal="center" vertical="center"/>
      <protection hidden="1"/>
    </xf>
    <xf numFmtId="0" fontId="20" fillId="6" borderId="7" xfId="0" applyFont="1" applyFill="1" applyBorder="1" applyAlignment="1">
      <alignment horizontal="center" vertical="center" wrapText="1"/>
    </xf>
    <xf numFmtId="0" fontId="20" fillId="6" borderId="13" xfId="0" applyFont="1" applyFill="1" applyBorder="1" applyAlignment="1">
      <alignment horizontal="center" vertical="center" wrapText="1"/>
    </xf>
    <xf numFmtId="165" fontId="66" fillId="4" borderId="5" xfId="1" applyNumberFormat="1" applyFont="1" applyFill="1" applyBorder="1" applyAlignment="1" applyProtection="1">
      <alignment horizontal="center" vertical="center"/>
      <protection hidden="1"/>
    </xf>
    <xf numFmtId="164" fontId="71" fillId="4" borderId="7" xfId="1" applyFont="1" applyFill="1" applyBorder="1" applyAlignment="1" applyProtection="1">
      <alignment horizontal="left" vertical="center"/>
      <protection hidden="1"/>
    </xf>
    <xf numFmtId="164" fontId="71" fillId="4" borderId="14" xfId="1" applyFont="1" applyFill="1" applyBorder="1" applyAlignment="1" applyProtection="1">
      <alignment horizontal="left" vertical="center"/>
      <protection hidden="1"/>
    </xf>
    <xf numFmtId="164" fontId="71" fillId="4" borderId="13" xfId="1" applyFont="1" applyFill="1" applyBorder="1" applyAlignment="1" applyProtection="1">
      <alignment horizontal="left" vertical="center"/>
      <protection hidden="1"/>
    </xf>
    <xf numFmtId="0" fontId="72" fillId="4" borderId="7" xfId="0" applyFont="1" applyFill="1" applyBorder="1" applyAlignment="1" applyProtection="1">
      <alignment horizontal="center" vertical="center"/>
      <protection hidden="1"/>
    </xf>
    <xf numFmtId="0" fontId="72" fillId="4" borderId="13" xfId="0" applyFont="1" applyFill="1" applyBorder="1" applyAlignment="1" applyProtection="1">
      <alignment horizontal="center" vertical="center"/>
      <protection hidden="1"/>
    </xf>
    <xf numFmtId="165" fontId="66" fillId="0" borderId="7" xfId="1" applyNumberFormat="1" applyFont="1" applyBorder="1" applyAlignment="1" applyProtection="1">
      <alignment horizontal="center" vertical="center"/>
      <protection hidden="1"/>
    </xf>
    <xf numFmtId="165" fontId="66" fillId="0" borderId="13" xfId="1" applyNumberFormat="1" applyFont="1" applyBorder="1" applyAlignment="1" applyProtection="1">
      <alignment horizontal="center" vertical="center"/>
      <protection hidden="1"/>
    </xf>
    <xf numFmtId="0" fontId="66" fillId="2" borderId="7" xfId="0" applyFont="1" applyFill="1" applyBorder="1" applyAlignment="1" applyProtection="1">
      <alignment horizontal="center" vertical="center"/>
      <protection locked="0"/>
    </xf>
    <xf numFmtId="0" fontId="66" fillId="2" borderId="13" xfId="0" applyFont="1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164" fontId="42" fillId="0" borderId="0" xfId="0" applyNumberFormat="1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63" fillId="7" borderId="7" xfId="0" applyFont="1" applyFill="1" applyBorder="1" applyAlignment="1">
      <alignment horizontal="center" vertical="center" wrapText="1"/>
    </xf>
    <xf numFmtId="0" fontId="63" fillId="7" borderId="14" xfId="0" applyFont="1" applyFill="1" applyBorder="1" applyAlignment="1">
      <alignment horizontal="center" vertical="center" wrapText="1"/>
    </xf>
    <xf numFmtId="0" fontId="63" fillId="7" borderId="13" xfId="0" applyFont="1" applyFill="1" applyBorder="1" applyAlignment="1">
      <alignment horizontal="center" vertical="center" wrapText="1"/>
    </xf>
    <xf numFmtId="165" fontId="63" fillId="7" borderId="7" xfId="1" applyNumberFormat="1" applyFont="1" applyFill="1" applyBorder="1" applyAlignment="1">
      <alignment horizontal="center" vertical="center"/>
    </xf>
    <xf numFmtId="165" fontId="63" fillId="7" borderId="14" xfId="1" applyNumberFormat="1" applyFont="1" applyFill="1" applyBorder="1" applyAlignment="1">
      <alignment horizontal="center" vertical="center"/>
    </xf>
    <xf numFmtId="165" fontId="63" fillId="7" borderId="13" xfId="1" applyNumberFormat="1" applyFont="1" applyFill="1" applyBorder="1" applyAlignment="1">
      <alignment horizontal="center" vertical="center"/>
    </xf>
    <xf numFmtId="165" fontId="63" fillId="7" borderId="7" xfId="1" applyNumberFormat="1" applyFont="1" applyFill="1" applyBorder="1" applyAlignment="1">
      <alignment vertical="center"/>
    </xf>
    <xf numFmtId="165" fontId="63" fillId="7" borderId="14" xfId="1" applyNumberFormat="1" applyFont="1" applyFill="1" applyBorder="1" applyAlignment="1">
      <alignment vertical="center"/>
    </xf>
    <xf numFmtId="165" fontId="63" fillId="7" borderId="13" xfId="1" applyNumberFormat="1" applyFont="1" applyFill="1" applyBorder="1" applyAlignment="1">
      <alignment vertical="center"/>
    </xf>
    <xf numFmtId="165" fontId="61" fillId="7" borderId="7" xfId="1" applyNumberFormat="1" applyFont="1" applyFill="1" applyBorder="1" applyAlignment="1">
      <alignment horizontal="center" vertical="center"/>
    </xf>
    <xf numFmtId="165" fontId="61" fillId="7" borderId="14" xfId="1" applyNumberFormat="1" applyFont="1" applyFill="1" applyBorder="1" applyAlignment="1">
      <alignment horizontal="center" vertical="center"/>
    </xf>
    <xf numFmtId="165" fontId="61" fillId="7" borderId="13" xfId="1" applyNumberFormat="1" applyFont="1" applyFill="1" applyBorder="1" applyAlignment="1">
      <alignment horizontal="center" vertical="center"/>
    </xf>
    <xf numFmtId="165" fontId="67" fillId="7" borderId="0" xfId="1" applyNumberFormat="1" applyFont="1" applyFill="1" applyBorder="1" applyAlignment="1">
      <alignment horizontal="center" vertical="center" wrapText="1"/>
    </xf>
    <xf numFmtId="165" fontId="67" fillId="7" borderId="29" xfId="1" applyNumberFormat="1" applyFont="1" applyFill="1" applyBorder="1" applyAlignment="1" applyProtection="1">
      <alignment horizontal="center" vertical="center" wrapText="1"/>
      <protection hidden="1"/>
    </xf>
    <xf numFmtId="165" fontId="67" fillId="7" borderId="30" xfId="1" applyNumberFormat="1" applyFont="1" applyFill="1" applyBorder="1" applyAlignment="1" applyProtection="1">
      <alignment horizontal="center" vertical="center" wrapText="1"/>
      <protection hidden="1"/>
    </xf>
    <xf numFmtId="165" fontId="63" fillId="7" borderId="14" xfId="1" applyNumberFormat="1" applyFont="1" applyFill="1" applyBorder="1" applyAlignment="1">
      <alignment horizontal="center"/>
    </xf>
    <xf numFmtId="165" fontId="63" fillId="7" borderId="13" xfId="1" applyNumberFormat="1" applyFont="1" applyFill="1" applyBorder="1" applyAlignment="1">
      <alignment horizontal="center"/>
    </xf>
    <xf numFmtId="0" fontId="73" fillId="7" borderId="7" xfId="0" applyFont="1" applyFill="1" applyBorder="1" applyAlignment="1">
      <alignment horizontal="center" vertical="center"/>
    </xf>
    <xf numFmtId="0" fontId="73" fillId="7" borderId="14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1" fontId="15" fillId="0" borderId="31" xfId="2" applyNumberFormat="1" applyFont="1" applyFill="1" applyBorder="1" applyAlignment="1" applyProtection="1">
      <alignment horizontal="center" vertical="center"/>
      <protection hidden="1"/>
    </xf>
    <xf numFmtId="1" fontId="15" fillId="0" borderId="33" xfId="2" applyNumberFormat="1" applyFont="1" applyFill="1" applyBorder="1" applyAlignment="1" applyProtection="1">
      <alignment horizontal="center" vertical="center"/>
      <protection hidden="1"/>
    </xf>
    <xf numFmtId="165" fontId="16" fillId="0" borderId="31" xfId="1" applyNumberFormat="1" applyFont="1" applyFill="1" applyBorder="1" applyAlignment="1" applyProtection="1">
      <alignment horizontal="center" vertical="center"/>
      <protection hidden="1"/>
    </xf>
    <xf numFmtId="165" fontId="16" fillId="0" borderId="33" xfId="1" applyNumberFormat="1" applyFont="1" applyFill="1" applyBorder="1" applyAlignment="1" applyProtection="1">
      <alignment horizontal="center" vertical="center"/>
      <protection hidden="1"/>
    </xf>
    <xf numFmtId="0" fontId="59" fillId="0" borderId="1" xfId="0" applyFont="1" applyBorder="1" applyAlignment="1">
      <alignment horizontal="right" vertical="center"/>
    </xf>
    <xf numFmtId="0" fontId="59" fillId="0" borderId="2" xfId="0" applyFont="1" applyBorder="1" applyAlignment="1">
      <alignment horizontal="right" vertical="center"/>
    </xf>
    <xf numFmtId="0" fontId="59" fillId="0" borderId="21" xfId="0" applyFont="1" applyBorder="1" applyAlignment="1">
      <alignment horizontal="right" vertical="center"/>
    </xf>
    <xf numFmtId="0" fontId="59" fillId="2" borderId="23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 vertical="center"/>
    </xf>
    <xf numFmtId="0" fontId="59" fillId="2" borderId="3" xfId="0" applyFont="1" applyFill="1" applyBorder="1" applyAlignment="1">
      <alignment horizontal="center" vertical="center"/>
    </xf>
    <xf numFmtId="0" fontId="59" fillId="0" borderId="3" xfId="0" applyFont="1" applyBorder="1" applyAlignment="1">
      <alignment horizontal="right" vertical="center"/>
    </xf>
    <xf numFmtId="165" fontId="64" fillId="7" borderId="7" xfId="1" applyNumberFormat="1" applyFont="1" applyFill="1" applyBorder="1" applyAlignment="1">
      <alignment horizontal="center" vertical="center"/>
    </xf>
    <xf numFmtId="165" fontId="64" fillId="7" borderId="14" xfId="1" applyNumberFormat="1" applyFont="1" applyFill="1" applyBorder="1" applyAlignment="1">
      <alignment horizontal="center" vertical="center"/>
    </xf>
    <xf numFmtId="165" fontId="64" fillId="7" borderId="13" xfId="1" applyNumberFormat="1" applyFont="1" applyFill="1" applyBorder="1" applyAlignment="1">
      <alignment horizontal="center" vertical="center"/>
    </xf>
    <xf numFmtId="0" fontId="62" fillId="7" borderId="7" xfId="0" applyFont="1" applyFill="1" applyBorder="1" applyAlignment="1">
      <alignment horizontal="center" vertical="center"/>
    </xf>
    <xf numFmtId="0" fontId="62" fillId="7" borderId="14" xfId="0" applyFont="1" applyFill="1" applyBorder="1" applyAlignment="1">
      <alignment horizontal="center" vertical="center"/>
    </xf>
    <xf numFmtId="0" fontId="62" fillId="7" borderId="13" xfId="0" applyFont="1" applyFill="1" applyBorder="1" applyAlignment="1">
      <alignment horizontal="center" vertical="center"/>
    </xf>
    <xf numFmtId="0" fontId="62" fillId="7" borderId="5" xfId="0" applyFont="1" applyFill="1" applyBorder="1" applyAlignment="1">
      <alignment horizontal="center"/>
    </xf>
    <xf numFmtId="165" fontId="63" fillId="7" borderId="5" xfId="1" applyNumberFormat="1" applyFont="1" applyFill="1" applyBorder="1" applyAlignment="1">
      <alignment horizontal="center" vertical="center"/>
    </xf>
    <xf numFmtId="170" fontId="65" fillId="7" borderId="5" xfId="1" applyNumberFormat="1" applyFont="1" applyFill="1" applyBorder="1" applyAlignment="1">
      <alignment horizontal="center" vertical="center"/>
    </xf>
    <xf numFmtId="165" fontId="64" fillId="7" borderId="5" xfId="1" applyNumberFormat="1" applyFont="1" applyFill="1" applyBorder="1" applyAlignment="1">
      <alignment horizontal="left" vertical="center"/>
    </xf>
    <xf numFmtId="0" fontId="63" fillId="7" borderId="5" xfId="0" applyFont="1" applyFill="1" applyBorder="1" applyAlignment="1">
      <alignment horizontal="center" vertical="center"/>
    </xf>
    <xf numFmtId="0" fontId="64" fillId="7" borderId="5" xfId="0" applyFont="1" applyFill="1" applyBorder="1" applyAlignment="1">
      <alignment horizontal="right" vertical="center" wrapText="1"/>
    </xf>
    <xf numFmtId="0" fontId="64" fillId="7" borderId="7" xfId="0" applyFont="1" applyFill="1" applyBorder="1" applyAlignment="1">
      <alignment horizontal="right" vertical="center" wrapText="1"/>
    </xf>
    <xf numFmtId="0" fontId="64" fillId="7" borderId="14" xfId="0" applyFont="1" applyFill="1" applyBorder="1" applyAlignment="1">
      <alignment horizontal="right" vertical="center" wrapText="1"/>
    </xf>
    <xf numFmtId="0" fontId="64" fillId="7" borderId="13" xfId="0" applyFont="1" applyFill="1" applyBorder="1" applyAlignment="1">
      <alignment horizontal="right" vertical="center" wrapText="1"/>
    </xf>
    <xf numFmtId="165" fontId="63" fillId="7" borderId="5" xfId="1" applyNumberFormat="1" applyFont="1" applyFill="1" applyBorder="1" applyAlignment="1">
      <alignment vertical="center"/>
    </xf>
    <xf numFmtId="165" fontId="64" fillId="7" borderId="5" xfId="1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  <protection locked="0"/>
    </xf>
    <xf numFmtId="0" fontId="58" fillId="0" borderId="5" xfId="0" applyFont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165" fontId="58" fillId="0" borderId="18" xfId="1" applyNumberFormat="1" applyFont="1" applyFill="1" applyBorder="1" applyAlignment="1" applyProtection="1">
      <alignment horizontal="center" vertical="center"/>
      <protection hidden="1"/>
    </xf>
    <xf numFmtId="165" fontId="58" fillId="0" borderId="19" xfId="1" applyNumberFormat="1" applyFont="1" applyFill="1" applyBorder="1" applyAlignment="1" applyProtection="1">
      <alignment horizontal="center" vertical="center"/>
      <protection hidden="1"/>
    </xf>
    <xf numFmtId="165" fontId="58" fillId="0" borderId="20" xfId="1" applyNumberFormat="1" applyFont="1" applyFill="1" applyBorder="1" applyAlignment="1" applyProtection="1">
      <alignment horizontal="center" vertical="center"/>
      <protection hidden="1"/>
    </xf>
    <xf numFmtId="165" fontId="58" fillId="0" borderId="7" xfId="1" applyNumberFormat="1" applyFont="1" applyFill="1" applyBorder="1" applyAlignment="1" applyProtection="1">
      <alignment horizontal="center" vertical="center"/>
      <protection hidden="1"/>
    </xf>
    <xf numFmtId="165" fontId="58" fillId="0" borderId="14" xfId="1" applyNumberFormat="1" applyFont="1" applyFill="1" applyBorder="1" applyAlignment="1" applyProtection="1">
      <alignment horizontal="center" vertical="center"/>
      <protection hidden="1"/>
    </xf>
    <xf numFmtId="165" fontId="58" fillId="0" borderId="13" xfId="1" applyNumberFormat="1" applyFont="1" applyFill="1" applyBorder="1" applyAlignment="1" applyProtection="1">
      <alignment horizontal="center" vertical="center"/>
      <protection hidden="1"/>
    </xf>
    <xf numFmtId="9" fontId="70" fillId="7" borderId="39" xfId="2" applyFont="1" applyFill="1" applyBorder="1" applyAlignment="1" applyProtection="1">
      <alignment horizontal="center" vertical="center"/>
      <protection hidden="1"/>
    </xf>
    <xf numFmtId="9" fontId="70" fillId="7" borderId="40" xfId="2" applyFont="1" applyFill="1" applyBorder="1" applyAlignment="1" applyProtection="1">
      <alignment horizontal="center" vertical="center"/>
      <protection hidden="1"/>
    </xf>
    <xf numFmtId="165" fontId="68" fillId="7" borderId="36" xfId="1" applyNumberFormat="1" applyFont="1" applyFill="1" applyBorder="1" applyAlignment="1" applyProtection="1">
      <alignment horizontal="center" vertical="center"/>
      <protection hidden="1"/>
    </xf>
    <xf numFmtId="165" fontId="68" fillId="7" borderId="37" xfId="1" applyNumberFormat="1" applyFont="1" applyFill="1" applyBorder="1" applyAlignment="1" applyProtection="1">
      <alignment horizontal="center" vertical="center"/>
      <protection hidden="1"/>
    </xf>
    <xf numFmtId="0" fontId="58" fillId="0" borderId="4" xfId="0" applyFont="1" applyBorder="1" applyAlignment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165" fontId="4" fillId="0" borderId="22" xfId="1" applyNumberFormat="1" applyFont="1" applyFill="1" applyBorder="1" applyAlignment="1" applyProtection="1">
      <alignment horizontal="center" vertical="center"/>
      <protection hidden="1"/>
    </xf>
    <xf numFmtId="165" fontId="4" fillId="0" borderId="34" xfId="1" applyNumberFormat="1" applyFont="1" applyFill="1" applyBorder="1" applyAlignment="1" applyProtection="1">
      <alignment horizontal="center" vertical="center"/>
      <protection hidden="1"/>
    </xf>
    <xf numFmtId="165" fontId="68" fillId="7" borderId="38" xfId="1" applyNumberFormat="1" applyFont="1" applyFill="1" applyBorder="1" applyAlignment="1" applyProtection="1">
      <alignment horizontal="center" vertical="center"/>
      <protection hidden="1"/>
    </xf>
    <xf numFmtId="165" fontId="4" fillId="0" borderId="1" xfId="1" applyNumberFormat="1" applyFont="1" applyFill="1" applyBorder="1" applyAlignment="1" applyProtection="1">
      <alignment horizontal="center" vertical="center"/>
      <protection hidden="1"/>
    </xf>
    <xf numFmtId="165" fontId="4" fillId="0" borderId="2" xfId="1" applyNumberFormat="1" applyFont="1" applyFill="1" applyBorder="1" applyAlignment="1" applyProtection="1">
      <alignment horizontal="center" vertical="center"/>
      <protection hidden="1"/>
    </xf>
    <xf numFmtId="165" fontId="4" fillId="0" borderId="21" xfId="1" applyNumberFormat="1" applyFont="1" applyFill="1" applyBorder="1" applyAlignment="1" applyProtection="1">
      <alignment horizontal="center" vertical="center"/>
      <protection hidden="1"/>
    </xf>
    <xf numFmtId="0" fontId="68" fillId="7" borderId="36" xfId="0" applyFont="1" applyFill="1" applyBorder="1" applyAlignment="1">
      <alignment horizontal="center"/>
    </xf>
    <xf numFmtId="0" fontId="68" fillId="7" borderId="38" xfId="0" applyFont="1" applyFill="1" applyBorder="1" applyAlignment="1">
      <alignment horizontal="center"/>
    </xf>
    <xf numFmtId="0" fontId="68" fillId="7" borderId="37" xfId="0" applyFont="1" applyFill="1" applyBorder="1" applyAlignment="1">
      <alignment horizontal="center"/>
    </xf>
    <xf numFmtId="164" fontId="3" fillId="0" borderId="17" xfId="1" applyFont="1" applyFill="1" applyBorder="1" applyAlignment="1" applyProtection="1">
      <alignment horizontal="right" vertical="center"/>
      <protection hidden="1"/>
    </xf>
    <xf numFmtId="9" fontId="69" fillId="7" borderId="39" xfId="2" applyFont="1" applyFill="1" applyBorder="1" applyAlignment="1">
      <alignment horizontal="center"/>
    </xf>
    <xf numFmtId="9" fontId="69" fillId="7" borderId="37" xfId="2" applyFont="1" applyFill="1" applyBorder="1" applyAlignment="1">
      <alignment horizontal="center"/>
    </xf>
    <xf numFmtId="165" fontId="54" fillId="0" borderId="42" xfId="1" applyNumberFormat="1" applyFont="1" applyFill="1" applyBorder="1" applyAlignment="1" applyProtection="1">
      <alignment horizontal="center" vertical="center"/>
      <protection hidden="1"/>
    </xf>
    <xf numFmtId="165" fontId="54" fillId="0" borderId="43" xfId="1" applyNumberFormat="1" applyFont="1" applyFill="1" applyBorder="1" applyAlignment="1" applyProtection="1">
      <alignment horizontal="center" vertical="center"/>
      <protection hidden="1"/>
    </xf>
    <xf numFmtId="165" fontId="54" fillId="0" borderId="44" xfId="1" applyNumberFormat="1" applyFont="1" applyFill="1" applyBorder="1" applyAlignment="1" applyProtection="1">
      <alignment horizontal="center" vertical="center"/>
      <protection hidden="1"/>
    </xf>
    <xf numFmtId="0" fontId="10" fillId="2" borderId="18" xfId="1" applyNumberFormat="1" applyFont="1" applyFill="1" applyBorder="1" applyAlignment="1" applyProtection="1">
      <alignment horizontal="center" vertical="center"/>
      <protection hidden="1"/>
    </xf>
    <xf numFmtId="0" fontId="10" fillId="2" borderId="19" xfId="1" applyNumberFormat="1" applyFont="1" applyFill="1" applyBorder="1" applyAlignment="1" applyProtection="1">
      <alignment horizontal="center" vertical="center"/>
      <protection hidden="1"/>
    </xf>
    <xf numFmtId="0" fontId="10" fillId="2" borderId="20" xfId="1" applyNumberFormat="1" applyFont="1" applyFill="1" applyBorder="1" applyAlignment="1" applyProtection="1">
      <alignment horizontal="center" vertical="center"/>
      <protection hidden="1"/>
    </xf>
    <xf numFmtId="0" fontId="48" fillId="2" borderId="7" xfId="1" applyNumberFormat="1" applyFont="1" applyFill="1" applyBorder="1" applyAlignment="1" applyProtection="1">
      <alignment horizontal="center" vertical="center"/>
      <protection hidden="1"/>
    </xf>
    <xf numFmtId="0" fontId="48" fillId="2" borderId="14" xfId="1" applyNumberFormat="1" applyFont="1" applyFill="1" applyBorder="1" applyAlignment="1" applyProtection="1">
      <alignment horizontal="center" vertical="center"/>
      <protection hidden="1"/>
    </xf>
    <xf numFmtId="0" fontId="48" fillId="2" borderId="13" xfId="1" applyNumberFormat="1" applyFont="1" applyFill="1" applyBorder="1" applyAlignment="1" applyProtection="1">
      <alignment horizontal="center" vertical="center"/>
      <protection hidden="1"/>
    </xf>
    <xf numFmtId="0" fontId="48" fillId="2" borderId="46" xfId="1" applyNumberFormat="1" applyFont="1" applyFill="1" applyBorder="1" applyAlignment="1" applyProtection="1">
      <alignment horizontal="center" vertical="center"/>
      <protection hidden="1"/>
    </xf>
    <xf numFmtId="0" fontId="48" fillId="2" borderId="47" xfId="1" applyNumberFormat="1" applyFont="1" applyFill="1" applyBorder="1" applyAlignment="1" applyProtection="1">
      <alignment horizontal="center" vertical="center"/>
      <protection hidden="1"/>
    </xf>
    <xf numFmtId="0" fontId="48" fillId="2" borderId="48" xfId="1" applyNumberFormat="1" applyFont="1" applyFill="1" applyBorder="1" applyAlignment="1" applyProtection="1">
      <alignment horizontal="center" vertical="center"/>
      <protection hidden="1"/>
    </xf>
    <xf numFmtId="1" fontId="10" fillId="4" borderId="18" xfId="1" applyNumberFormat="1" applyFont="1" applyFill="1" applyBorder="1" applyAlignment="1" applyProtection="1">
      <alignment horizontal="center" vertical="center"/>
      <protection hidden="1"/>
    </xf>
    <xf numFmtId="1" fontId="10" fillId="4" borderId="19" xfId="1" applyNumberFormat="1" applyFont="1" applyFill="1" applyBorder="1" applyAlignment="1" applyProtection="1">
      <alignment horizontal="center" vertical="center"/>
      <protection hidden="1"/>
    </xf>
    <xf numFmtId="1" fontId="10" fillId="4" borderId="20" xfId="1" applyNumberFormat="1" applyFont="1" applyFill="1" applyBorder="1" applyAlignment="1" applyProtection="1">
      <alignment horizontal="center" vertical="center"/>
      <protection hidden="1"/>
    </xf>
    <xf numFmtId="1" fontId="10" fillId="4" borderId="7" xfId="1" applyNumberFormat="1" applyFont="1" applyFill="1" applyBorder="1" applyAlignment="1" applyProtection="1">
      <alignment horizontal="center" vertical="center"/>
      <protection hidden="1"/>
    </xf>
    <xf numFmtId="1" fontId="10" fillId="4" borderId="14" xfId="1" applyNumberFormat="1" applyFont="1" applyFill="1" applyBorder="1" applyAlignment="1" applyProtection="1">
      <alignment horizontal="center" vertical="center"/>
      <protection hidden="1"/>
    </xf>
    <xf numFmtId="1" fontId="10" fillId="4" borderId="13" xfId="1" applyNumberFormat="1" applyFont="1" applyFill="1" applyBorder="1" applyAlignment="1" applyProtection="1">
      <alignment horizontal="center" vertical="center"/>
      <protection hidden="1"/>
    </xf>
    <xf numFmtId="1" fontId="10" fillId="4" borderId="28" xfId="1" applyNumberFormat="1" applyFont="1" applyFill="1" applyBorder="1" applyAlignment="1" applyProtection="1">
      <alignment horizontal="center" vertical="center"/>
      <protection hidden="1"/>
    </xf>
    <xf numFmtId="1" fontId="10" fillId="4" borderId="29" xfId="1" applyNumberFormat="1" applyFont="1" applyFill="1" applyBorder="1" applyAlignment="1" applyProtection="1">
      <alignment horizontal="center" vertical="center"/>
      <protection hidden="1"/>
    </xf>
    <xf numFmtId="1" fontId="10" fillId="4" borderId="30" xfId="1" applyNumberFormat="1" applyFont="1" applyFill="1" applyBorder="1" applyAlignment="1" applyProtection="1">
      <alignment horizontal="center" vertical="center"/>
      <protection hidden="1"/>
    </xf>
    <xf numFmtId="0" fontId="54" fillId="0" borderId="3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10" fillId="4" borderId="18" xfId="1" applyNumberFormat="1" applyFont="1" applyFill="1" applyBorder="1" applyAlignment="1" applyProtection="1">
      <alignment horizontal="center" vertical="center"/>
      <protection hidden="1"/>
    </xf>
    <xf numFmtId="0" fontId="10" fillId="4" borderId="19" xfId="1" applyNumberFormat="1" applyFont="1" applyFill="1" applyBorder="1" applyAlignment="1" applyProtection="1">
      <alignment horizontal="center" vertical="center"/>
      <protection hidden="1"/>
    </xf>
    <xf numFmtId="0" fontId="10" fillId="4" borderId="20" xfId="1" applyNumberFormat="1" applyFont="1" applyFill="1" applyBorder="1" applyAlignment="1" applyProtection="1">
      <alignment horizontal="center" vertical="center"/>
      <protection hidden="1"/>
    </xf>
    <xf numFmtId="0" fontId="10" fillId="4" borderId="7" xfId="1" applyNumberFormat="1" applyFont="1" applyFill="1" applyBorder="1" applyAlignment="1" applyProtection="1">
      <alignment horizontal="center" vertical="center"/>
      <protection hidden="1"/>
    </xf>
    <xf numFmtId="0" fontId="10" fillId="4" borderId="14" xfId="1" applyNumberFormat="1" applyFont="1" applyFill="1" applyBorder="1" applyAlignment="1" applyProtection="1">
      <alignment horizontal="center" vertical="center"/>
      <protection hidden="1"/>
    </xf>
    <xf numFmtId="0" fontId="10" fillId="4" borderId="13" xfId="1" applyNumberFormat="1" applyFont="1" applyFill="1" applyBorder="1" applyAlignment="1" applyProtection="1">
      <alignment horizontal="center" vertical="center"/>
      <protection hidden="1"/>
    </xf>
    <xf numFmtId="0" fontId="10" fillId="4" borderId="28" xfId="1" applyNumberFormat="1" applyFont="1" applyFill="1" applyBorder="1" applyAlignment="1" applyProtection="1">
      <alignment horizontal="center" vertical="center"/>
      <protection hidden="1"/>
    </xf>
    <xf numFmtId="0" fontId="10" fillId="4" borderId="29" xfId="1" applyNumberFormat="1" applyFont="1" applyFill="1" applyBorder="1" applyAlignment="1" applyProtection="1">
      <alignment horizontal="center" vertical="center"/>
      <protection hidden="1"/>
    </xf>
    <xf numFmtId="0" fontId="10" fillId="4" borderId="30" xfId="1" applyNumberFormat="1" applyFont="1" applyFill="1" applyBorder="1" applyAlignment="1" applyProtection="1">
      <alignment horizontal="center" vertical="center"/>
      <protection hidden="1"/>
    </xf>
  </cellXfs>
  <cellStyles count="4">
    <cellStyle name="Milliers" xfId="1" builtinId="3"/>
    <cellStyle name="Normal" xfId="0" builtinId="0"/>
    <cellStyle name="Normal 2" xfId="3" xr:uid="{DF7076C9-08BB-4EFA-AB46-B0BCEA3CFC82}"/>
    <cellStyle name="Pourcentage" xfId="2" builtinId="5"/>
  </cellStyles>
  <dxfs count="21"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38805</xdr:colOff>
      <xdr:row>155</xdr:row>
      <xdr:rowOff>120650</xdr:rowOff>
    </xdr:from>
    <xdr:ext cx="7202715" cy="7184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2632104-39B0-4AA6-9198-791AB3399911}"/>
            </a:ext>
          </a:extLst>
        </xdr:cNvPr>
        <xdr:cNvSpPr/>
      </xdr:nvSpPr>
      <xdr:spPr>
        <a:xfrm>
          <a:off x="565855" y="2660650"/>
          <a:ext cx="7202715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518079</xdr:colOff>
      <xdr:row>89</xdr:row>
      <xdr:rowOff>0</xdr:rowOff>
    </xdr:from>
    <xdr:ext cx="5729111" cy="53622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9BE047B-C8E7-42E1-BA4A-8019370BB267}"/>
            </a:ext>
          </a:extLst>
        </xdr:cNvPr>
        <xdr:cNvSpPr/>
      </xdr:nvSpPr>
      <xdr:spPr>
        <a:xfrm>
          <a:off x="1432479" y="18408650"/>
          <a:ext cx="5729111" cy="53622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</xdr:col>
      <xdr:colOff>14111</xdr:colOff>
      <xdr:row>149</xdr:row>
      <xdr:rowOff>15118</xdr:rowOff>
    </xdr:from>
    <xdr:ext cx="717550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216F827-5070-476D-BB05-1A1F834B2809}"/>
            </a:ext>
          </a:extLst>
        </xdr:cNvPr>
        <xdr:cNvSpPr/>
      </xdr:nvSpPr>
      <xdr:spPr>
        <a:xfrm>
          <a:off x="153811" y="29777568"/>
          <a:ext cx="71755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5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5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CA7885-485D-466E-BE37-011EFD1BB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5A08B7-6F99-4523-8F9B-86BB1ABC3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1066"/>
          <a:ext cx="7794474" cy="71591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38805</xdr:colOff>
      <xdr:row>48</xdr:row>
      <xdr:rowOff>120650</xdr:rowOff>
    </xdr:from>
    <xdr:ext cx="7202715" cy="7184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547083-5060-4EFC-895D-D0A8D044EA8C}"/>
            </a:ext>
          </a:extLst>
        </xdr:cNvPr>
        <xdr:cNvSpPr/>
      </xdr:nvSpPr>
      <xdr:spPr>
        <a:xfrm>
          <a:off x="565855" y="32302450"/>
          <a:ext cx="7202715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3</xdr:col>
      <xdr:colOff>518079</xdr:colOff>
      <xdr:row>24</xdr:row>
      <xdr:rowOff>0</xdr:rowOff>
    </xdr:from>
    <xdr:ext cx="5729111" cy="53622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4A83FE7-9B16-4DE7-8188-685036207D5A}"/>
            </a:ext>
          </a:extLst>
        </xdr:cNvPr>
        <xdr:cNvSpPr/>
      </xdr:nvSpPr>
      <xdr:spPr>
        <a:xfrm>
          <a:off x="1572179" y="18618200"/>
          <a:ext cx="5729111" cy="53622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4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4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oneCellAnchor>
    <xdr:from>
      <xdr:col>1</xdr:col>
      <xdr:colOff>14111</xdr:colOff>
      <xdr:row>42</xdr:row>
      <xdr:rowOff>15118</xdr:rowOff>
    </xdr:from>
    <xdr:ext cx="7175500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9374970-EE5E-49F8-AD41-2130431CF2F8}"/>
            </a:ext>
          </a:extLst>
        </xdr:cNvPr>
        <xdr:cNvSpPr/>
      </xdr:nvSpPr>
      <xdr:spPr>
        <a:xfrm>
          <a:off x="153811" y="31244418"/>
          <a:ext cx="7175500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WashMan</a:t>
          </a:r>
          <a:r>
            <a:rPr lang="en-US" sz="54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Pressing</a:t>
          </a:r>
          <a:endParaRPr lang="en-US" sz="54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22</xdr:col>
      <xdr:colOff>317501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34FFB3-5390-4B7A-8E3F-55212EE6A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406692" cy="974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52916</xdr:rowOff>
    </xdr:from>
    <xdr:to>
      <xdr:col>23</xdr:col>
      <xdr:colOff>338667</xdr:colOff>
      <xdr:row>50</xdr:row>
      <xdr:rowOff>10584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C564E4-BF54-4F46-AAFB-DC6864113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31499"/>
          <a:ext cx="7842250" cy="71966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127001</xdr:rowOff>
    </xdr:from>
    <xdr:to>
      <xdr:col>23</xdr:col>
      <xdr:colOff>187909</xdr:colOff>
      <xdr:row>1</xdr:row>
      <xdr:rowOff>803471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9BC7EE-E5A8-4B6B-978F-4996167E7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1"/>
          <a:ext cx="7406692" cy="864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52916</xdr:rowOff>
    </xdr:from>
    <xdr:to>
      <xdr:col>23</xdr:col>
      <xdr:colOff>328083</xdr:colOff>
      <xdr:row>50</xdr:row>
      <xdr:rowOff>224411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C5803-C5FB-4581-A6A1-D4DF6D12E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35166"/>
          <a:ext cx="7598833" cy="71966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25920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408F1E-0BF2-4A90-82FF-A95FDAD82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1400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47085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A8074F-D055-4615-A856-306663208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8966"/>
          <a:ext cx="7793567" cy="71966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844C98-AA9F-48B8-ADB3-E55DD52A8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FFEE30-B3DB-4B8B-B53F-D7064766D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44716"/>
          <a:ext cx="7794474" cy="715909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B314E-B40A-4409-B77B-23B736D2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4B30FC-2E87-45E8-9187-91B50AD79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1066"/>
          <a:ext cx="7794474" cy="715910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5E769A-C010-448A-A08F-FE5A7B074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AC23E1-74A4-454D-A1A8-E74775407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1066"/>
          <a:ext cx="7794474" cy="715910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25401</xdr:colOff>
      <xdr:row>0</xdr:row>
      <xdr:rowOff>127000</xdr:rowOff>
    </xdr:from>
    <xdr:to>
      <xdr:col>23</xdr:col>
      <xdr:colOff>45358</xdr:colOff>
      <xdr:row>1</xdr:row>
      <xdr:rowOff>913623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42A03-A34C-43FB-BE82-7A923CB800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1" y="127000"/>
          <a:ext cx="7392307" cy="977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52916</xdr:rowOff>
    </xdr:from>
    <xdr:to>
      <xdr:col>24</xdr:col>
      <xdr:colOff>66524</xdr:colOff>
      <xdr:row>56</xdr:row>
      <xdr:rowOff>140176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6E4D5A-054B-4029-A17D-C338669CC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1066"/>
          <a:ext cx="7794474" cy="715910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DDD7-FE83-4E73-BA23-7CCDCB2508EE}">
  <sheetPr>
    <tabColor theme="1" tint="0.249977111117893"/>
  </sheetPr>
  <dimension ref="A1:A11"/>
  <sheetViews>
    <sheetView workbookViewId="0">
      <selection activeCell="A12" sqref="A12"/>
    </sheetView>
  </sheetViews>
  <sheetFormatPr baseColWidth="10" defaultColWidth="8.77734375" defaultRowHeight="14.4"/>
  <cols>
    <col min="1" max="1" width="9.5546875" style="125" bestFit="1" customWidth="1"/>
  </cols>
  <sheetData>
    <row r="1" spans="1:1">
      <c r="A1" s="125">
        <v>44928</v>
      </c>
    </row>
    <row r="2" spans="1:1">
      <c r="A2" s="125">
        <v>44936</v>
      </c>
    </row>
    <row r="3" spans="1:1">
      <c r="A3" s="125">
        <v>44942</v>
      </c>
    </row>
    <row r="4" spans="1:1">
      <c r="A4" s="125">
        <v>44943</v>
      </c>
    </row>
    <row r="5" spans="1:1">
      <c r="A5" s="125">
        <v>45026</v>
      </c>
    </row>
    <row r="6" spans="1:1">
      <c r="A6" s="125">
        <v>45047</v>
      </c>
    </row>
    <row r="7" spans="1:1">
      <c r="A7" s="125">
        <v>45064</v>
      </c>
    </row>
    <row r="8" spans="1:1">
      <c r="A8" s="125">
        <v>45075</v>
      </c>
    </row>
    <row r="9" spans="1:1">
      <c r="A9" s="125">
        <v>45139</v>
      </c>
    </row>
    <row r="10" spans="1:1">
      <c r="A10" s="125">
        <v>45153</v>
      </c>
    </row>
    <row r="11" spans="1:1">
      <c r="A11" s="125">
        <v>45285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FA41-4328-4E16-99FC-6C2799223CE5}">
  <sheetPr>
    <tabColor rgb="FF00B0F0"/>
  </sheetPr>
  <dimension ref="A1:AA58"/>
  <sheetViews>
    <sheetView zoomScale="90" zoomScaleNormal="90" workbookViewId="0">
      <selection activeCell="Q23" sqref="Q23:R23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82" t="s">
        <v>1763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89" t="s">
        <v>1468</v>
      </c>
      <c r="M5" s="390"/>
      <c r="N5" s="390"/>
      <c r="O5" s="390"/>
      <c r="P5" s="390"/>
      <c r="Q5" s="39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08" t="s">
        <v>1476</v>
      </c>
      <c r="C6" s="408"/>
      <c r="D6" s="408"/>
      <c r="E6" s="407">
        <f ca="1">TODAY()</f>
        <v>45531</v>
      </c>
      <c r="F6" s="407"/>
      <c r="G6" s="407"/>
      <c r="H6" s="158"/>
      <c r="L6" s="392"/>
      <c r="M6" s="393"/>
      <c r="N6" s="393"/>
      <c r="O6" s="393"/>
      <c r="P6" s="393"/>
      <c r="Q6" s="394"/>
      <c r="S6" s="400" t="s">
        <v>145</v>
      </c>
      <c r="T6" s="400"/>
      <c r="U6" s="400"/>
      <c r="V6" s="395">
        <f>IF(E8="Normal",WORKDAY.INTL(I7,3,11,Fériés!A:A),IF(E8="Express",WORKDAY.INTL(I7,1,11,Fériés!A:A)))</f>
        <v>45386</v>
      </c>
      <c r="W6" s="395"/>
      <c r="X6" s="395"/>
      <c r="Y6" s="162"/>
    </row>
    <row r="7" spans="2:27" s="3" customFormat="1" ht="13.95" customHeight="1">
      <c r="B7" s="398" t="s">
        <v>143</v>
      </c>
      <c r="C7" s="398"/>
      <c r="D7" s="398"/>
      <c r="E7" s="3">
        <v>1001</v>
      </c>
      <c r="F7" s="135" t="s">
        <v>1475</v>
      </c>
      <c r="G7" s="160" t="s">
        <v>484</v>
      </c>
      <c r="H7" s="161" t="s">
        <v>1475</v>
      </c>
      <c r="I7" s="409">
        <v>45383</v>
      </c>
      <c r="J7" s="409"/>
      <c r="L7" s="401" t="s">
        <v>1469</v>
      </c>
      <c r="M7" s="402"/>
      <c r="N7" s="402"/>
      <c r="O7" s="402"/>
      <c r="P7" s="402"/>
      <c r="Q7" s="403"/>
      <c r="S7" s="396" t="s">
        <v>148</v>
      </c>
      <c r="T7" s="396"/>
      <c r="U7" s="396"/>
      <c r="V7" s="397">
        <f>WORKDAY.INTL(V6,-1,11,Fériés!A:A)</f>
        <v>45385</v>
      </c>
      <c r="W7" s="397"/>
      <c r="X7" s="397"/>
    </row>
    <row r="8" spans="2:27" s="3" customFormat="1" ht="13.95" customHeight="1" thickBot="1">
      <c r="B8" s="398" t="s">
        <v>1477</v>
      </c>
      <c r="C8" s="398"/>
      <c r="D8" s="398"/>
      <c r="E8" s="399" t="s">
        <v>1478</v>
      </c>
      <c r="F8" s="399"/>
      <c r="G8" s="399"/>
      <c r="I8" s="135"/>
      <c r="L8" s="404"/>
      <c r="M8" s="405"/>
      <c r="N8" s="405"/>
      <c r="O8" s="405"/>
      <c r="P8" s="405"/>
      <c r="Q8" s="40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10" t="s">
        <v>146</v>
      </c>
      <c r="E11" s="411"/>
      <c r="F11" s="412"/>
      <c r="G11" s="410" t="s">
        <v>144</v>
      </c>
      <c r="H11" s="411"/>
      <c r="I11" s="411"/>
      <c r="J11" s="412"/>
      <c r="K11" s="410" t="s">
        <v>1464</v>
      </c>
      <c r="L11" s="411"/>
      <c r="M11" s="412"/>
      <c r="N11" s="383" t="s">
        <v>1467</v>
      </c>
      <c r="O11" s="384"/>
      <c r="P11" s="385"/>
      <c r="Q11" s="410" t="s">
        <v>1462</v>
      </c>
      <c r="R11" s="41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16" t="str">
        <f>VLOOKUP(D12,'Base Clients'!B:E,4,FALSE)</f>
        <v>AHOUNOU KEKE MELENE</v>
      </c>
      <c r="H12" s="417"/>
      <c r="I12" s="417"/>
      <c r="J12" s="418"/>
      <c r="K12" s="413" t="str">
        <f>VLOOKUP(D12,'Base Clients'!B:L,11,FALSE)</f>
        <v>Client partenaire</v>
      </c>
      <c r="L12" s="414"/>
      <c r="M12" s="415"/>
      <c r="N12" s="386" t="str">
        <f>+Abonné1!N12</f>
        <v>Kankpé</v>
      </c>
      <c r="O12" s="387"/>
      <c r="P12" s="388"/>
      <c r="Q12" s="419" t="str">
        <f>VLOOKUP(D12,'Base Clients'!B:K,10,FALSE)</f>
        <v>1 KM</v>
      </c>
      <c r="R12" s="42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358" t="s">
        <v>150</v>
      </c>
      <c r="E14" s="359"/>
      <c r="F14" s="359"/>
      <c r="G14" s="359"/>
      <c r="H14" s="359"/>
      <c r="I14" s="359"/>
      <c r="J14" s="360"/>
      <c r="K14" s="361" t="s">
        <v>1471</v>
      </c>
      <c r="L14" s="362"/>
      <c r="M14" s="138" t="s">
        <v>1472</v>
      </c>
      <c r="N14" s="163" t="s">
        <v>1473</v>
      </c>
      <c r="O14" s="532" t="s">
        <v>151</v>
      </c>
      <c r="P14" s="533"/>
      <c r="Q14" s="501" t="s">
        <v>152</v>
      </c>
      <c r="R14" s="501"/>
      <c r="S14" s="530" t="s">
        <v>1560</v>
      </c>
      <c r="T14" s="531"/>
      <c r="U14" s="349" t="s">
        <v>1758</v>
      </c>
      <c r="V14" s="350"/>
      <c r="W14" s="380" t="s">
        <v>1759</v>
      </c>
      <c r="X14" s="381"/>
    </row>
    <row r="15" spans="2:27" s="17" customFormat="1" ht="18" customHeight="1">
      <c r="B15" s="15">
        <v>1</v>
      </c>
      <c r="C15" s="246" t="s">
        <v>453</v>
      </c>
      <c r="D15" s="535" t="str">
        <f>IFERROR(VLOOKUP(C15,'Full list.23'!C:K,9,FALSE),0)</f>
        <v>Lavage au Kg (KG)</v>
      </c>
      <c r="E15" s="536"/>
      <c r="F15" s="536"/>
      <c r="G15" s="536"/>
      <c r="H15" s="536"/>
      <c r="I15" s="536"/>
      <c r="J15" s="537"/>
      <c r="K15" s="538" t="s">
        <v>1474</v>
      </c>
      <c r="L15" s="539"/>
      <c r="M15" s="247">
        <v>1</v>
      </c>
      <c r="N15" s="247">
        <v>1</v>
      </c>
      <c r="O15" s="542">
        <v>5</v>
      </c>
      <c r="P15" s="543"/>
      <c r="Q15" s="534">
        <f>IFERROR(MROUND(VLOOKUP(C15,'Full list.23'!C:G,5,FALSE)/M15*N15,5),0)</f>
        <v>600</v>
      </c>
      <c r="R15" s="534"/>
      <c r="S15" s="540">
        <v>0</v>
      </c>
      <c r="T15" s="541"/>
      <c r="U15" s="496">
        <f>Q15*O15</f>
        <v>3000</v>
      </c>
      <c r="V15" s="497"/>
      <c r="W15" s="540">
        <v>0</v>
      </c>
      <c r="X15" s="541"/>
    </row>
    <row r="16" spans="2:27" s="17" customFormat="1" ht="18" customHeight="1">
      <c r="B16" s="15">
        <v>2</v>
      </c>
      <c r="C16" s="5" t="s">
        <v>34</v>
      </c>
      <c r="D16" s="354" t="str">
        <f>IFERROR(VLOOKUP(C16,'Full list.23'!C:K,9,FALSE),0)</f>
        <v>Robe (RO)</v>
      </c>
      <c r="E16" s="355"/>
      <c r="F16" s="355"/>
      <c r="G16" s="355"/>
      <c r="H16" s="355"/>
      <c r="I16" s="355"/>
      <c r="J16" s="356"/>
      <c r="K16" s="363" t="s">
        <v>1474</v>
      </c>
      <c r="L16" s="364"/>
      <c r="M16" s="16">
        <v>1</v>
      </c>
      <c r="N16" s="16">
        <v>1</v>
      </c>
      <c r="O16" s="544">
        <v>2</v>
      </c>
      <c r="P16" s="545"/>
      <c r="Q16" s="534">
        <f>IFERROR(MROUND(VLOOKUP(C16,'Full list.23'!C:G,5,FALSE)/M16*N16,5),0)</f>
        <v>700</v>
      </c>
      <c r="R16" s="534"/>
      <c r="S16" s="351">
        <f>IF($E$8="Express",IFERROR(MROUND(VLOOKUP(C16,'Full list.23'!C:G,5,FALSE)/M16*N16*1.45,5),0),IF($E$8="Normal",0))</f>
        <v>0</v>
      </c>
      <c r="T16" s="352"/>
      <c r="U16" s="376">
        <f t="shared" ref="U16:U32" si="0">Q16*O16</f>
        <v>1400</v>
      </c>
      <c r="V16" s="377"/>
      <c r="W16" s="351">
        <f t="shared" ref="W16:W32" si="1">S16*O16</f>
        <v>0</v>
      </c>
      <c r="X16" s="352"/>
    </row>
    <row r="17" spans="2:24" s="17" customFormat="1" ht="18" customHeight="1">
      <c r="B17" s="15">
        <v>3</v>
      </c>
      <c r="C17" s="5"/>
      <c r="D17" s="354">
        <f>IFERROR(VLOOKUP(C17,'Full list.23'!C:K,9,FALSE),0)</f>
        <v>0</v>
      </c>
      <c r="E17" s="355"/>
      <c r="F17" s="355"/>
      <c r="G17" s="355"/>
      <c r="H17" s="355"/>
      <c r="I17" s="355"/>
      <c r="J17" s="356"/>
      <c r="K17" s="363" t="s">
        <v>1474</v>
      </c>
      <c r="L17" s="364"/>
      <c r="M17" s="16">
        <v>1</v>
      </c>
      <c r="N17" s="16">
        <v>1</v>
      </c>
      <c r="O17" s="544"/>
      <c r="P17" s="545"/>
      <c r="Q17" s="534">
        <f>IFERROR(MROUND(VLOOKUP(C17,'Full list.23'!C:G,5,FALSE)/M17*N17,5),0)</f>
        <v>0</v>
      </c>
      <c r="R17" s="534"/>
      <c r="S17" s="351">
        <f>IF($E$8="Express",IFERROR(MROUND(VLOOKUP(C17,'Full list.23'!C:G,5,FALSE)/M17*N17*1.45,5),0),IF($E$8="Normal",0))</f>
        <v>0</v>
      </c>
      <c r="T17" s="352"/>
      <c r="U17" s="376">
        <f t="shared" si="0"/>
        <v>0</v>
      </c>
      <c r="V17" s="377"/>
      <c r="W17" s="351">
        <f t="shared" si="1"/>
        <v>0</v>
      </c>
      <c r="X17" s="352"/>
    </row>
    <row r="18" spans="2:24" s="17" customFormat="1" ht="18" customHeight="1">
      <c r="B18" s="15">
        <v>4</v>
      </c>
      <c r="C18" s="5"/>
      <c r="D18" s="354">
        <f>IFERROR(VLOOKUP(C18,'Full list.23'!C:K,9,FALSE),0)</f>
        <v>0</v>
      </c>
      <c r="E18" s="355"/>
      <c r="F18" s="355"/>
      <c r="G18" s="355"/>
      <c r="H18" s="355"/>
      <c r="I18" s="355"/>
      <c r="J18" s="356"/>
      <c r="K18" s="363" t="s">
        <v>1474</v>
      </c>
      <c r="L18" s="364"/>
      <c r="M18" s="16">
        <v>1</v>
      </c>
      <c r="N18" s="16">
        <v>1</v>
      </c>
      <c r="O18" s="544"/>
      <c r="P18" s="545"/>
      <c r="Q18" s="534">
        <f>IFERROR(MROUND(VLOOKUP(C18,'Full list.23'!C:G,5,FALSE)/M18*N18,5),0)</f>
        <v>0</v>
      </c>
      <c r="R18" s="534"/>
      <c r="S18" s="351">
        <f>IF($E$8="Express",IFERROR(MROUND(VLOOKUP(C18,'Full list.23'!C:G,5,FALSE)/M18*N18*1.45,5),0),IF($E$8="Normal",0))</f>
        <v>0</v>
      </c>
      <c r="T18" s="352"/>
      <c r="U18" s="376">
        <f t="shared" si="0"/>
        <v>0</v>
      </c>
      <c r="V18" s="377"/>
      <c r="W18" s="351">
        <f t="shared" si="1"/>
        <v>0</v>
      </c>
      <c r="X18" s="352"/>
    </row>
    <row r="19" spans="2:24" s="17" customFormat="1" ht="18" customHeight="1">
      <c r="B19" s="15">
        <v>5</v>
      </c>
      <c r="C19" s="5"/>
      <c r="D19" s="354">
        <f>IFERROR(VLOOKUP(C19,'Full list.23'!C:K,9,FALSE),0)</f>
        <v>0</v>
      </c>
      <c r="E19" s="355"/>
      <c r="F19" s="355"/>
      <c r="G19" s="355"/>
      <c r="H19" s="355"/>
      <c r="I19" s="355"/>
      <c r="J19" s="356"/>
      <c r="K19" s="363" t="s">
        <v>1474</v>
      </c>
      <c r="L19" s="364"/>
      <c r="M19" s="16">
        <v>1</v>
      </c>
      <c r="N19" s="16">
        <v>1</v>
      </c>
      <c r="O19" s="544"/>
      <c r="P19" s="545"/>
      <c r="Q19" s="534">
        <f>IFERROR(MROUND(VLOOKUP(C19,'Full list.23'!C:G,5,FALSE)/M19*N19,5),0)</f>
        <v>0</v>
      </c>
      <c r="R19" s="534"/>
      <c r="S19" s="351">
        <f>IF($E$8="Express",IFERROR(MROUND(VLOOKUP(C19,'Full list.23'!C:G,5,FALSE)/M19*N19*1.45,5),0),IF($E$8="Normal",0))</f>
        <v>0</v>
      </c>
      <c r="T19" s="352"/>
      <c r="U19" s="376">
        <f t="shared" si="0"/>
        <v>0</v>
      </c>
      <c r="V19" s="377"/>
      <c r="W19" s="351">
        <f t="shared" si="1"/>
        <v>0</v>
      </c>
      <c r="X19" s="352"/>
    </row>
    <row r="20" spans="2:24" s="17" customFormat="1" ht="18" customHeight="1">
      <c r="B20" s="15">
        <v>6</v>
      </c>
      <c r="C20" s="5"/>
      <c r="D20" s="354">
        <f>IFERROR(VLOOKUP(C20,'Full list.23'!C:K,9,FALSE),0)</f>
        <v>0</v>
      </c>
      <c r="E20" s="355"/>
      <c r="F20" s="355"/>
      <c r="G20" s="355"/>
      <c r="H20" s="355"/>
      <c r="I20" s="355"/>
      <c r="J20" s="356"/>
      <c r="K20" s="365" t="s">
        <v>1474</v>
      </c>
      <c r="L20" s="365"/>
      <c r="M20" s="16">
        <v>1</v>
      </c>
      <c r="N20" s="16">
        <v>1</v>
      </c>
      <c r="O20" s="544"/>
      <c r="P20" s="545"/>
      <c r="Q20" s="534">
        <f>IFERROR(MROUND(VLOOKUP(C20,'Full list.23'!C:G,5,FALSE)/M20*N20,5),0)</f>
        <v>0</v>
      </c>
      <c r="R20" s="534"/>
      <c r="S20" s="351">
        <f>IF($E$8="Express",IFERROR(MROUND(VLOOKUP(C20,'Full list.23'!C:G,5,FALSE)/M20*N20*1.45,5),0),IF($E$8="Normal",0))</f>
        <v>0</v>
      </c>
      <c r="T20" s="352"/>
      <c r="U20" s="376">
        <f t="shared" si="0"/>
        <v>0</v>
      </c>
      <c r="V20" s="377"/>
      <c r="W20" s="351">
        <f t="shared" si="1"/>
        <v>0</v>
      </c>
      <c r="X20" s="352"/>
    </row>
    <row r="21" spans="2:24" s="17" customFormat="1" ht="18" customHeight="1">
      <c r="B21" s="15">
        <v>7</v>
      </c>
      <c r="C21" s="5"/>
      <c r="D21" s="354">
        <f>IFERROR(VLOOKUP(C21,'Full list.23'!C:K,9,FALSE),0)</f>
        <v>0</v>
      </c>
      <c r="E21" s="355"/>
      <c r="F21" s="355"/>
      <c r="G21" s="355"/>
      <c r="H21" s="355"/>
      <c r="I21" s="355"/>
      <c r="J21" s="356"/>
      <c r="K21" s="365" t="s">
        <v>1474</v>
      </c>
      <c r="L21" s="365"/>
      <c r="M21" s="16">
        <v>1</v>
      </c>
      <c r="N21" s="16">
        <v>1</v>
      </c>
      <c r="O21" s="544"/>
      <c r="P21" s="545"/>
      <c r="Q21" s="534">
        <f>IFERROR(MROUND(VLOOKUP(C21,'Full list.23'!C:G,5,FALSE)/M21*N21,5),0)</f>
        <v>0</v>
      </c>
      <c r="R21" s="534"/>
      <c r="S21" s="351">
        <f>IF($E$8="Express",IFERROR(MROUND(VLOOKUP(C21,'Full list.23'!C:G,5,FALSE)/M21*N21*1.45,5),0),IF($E$8="Normal",0))</f>
        <v>0</v>
      </c>
      <c r="T21" s="352"/>
      <c r="U21" s="376">
        <f t="shared" si="0"/>
        <v>0</v>
      </c>
      <c r="V21" s="377"/>
      <c r="W21" s="351">
        <f t="shared" si="1"/>
        <v>0</v>
      </c>
      <c r="X21" s="352"/>
    </row>
    <row r="22" spans="2:24" s="17" customFormat="1" ht="18" customHeight="1">
      <c r="B22" s="15">
        <v>8</v>
      </c>
      <c r="C22" s="5"/>
      <c r="D22" s="354">
        <f>IFERROR(VLOOKUP(C22,'Full list.23'!C:K,9,FALSE),0)</f>
        <v>0</v>
      </c>
      <c r="E22" s="355"/>
      <c r="F22" s="355"/>
      <c r="G22" s="355"/>
      <c r="H22" s="355"/>
      <c r="I22" s="355"/>
      <c r="J22" s="356"/>
      <c r="K22" s="365" t="s">
        <v>1474</v>
      </c>
      <c r="L22" s="365"/>
      <c r="M22" s="16">
        <v>1</v>
      </c>
      <c r="N22" s="16">
        <v>1</v>
      </c>
      <c r="O22" s="544"/>
      <c r="P22" s="545"/>
      <c r="Q22" s="534">
        <f>IFERROR(MROUND(VLOOKUP(C22,'Full list.23'!C:G,5,FALSE)/M22*N22,5),0)</f>
        <v>0</v>
      </c>
      <c r="R22" s="534"/>
      <c r="S22" s="351">
        <f>IF($E$8="Express",IFERROR(MROUND(VLOOKUP(C22,'Full list.23'!C:G,5,FALSE)/M22*N22*1.45,5),0),IF($E$8="Normal",0))</f>
        <v>0</v>
      </c>
      <c r="T22" s="352"/>
      <c r="U22" s="376">
        <f t="shared" si="0"/>
        <v>0</v>
      </c>
      <c r="V22" s="377"/>
      <c r="W22" s="351">
        <f t="shared" si="1"/>
        <v>0</v>
      </c>
      <c r="X22" s="352"/>
    </row>
    <row r="23" spans="2:24" s="17" customFormat="1" ht="18" customHeight="1">
      <c r="B23" s="15">
        <v>9</v>
      </c>
      <c r="C23" s="5"/>
      <c r="D23" s="354">
        <f>IFERROR(VLOOKUP(C23,'Full list.23'!C:K,9,FALSE),0)</f>
        <v>0</v>
      </c>
      <c r="E23" s="355"/>
      <c r="F23" s="355"/>
      <c r="G23" s="355"/>
      <c r="H23" s="355"/>
      <c r="I23" s="355"/>
      <c r="J23" s="356"/>
      <c r="K23" s="365" t="s">
        <v>1474</v>
      </c>
      <c r="L23" s="365"/>
      <c r="M23" s="16">
        <v>1</v>
      </c>
      <c r="N23" s="16">
        <v>1</v>
      </c>
      <c r="O23" s="544"/>
      <c r="P23" s="545"/>
      <c r="Q23" s="534">
        <f>IFERROR(MROUND(VLOOKUP(C23,'Full list.23'!C:G,5,FALSE)/M23*N23,5),0)</f>
        <v>0</v>
      </c>
      <c r="R23" s="534"/>
      <c r="S23" s="351">
        <f>IF($E$8="Express",IFERROR(MROUND(VLOOKUP(C23,'Full list.23'!C:G,5,FALSE)/M23*N23*1.45,5),0),IF($E$8="Normal",0))</f>
        <v>0</v>
      </c>
      <c r="T23" s="352"/>
      <c r="U23" s="376">
        <f t="shared" si="0"/>
        <v>0</v>
      </c>
      <c r="V23" s="377"/>
      <c r="W23" s="351">
        <f t="shared" si="1"/>
        <v>0</v>
      </c>
      <c r="X23" s="352"/>
    </row>
    <row r="24" spans="2:24" s="17" customFormat="1" ht="18" customHeight="1">
      <c r="B24" s="15">
        <v>10</v>
      </c>
      <c r="C24" s="5"/>
      <c r="D24" s="354">
        <f>IFERROR(VLOOKUP(C24,'Full list.23'!C:K,9,FALSE),0)</f>
        <v>0</v>
      </c>
      <c r="E24" s="355"/>
      <c r="F24" s="355"/>
      <c r="G24" s="355"/>
      <c r="H24" s="355"/>
      <c r="I24" s="355"/>
      <c r="J24" s="356"/>
      <c r="K24" s="365" t="s">
        <v>1474</v>
      </c>
      <c r="L24" s="365"/>
      <c r="M24" s="16">
        <v>1</v>
      </c>
      <c r="N24" s="16">
        <v>1</v>
      </c>
      <c r="O24" s="544"/>
      <c r="P24" s="545"/>
      <c r="Q24" s="534">
        <f>IFERROR(MROUND(VLOOKUP(C24,'Full list.23'!C:G,5,FALSE)/M24*N24,5),0)</f>
        <v>0</v>
      </c>
      <c r="R24" s="534"/>
      <c r="S24" s="351">
        <f>IF($E$8="Express",IFERROR(MROUND(VLOOKUP(C24,'Full list.23'!C:G,5,FALSE)/M24*N24*1.45,5),0),IF($E$8="Normal",0))</f>
        <v>0</v>
      </c>
      <c r="T24" s="352"/>
      <c r="U24" s="376">
        <f t="shared" si="0"/>
        <v>0</v>
      </c>
      <c r="V24" s="377"/>
      <c r="W24" s="351">
        <f t="shared" si="1"/>
        <v>0</v>
      </c>
      <c r="X24" s="352"/>
    </row>
    <row r="25" spans="2:24" s="17" customFormat="1" ht="18" customHeight="1">
      <c r="B25" s="15">
        <v>11</v>
      </c>
      <c r="C25" s="5"/>
      <c r="D25" s="354">
        <f>IFERROR(VLOOKUP(C25,'Full list.23'!C:K,9,FALSE),0)</f>
        <v>0</v>
      </c>
      <c r="E25" s="355"/>
      <c r="F25" s="355"/>
      <c r="G25" s="355"/>
      <c r="H25" s="355"/>
      <c r="I25" s="355"/>
      <c r="J25" s="356"/>
      <c r="K25" s="365" t="s">
        <v>1474</v>
      </c>
      <c r="L25" s="365"/>
      <c r="M25" s="16">
        <v>1</v>
      </c>
      <c r="N25" s="16">
        <v>1</v>
      </c>
      <c r="O25" s="544"/>
      <c r="P25" s="545"/>
      <c r="Q25" s="534">
        <f>IFERROR(MROUND(VLOOKUP(C25,'Full list.23'!C:G,5,FALSE)/M25*N25,5),0)</f>
        <v>0</v>
      </c>
      <c r="R25" s="534"/>
      <c r="S25" s="351">
        <f>IF($E$8="Express",IFERROR(MROUND(VLOOKUP(C25,'Full list.23'!C:G,5,FALSE)/M25*N25*1.45,5),0),IF($E$8="Normal",0))</f>
        <v>0</v>
      </c>
      <c r="T25" s="352"/>
      <c r="U25" s="376">
        <f t="shared" si="0"/>
        <v>0</v>
      </c>
      <c r="V25" s="377"/>
      <c r="W25" s="351">
        <f t="shared" si="1"/>
        <v>0</v>
      </c>
      <c r="X25" s="352"/>
    </row>
    <row r="26" spans="2:24" s="17" customFormat="1" ht="18" customHeight="1">
      <c r="B26" s="15">
        <v>12</v>
      </c>
      <c r="C26" s="5"/>
      <c r="D26" s="354">
        <f>IFERROR(VLOOKUP(C26,'Full list.23'!C:K,9,FALSE),0)</f>
        <v>0</v>
      </c>
      <c r="E26" s="355"/>
      <c r="F26" s="355"/>
      <c r="G26" s="355"/>
      <c r="H26" s="355"/>
      <c r="I26" s="355"/>
      <c r="J26" s="356"/>
      <c r="K26" s="365" t="s">
        <v>1474</v>
      </c>
      <c r="L26" s="365"/>
      <c r="M26" s="16">
        <v>1</v>
      </c>
      <c r="N26" s="16">
        <v>1</v>
      </c>
      <c r="O26" s="544"/>
      <c r="P26" s="545"/>
      <c r="Q26" s="534">
        <f>IFERROR(MROUND(VLOOKUP(C26,'Full list.23'!C:G,5,FALSE)/M26*N26,5),0)</f>
        <v>0</v>
      </c>
      <c r="R26" s="534"/>
      <c r="S26" s="351">
        <f>IF($E$8="Express",IFERROR(MROUND(VLOOKUP(C26,'Full list.23'!C:G,5,FALSE)/M26*N26*1.45,5),0),IF($E$8="Normal",0))</f>
        <v>0</v>
      </c>
      <c r="T26" s="352"/>
      <c r="U26" s="376">
        <f t="shared" si="0"/>
        <v>0</v>
      </c>
      <c r="V26" s="377"/>
      <c r="W26" s="351">
        <f t="shared" si="1"/>
        <v>0</v>
      </c>
      <c r="X26" s="352"/>
    </row>
    <row r="27" spans="2:24" s="17" customFormat="1" ht="18" customHeight="1" thickBot="1">
      <c r="B27" s="15">
        <v>13</v>
      </c>
      <c r="C27" s="5"/>
      <c r="D27" s="354">
        <f>IFERROR(VLOOKUP(C27,'Full list.23'!C:K,9,FALSE),0)</f>
        <v>0</v>
      </c>
      <c r="E27" s="355"/>
      <c r="F27" s="355"/>
      <c r="G27" s="355"/>
      <c r="H27" s="355"/>
      <c r="I27" s="355"/>
      <c r="J27" s="356"/>
      <c r="K27" s="365" t="s">
        <v>1474</v>
      </c>
      <c r="L27" s="365"/>
      <c r="M27" s="16">
        <v>1</v>
      </c>
      <c r="N27" s="16">
        <v>1</v>
      </c>
      <c r="O27" s="544"/>
      <c r="P27" s="545"/>
      <c r="Q27" s="534">
        <f>IFERROR(MROUND(VLOOKUP(C27,'Full list.23'!C:G,5,FALSE)/M27*N27,5),0)</f>
        <v>0</v>
      </c>
      <c r="R27" s="534"/>
      <c r="S27" s="351">
        <f>IF($E$8="Express",IFERROR(MROUND(VLOOKUP(C27,'Full list.23'!C:G,5,FALSE)/M27*N27*1.45,5),0),IF($E$8="Normal",0))</f>
        <v>0</v>
      </c>
      <c r="T27" s="352"/>
      <c r="U27" s="376">
        <f t="shared" si="0"/>
        <v>0</v>
      </c>
      <c r="V27" s="377"/>
      <c r="W27" s="351">
        <f t="shared" si="1"/>
        <v>0</v>
      </c>
      <c r="X27" s="352"/>
    </row>
    <row r="28" spans="2:24" s="17" customFormat="1" ht="18" hidden="1" customHeight="1" thickBot="1">
      <c r="B28" s="15">
        <v>14</v>
      </c>
      <c r="C28" s="5"/>
      <c r="D28" s="354">
        <f>IFERROR(VLOOKUP(C28,'Full list.23'!C:K,9,FALSE),0)</f>
        <v>0</v>
      </c>
      <c r="E28" s="355"/>
      <c r="F28" s="355"/>
      <c r="G28" s="355"/>
      <c r="H28" s="355"/>
      <c r="I28" s="355"/>
      <c r="J28" s="356"/>
      <c r="K28" s="365" t="s">
        <v>1474</v>
      </c>
      <c r="L28" s="365"/>
      <c r="M28" s="16">
        <v>1</v>
      </c>
      <c r="N28" s="16">
        <v>1</v>
      </c>
      <c r="O28" s="544"/>
      <c r="P28" s="545"/>
      <c r="Q28" s="534">
        <f>IFERROR(MROUND(VLOOKUP(C28,'Full list.23'!C:G,5,FALSE)/M28*N28,5),0)</f>
        <v>0</v>
      </c>
      <c r="R28" s="534"/>
      <c r="S28" s="351">
        <f>IF($E$8="Express",IFERROR(MROUND(VLOOKUP(C28,'Full list.23'!C:G,5,FALSE)/M28*N28*1.45,5),0),IF($E$8="Normal",0))</f>
        <v>0</v>
      </c>
      <c r="T28" s="352"/>
      <c r="U28" s="376">
        <f t="shared" si="0"/>
        <v>0</v>
      </c>
      <c r="V28" s="377"/>
      <c r="W28" s="351">
        <f t="shared" si="1"/>
        <v>0</v>
      </c>
      <c r="X28" s="352"/>
    </row>
    <row r="29" spans="2:24" s="17" customFormat="1" ht="18" hidden="1" customHeight="1">
      <c r="B29" s="15">
        <v>15</v>
      </c>
      <c r="C29" s="5"/>
      <c r="D29" s="354">
        <f>IFERROR(VLOOKUP(C29,'Full list.23'!C:K,9,FALSE),0)</f>
        <v>0</v>
      </c>
      <c r="E29" s="355"/>
      <c r="F29" s="355"/>
      <c r="G29" s="355"/>
      <c r="H29" s="355"/>
      <c r="I29" s="355"/>
      <c r="J29" s="356"/>
      <c r="K29" s="365" t="s">
        <v>1474</v>
      </c>
      <c r="L29" s="365"/>
      <c r="M29" s="16">
        <v>1</v>
      </c>
      <c r="N29" s="16">
        <v>1</v>
      </c>
      <c r="O29" s="544"/>
      <c r="P29" s="545"/>
      <c r="Q29" s="534">
        <f>IFERROR(MROUND(VLOOKUP(C29,'Full list.23'!C:G,5,FALSE)/M29*N29,5),0)</f>
        <v>0</v>
      </c>
      <c r="R29" s="534"/>
      <c r="S29" s="351">
        <f>IF($E$8="Express",IFERROR(MROUND(VLOOKUP(C29,'Full list.23'!C:G,5,FALSE)/M29*N29*1.45,5),0),IF($E$8="Normal",0))</f>
        <v>0</v>
      </c>
      <c r="T29" s="352"/>
      <c r="U29" s="376">
        <f t="shared" si="0"/>
        <v>0</v>
      </c>
      <c r="V29" s="377"/>
      <c r="W29" s="351">
        <f t="shared" si="1"/>
        <v>0</v>
      </c>
      <c r="X29" s="352"/>
    </row>
    <row r="30" spans="2:24" s="17" customFormat="1" ht="18" hidden="1" customHeight="1">
      <c r="B30" s="15">
        <v>16</v>
      </c>
      <c r="C30" s="5"/>
      <c r="D30" s="354">
        <f>IFERROR(VLOOKUP(C30,'Full list.23'!C:K,9,FALSE),0)</f>
        <v>0</v>
      </c>
      <c r="E30" s="355"/>
      <c r="F30" s="355"/>
      <c r="G30" s="355"/>
      <c r="H30" s="355"/>
      <c r="I30" s="355"/>
      <c r="J30" s="356"/>
      <c r="K30" s="365" t="s">
        <v>1474</v>
      </c>
      <c r="L30" s="365"/>
      <c r="M30" s="16">
        <v>1</v>
      </c>
      <c r="N30" s="16">
        <v>1</v>
      </c>
      <c r="O30" s="544"/>
      <c r="P30" s="545"/>
      <c r="Q30" s="534">
        <f>IFERROR(MROUND(VLOOKUP(C30,'Full list.23'!C:G,5,FALSE)/M30*N30,5),0)</f>
        <v>0</v>
      </c>
      <c r="R30" s="534"/>
      <c r="S30" s="351">
        <f>IF($E$8="Express",IFERROR(MROUND(VLOOKUP(C30,'Full list.23'!C:G,5,FALSE)/M30*N30*1.45,5),0),IF($E$8="Normal",0))</f>
        <v>0</v>
      </c>
      <c r="T30" s="352"/>
      <c r="U30" s="376">
        <f t="shared" si="0"/>
        <v>0</v>
      </c>
      <c r="V30" s="377"/>
      <c r="W30" s="351">
        <f t="shared" si="1"/>
        <v>0</v>
      </c>
      <c r="X30" s="352"/>
    </row>
    <row r="31" spans="2:24" s="17" customFormat="1" ht="17.55" hidden="1" customHeight="1">
      <c r="B31" s="15">
        <v>17</v>
      </c>
      <c r="C31" s="5"/>
      <c r="D31" s="354">
        <f>IFERROR(VLOOKUP(C31,'Full list.23'!C:K,9,FALSE),0)</f>
        <v>0</v>
      </c>
      <c r="E31" s="355"/>
      <c r="F31" s="355"/>
      <c r="G31" s="355"/>
      <c r="H31" s="355"/>
      <c r="I31" s="355"/>
      <c r="J31" s="356"/>
      <c r="K31" s="365" t="s">
        <v>1474</v>
      </c>
      <c r="L31" s="365"/>
      <c r="M31" s="16">
        <v>1</v>
      </c>
      <c r="N31" s="16">
        <v>1</v>
      </c>
      <c r="O31" s="544"/>
      <c r="P31" s="545"/>
      <c r="Q31" s="534">
        <f>IFERROR(MROUND(VLOOKUP(C31,'Full list.23'!C:G,5,FALSE)/M31*N31,5),0)</f>
        <v>0</v>
      </c>
      <c r="R31" s="534"/>
      <c r="S31" s="351">
        <f>IF($E$8="Express",IFERROR(MROUND(VLOOKUP(C31,'Full list.23'!C:G,5,FALSE)/M31*N31*1.45,5),0),IF($E$8="Normal",0))</f>
        <v>0</v>
      </c>
      <c r="T31" s="352"/>
      <c r="U31" s="376">
        <f t="shared" si="0"/>
        <v>0</v>
      </c>
      <c r="V31" s="377"/>
      <c r="W31" s="351">
        <f t="shared" si="1"/>
        <v>0</v>
      </c>
      <c r="X31" s="352"/>
    </row>
    <row r="32" spans="2:24" s="17" customFormat="1" ht="15" hidden="1" customHeight="1" thickBot="1">
      <c r="B32" s="15">
        <v>20</v>
      </c>
      <c r="C32" s="5"/>
      <c r="D32" s="354">
        <f>IFERROR(VLOOKUP(C32,'Full list.23'!C:K,9,FALSE),0)</f>
        <v>0</v>
      </c>
      <c r="E32" s="355"/>
      <c r="F32" s="355"/>
      <c r="G32" s="355"/>
      <c r="H32" s="355"/>
      <c r="I32" s="355"/>
      <c r="J32" s="356"/>
      <c r="K32" s="365" t="s">
        <v>1474</v>
      </c>
      <c r="L32" s="365"/>
      <c r="M32" s="16">
        <v>1</v>
      </c>
      <c r="N32" s="16">
        <v>1</v>
      </c>
      <c r="O32" s="544"/>
      <c r="P32" s="545"/>
      <c r="Q32" s="534">
        <f>IFERROR(MROUND(VLOOKUP(C32,'Full list.23'!C:G,5,FALSE)/M32*N32,5),0)</f>
        <v>0</v>
      </c>
      <c r="R32" s="534"/>
      <c r="S32" s="351">
        <f>IF($E$8="Express",IFERROR(MROUND(VLOOKUP(C32,'Full list.23'!C:G,5,FALSE)/M32*N32*1.45,5),0),IF($E$8="Normal",0))</f>
        <v>0</v>
      </c>
      <c r="T32" s="352"/>
      <c r="U32" s="376">
        <f t="shared" si="0"/>
        <v>0</v>
      </c>
      <c r="V32" s="377"/>
      <c r="W32" s="351">
        <f t="shared" si="1"/>
        <v>0</v>
      </c>
      <c r="X32" s="352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600">
        <f>SUM(O16:P32)</f>
        <v>2</v>
      </c>
      <c r="P33" s="601"/>
      <c r="Q33" s="618" t="s">
        <v>1753</v>
      </c>
      <c r="R33" s="619"/>
      <c r="S33" s="619"/>
      <c r="T33" s="620"/>
      <c r="U33" s="615">
        <f>IF(E8="Express",SUM(W15:X32)+U15,SUM(U15:V32))</f>
        <v>4400</v>
      </c>
      <c r="V33" s="615"/>
      <c r="W33" s="615"/>
      <c r="X33" s="616"/>
    </row>
    <row r="34" spans="1:26" ht="13.05" customHeight="1" thickBot="1">
      <c r="C34" s="242"/>
      <c r="E34" s="243"/>
      <c r="F34" s="243"/>
      <c r="G34" s="243"/>
      <c r="H34" s="243"/>
      <c r="I34" s="243"/>
      <c r="J34" s="513" t="s">
        <v>156</v>
      </c>
      <c r="K34" s="513"/>
      <c r="L34" s="513"/>
      <c r="M34" s="513"/>
      <c r="N34" s="513"/>
      <c r="O34" s="598">
        <v>0</v>
      </c>
      <c r="P34" s="598"/>
      <c r="Q34" s="630">
        <v>0</v>
      </c>
      <c r="R34" s="631"/>
      <c r="S34" s="631"/>
      <c r="T34" s="632"/>
      <c r="U34" s="650">
        <f>+Q34*O34</f>
        <v>0</v>
      </c>
      <c r="V34" s="651"/>
      <c r="W34" s="651"/>
      <c r="X34" s="652"/>
    </row>
    <row r="35" spans="1:26" ht="13.05" customHeight="1" thickBot="1">
      <c r="C35" s="242"/>
      <c r="E35" s="243"/>
      <c r="F35" s="243"/>
      <c r="G35" s="243"/>
      <c r="H35" s="243"/>
      <c r="I35" s="243"/>
      <c r="J35" s="514" t="s">
        <v>157</v>
      </c>
      <c r="K35" s="514"/>
      <c r="L35" s="514"/>
      <c r="M35" s="514"/>
      <c r="N35" s="514"/>
      <c r="O35" s="613">
        <v>1</v>
      </c>
      <c r="P35" s="614"/>
      <c r="Q35" s="633">
        <v>2000</v>
      </c>
      <c r="R35" s="634"/>
      <c r="S35" s="634"/>
      <c r="T35" s="635"/>
      <c r="U35" s="650">
        <f t="shared" ref="U35:U36" si="2">+Q35*O35</f>
        <v>2000</v>
      </c>
      <c r="V35" s="651"/>
      <c r="W35" s="651">
        <f>S35*P35</f>
        <v>0</v>
      </c>
      <c r="X35" s="652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624" t="s">
        <v>1761</v>
      </c>
      <c r="K36" s="624"/>
      <c r="L36" s="624"/>
      <c r="M36" s="624"/>
      <c r="N36" s="624"/>
      <c r="O36" s="613">
        <v>0</v>
      </c>
      <c r="P36" s="614"/>
      <c r="Q36" s="636">
        <v>0</v>
      </c>
      <c r="R36" s="637"/>
      <c r="S36" s="637"/>
      <c r="T36" s="638"/>
      <c r="U36" s="650">
        <f t="shared" si="2"/>
        <v>0</v>
      </c>
      <c r="V36" s="651"/>
      <c r="W36" s="651">
        <f>S36*P36</f>
        <v>0</v>
      </c>
      <c r="X36" s="652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621" t="s">
        <v>1762</v>
      </c>
      <c r="K37" s="622"/>
      <c r="L37" s="622"/>
      <c r="M37" s="622"/>
      <c r="N37" s="623"/>
      <c r="O37" s="625">
        <f>IF(N12="Kwabo",27%,IF(N12="Tchéké",24%,IF(N12="Kankpé",24%,IF(N12="Gankpo",25%))))</f>
        <v>0.24</v>
      </c>
      <c r="P37" s="626"/>
      <c r="Q37" s="610" t="s">
        <v>1760</v>
      </c>
      <c r="R37" s="617"/>
      <c r="S37" s="617"/>
      <c r="T37" s="611"/>
      <c r="U37" s="608">
        <f>W37/(U33-K49)</f>
        <v>0</v>
      </c>
      <c r="V37" s="609"/>
      <c r="W37" s="610">
        <f>IF(U33&gt;K49,IF(N12="kwabo",(U33-K49)*0,IF(N12="tchéké",(U33-K49)*0.05,IF(N12="Kankpé",(U33-K49)*0.07,IF(N12="Gankpo",(U33-K49)*0.1)))),0)</f>
        <v>0</v>
      </c>
      <c r="X37" s="611"/>
    </row>
    <row r="38" spans="1:26" ht="15.45" customHeight="1" thickBot="1">
      <c r="Q38" s="648" t="s">
        <v>1757</v>
      </c>
      <c r="R38" s="649"/>
      <c r="S38" s="649"/>
      <c r="T38" s="649"/>
      <c r="U38" s="627">
        <f>U33+U34+U35+U36-W37</f>
        <v>6400</v>
      </c>
      <c r="V38" s="628"/>
      <c r="W38" s="628"/>
      <c r="X38" s="629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12" t="s">
        <v>1749</v>
      </c>
      <c r="R39" s="612"/>
      <c r="S39" s="612"/>
      <c r="T39" s="612"/>
      <c r="U39" s="602">
        <f>U15</f>
        <v>3000</v>
      </c>
      <c r="V39" s="603"/>
      <c r="W39" s="603"/>
      <c r="X39" s="604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605">
        <f>+U38-U39</f>
        <v>3400</v>
      </c>
      <c r="V40" s="606"/>
      <c r="W40" s="606"/>
      <c r="X40" s="607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560" t="s">
        <v>163</v>
      </c>
      <c r="R42" s="560"/>
      <c r="S42" s="560"/>
      <c r="T42" s="560"/>
      <c r="U42" s="561">
        <f>IF(N49&lt;0,-N49,0)</f>
        <v>0</v>
      </c>
      <c r="V42" s="561"/>
      <c r="W42" s="561"/>
      <c r="X42" s="562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565" t="s">
        <v>1745</v>
      </c>
      <c r="H44" s="566"/>
      <c r="I44" s="566"/>
      <c r="J44" s="566"/>
      <c r="K44" s="566"/>
      <c r="L44" s="566"/>
      <c r="M44" s="566"/>
      <c r="N44" s="566"/>
      <c r="O44" s="566"/>
      <c r="P44" s="566"/>
      <c r="Q44" s="563" t="s">
        <v>1769</v>
      </c>
      <c r="R44" s="563"/>
      <c r="S44" s="564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1767</v>
      </c>
      <c r="L45" s="587"/>
      <c r="M45" s="587"/>
      <c r="N45" s="587" t="s">
        <v>1770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Abonné2!N46</f>
        <v>4450</v>
      </c>
      <c r="L46" s="588"/>
      <c r="M46" s="588"/>
      <c r="N46" s="596">
        <f>IF(U38&lt;=K46,K46-U38,0)</f>
        <v>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Abonné2!N47</f>
        <v>360</v>
      </c>
      <c r="L47" s="590"/>
      <c r="M47" s="590"/>
      <c r="N47" s="597">
        <f>IF(N12="Tchéké",K47-U39,IF(N12="Kankpé",K47-U39,IF(N12="Gankpo",K47-U39,IF(N12="Kwabo",0))))</f>
        <v>-2640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Abonné2!N48</f>
        <v>9190</v>
      </c>
      <c r="L48" s="582"/>
      <c r="M48" s="583"/>
      <c r="N48" s="581">
        <f>IF(N12="tchéké",K48-U40,IF(N12="kankpé",K48-U40,IF(N12="gankpo",K48-U40,IF(N12="kwabo",K49-U38))))</f>
        <v>5790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548" t="s">
        <v>1755</v>
      </c>
      <c r="H49" s="549"/>
      <c r="I49" s="549"/>
      <c r="J49" s="550"/>
      <c r="K49" s="551">
        <f>Abonné2!N49</f>
        <v>9550</v>
      </c>
      <c r="L49" s="552"/>
      <c r="M49" s="553"/>
      <c r="N49" s="554">
        <f>N47+N48</f>
        <v>3150</v>
      </c>
      <c r="O49" s="555"/>
      <c r="P49" s="556"/>
      <c r="Q49" s="557" t="s">
        <v>1756</v>
      </c>
      <c r="R49" s="558"/>
      <c r="S49" s="559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547" t="s">
        <v>1779</v>
      </c>
      <c r="G51" s="547"/>
      <c r="H51" s="547"/>
      <c r="I51" s="547"/>
      <c r="J51" s="547"/>
      <c r="K51" s="255" t="s">
        <v>1778</v>
      </c>
      <c r="L51" s="256">
        <f ca="1">(DAYS360(EOMONTH(E6,-1)+1,EOMONTH(E6,0))+1)-DAYS360(EOMONTH(E6,-1)+1,E6+1)</f>
        <v>4</v>
      </c>
      <c r="M51" s="546" t="s">
        <v>1777</v>
      </c>
      <c r="N51" s="546"/>
      <c r="O51" s="546"/>
      <c r="P51" s="546"/>
      <c r="Q51" s="546"/>
      <c r="R51" s="546"/>
      <c r="S51" s="546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</mergeCells>
  <conditionalFormatting sqref="B51:X51">
    <cfRule type="expression" dxfId="11" priority="2">
      <formula>$L$51&gt;11</formula>
    </cfRule>
    <cfRule type="expression" dxfId="10" priority="3">
      <formula>$L$51&lt;=11</formula>
    </cfRule>
  </conditionalFormatting>
  <conditionalFormatting sqref="K51:L51">
    <cfRule type="expression" dxfId="9" priority="1">
      <formula>$L$51&lt;=11</formula>
    </cfRule>
  </conditionalFormatting>
  <dataValidations count="4">
    <dataValidation type="list" allowBlank="1" showInputMessage="1" showErrorMessage="1" sqref="K15:L32" xr:uid="{5D893E84-A0DF-4523-9760-DFDA7B8AFCE2}">
      <formula1>"Bébé,Enfant,Repassage,Express,_"</formula1>
    </dataValidation>
    <dataValidation type="list" allowBlank="1" showInputMessage="1" showErrorMessage="1" sqref="E8:G8" xr:uid="{2DE75CDB-9CC9-453F-813D-205723B46150}">
      <formula1>"Express,Normal"</formula1>
    </dataValidation>
    <dataValidation type="list" allowBlank="1" showInputMessage="1" showErrorMessage="1" sqref="S12:T12" xr:uid="{B7B444D0-94B2-4F58-921A-56E89B9666D5}">
      <formula1>"OUI,NON"</formula1>
    </dataValidation>
    <dataValidation type="list" allowBlank="1" showInputMessage="1" showErrorMessage="1" sqref="N12:P12" xr:uid="{B64ABE85-3E41-4382-884A-5E166E92E14B}">
      <formula1>"Kwabo,Tchéké,Kankpé,Gankpo"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AC3C-2894-4898-9577-25601BD1F3EA}">
  <sheetPr>
    <tabColor rgb="FF00B0F0"/>
  </sheetPr>
  <dimension ref="A1:AA58"/>
  <sheetViews>
    <sheetView topLeftCell="A2" zoomScale="90" zoomScaleNormal="90" workbookViewId="0">
      <selection activeCell="J37" sqref="J37:N37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82" t="s">
        <v>1763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89" t="s">
        <v>1468</v>
      </c>
      <c r="M5" s="390"/>
      <c r="N5" s="390"/>
      <c r="O5" s="390"/>
      <c r="P5" s="390"/>
      <c r="Q5" s="39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08" t="s">
        <v>1476</v>
      </c>
      <c r="C6" s="408"/>
      <c r="D6" s="408"/>
      <c r="E6" s="407">
        <f ca="1">TODAY()</f>
        <v>45531</v>
      </c>
      <c r="F6" s="407"/>
      <c r="G6" s="407"/>
      <c r="H6" s="158"/>
      <c r="L6" s="392"/>
      <c r="M6" s="393"/>
      <c r="N6" s="393"/>
      <c r="O6" s="393"/>
      <c r="P6" s="393"/>
      <c r="Q6" s="394"/>
      <c r="S6" s="400" t="s">
        <v>145</v>
      </c>
      <c r="T6" s="400"/>
      <c r="U6" s="400"/>
      <c r="V6" s="395">
        <f>IF(E8="Normal",WORKDAY.INTL(I7,3,11,Fériés!A:A),IF(E8="Express",WORKDAY.INTL(I7,1,11,Fériés!A:A)))</f>
        <v>45384</v>
      </c>
      <c r="W6" s="395"/>
      <c r="X6" s="395"/>
      <c r="Y6" s="162"/>
    </row>
    <row r="7" spans="2:27" s="3" customFormat="1" ht="13.95" customHeight="1">
      <c r="B7" s="398" t="s">
        <v>143</v>
      </c>
      <c r="C7" s="398"/>
      <c r="D7" s="398"/>
      <c r="E7" s="3">
        <v>1001</v>
      </c>
      <c r="F7" s="135" t="s">
        <v>1475</v>
      </c>
      <c r="G7" s="160" t="s">
        <v>484</v>
      </c>
      <c r="H7" s="161" t="s">
        <v>1475</v>
      </c>
      <c r="I7" s="409">
        <v>45383</v>
      </c>
      <c r="J7" s="409"/>
      <c r="L7" s="401" t="s">
        <v>1469</v>
      </c>
      <c r="M7" s="402"/>
      <c r="N7" s="402"/>
      <c r="O7" s="402"/>
      <c r="P7" s="402"/>
      <c r="Q7" s="403"/>
      <c r="S7" s="396" t="s">
        <v>148</v>
      </c>
      <c r="T7" s="396"/>
      <c r="U7" s="396"/>
      <c r="V7" s="397">
        <f>WORKDAY.INTL(V6,-1,11,Fériés!A:A)</f>
        <v>45383</v>
      </c>
      <c r="W7" s="397"/>
      <c r="X7" s="397"/>
    </row>
    <row r="8" spans="2:27" s="3" customFormat="1" ht="13.95" customHeight="1" thickBot="1">
      <c r="B8" s="398" t="s">
        <v>1477</v>
      </c>
      <c r="C8" s="398"/>
      <c r="D8" s="398"/>
      <c r="E8" s="399" t="s">
        <v>175</v>
      </c>
      <c r="F8" s="399"/>
      <c r="G8" s="399"/>
      <c r="I8" s="135"/>
      <c r="L8" s="404"/>
      <c r="M8" s="405"/>
      <c r="N8" s="405"/>
      <c r="O8" s="405"/>
      <c r="P8" s="405"/>
      <c r="Q8" s="40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10" t="s">
        <v>146</v>
      </c>
      <c r="E11" s="411"/>
      <c r="F11" s="412"/>
      <c r="G11" s="410" t="s">
        <v>144</v>
      </c>
      <c r="H11" s="411"/>
      <c r="I11" s="411"/>
      <c r="J11" s="412"/>
      <c r="K11" s="410" t="s">
        <v>1464</v>
      </c>
      <c r="L11" s="411"/>
      <c r="M11" s="412"/>
      <c r="N11" s="383" t="s">
        <v>1467</v>
      </c>
      <c r="O11" s="384"/>
      <c r="P11" s="385"/>
      <c r="Q11" s="410" t="s">
        <v>1462</v>
      </c>
      <c r="R11" s="41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16" t="str">
        <f>VLOOKUP(D12,'Base Clients'!B:E,4,FALSE)</f>
        <v>AHOUNOU KEKE MELENE</v>
      </c>
      <c r="H12" s="417"/>
      <c r="I12" s="417"/>
      <c r="J12" s="418"/>
      <c r="K12" s="413" t="str">
        <f>VLOOKUP(D12,'Base Clients'!B:L,11,FALSE)</f>
        <v>Client partenaire</v>
      </c>
      <c r="L12" s="414"/>
      <c r="M12" s="415"/>
      <c r="N12" s="386" t="str">
        <f>+Abonné1!N12</f>
        <v>Kankpé</v>
      </c>
      <c r="O12" s="387"/>
      <c r="P12" s="388"/>
      <c r="Q12" s="419" t="str">
        <f>VLOOKUP(D12,'Base Clients'!B:K,10,FALSE)</f>
        <v>1 KM</v>
      </c>
      <c r="R12" s="42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358" t="s">
        <v>150</v>
      </c>
      <c r="E14" s="359"/>
      <c r="F14" s="359"/>
      <c r="G14" s="359"/>
      <c r="H14" s="359"/>
      <c r="I14" s="359"/>
      <c r="J14" s="360"/>
      <c r="K14" s="361" t="s">
        <v>1471</v>
      </c>
      <c r="L14" s="362"/>
      <c r="M14" s="138" t="s">
        <v>1472</v>
      </c>
      <c r="N14" s="163" t="s">
        <v>1473</v>
      </c>
      <c r="O14" s="532" t="s">
        <v>151</v>
      </c>
      <c r="P14" s="533"/>
      <c r="Q14" s="501" t="s">
        <v>152</v>
      </c>
      <c r="R14" s="501"/>
      <c r="S14" s="530" t="s">
        <v>1560</v>
      </c>
      <c r="T14" s="531"/>
      <c r="U14" s="349" t="s">
        <v>1758</v>
      </c>
      <c r="V14" s="350"/>
      <c r="W14" s="380" t="s">
        <v>1759</v>
      </c>
      <c r="X14" s="381"/>
    </row>
    <row r="15" spans="2:27" s="17" customFormat="1" ht="18" customHeight="1">
      <c r="B15" s="15">
        <v>1</v>
      </c>
      <c r="C15" s="246" t="s">
        <v>453</v>
      </c>
      <c r="D15" s="535" t="str">
        <f>IFERROR(VLOOKUP(C15,'Full list.23'!C:K,9,FALSE),0)</f>
        <v>Lavage au Kg (KG)</v>
      </c>
      <c r="E15" s="536"/>
      <c r="F15" s="536"/>
      <c r="G15" s="536"/>
      <c r="H15" s="536"/>
      <c r="I15" s="536"/>
      <c r="J15" s="537"/>
      <c r="K15" s="538" t="s">
        <v>1474</v>
      </c>
      <c r="L15" s="539"/>
      <c r="M15" s="247">
        <v>1</v>
      </c>
      <c r="N15" s="247">
        <v>1</v>
      </c>
      <c r="O15" s="542">
        <v>2</v>
      </c>
      <c r="P15" s="543"/>
      <c r="Q15" s="534">
        <f>IFERROR(MROUND(VLOOKUP(C15,'Full list.23'!C:G,5,FALSE)/M15*N15,5),0)</f>
        <v>600</v>
      </c>
      <c r="R15" s="534"/>
      <c r="S15" s="540">
        <v>0</v>
      </c>
      <c r="T15" s="541"/>
      <c r="U15" s="496">
        <f>Q15*O15</f>
        <v>1200</v>
      </c>
      <c r="V15" s="497"/>
      <c r="W15" s="540">
        <v>0</v>
      </c>
      <c r="X15" s="541"/>
    </row>
    <row r="16" spans="2:27" s="17" customFormat="1" ht="18" customHeight="1">
      <c r="B16" s="15">
        <v>2</v>
      </c>
      <c r="C16" s="5" t="s">
        <v>33</v>
      </c>
      <c r="D16" s="354" t="str">
        <f>IFERROR(VLOOKUP(C16,'Full list.23'!C:K,9,FALSE),0)</f>
        <v>Jupe simple (JU)</v>
      </c>
      <c r="E16" s="355"/>
      <c r="F16" s="355"/>
      <c r="G16" s="355"/>
      <c r="H16" s="355"/>
      <c r="I16" s="355"/>
      <c r="J16" s="356"/>
      <c r="K16" s="363" t="s">
        <v>1474</v>
      </c>
      <c r="L16" s="364"/>
      <c r="M16" s="16">
        <v>1</v>
      </c>
      <c r="N16" s="16">
        <v>1</v>
      </c>
      <c r="O16" s="544">
        <v>3</v>
      </c>
      <c r="P16" s="545"/>
      <c r="Q16" s="534">
        <f>IFERROR(MROUND(VLOOKUP(C16,'Full list.23'!C:G,5,FALSE)/M16*N16,5),0)</f>
        <v>700</v>
      </c>
      <c r="R16" s="534"/>
      <c r="S16" s="351">
        <f>IF($E$8="Express",IFERROR(MROUND(VLOOKUP(C16,'Full list.23'!C:G,5,FALSE)/M16*N16*1.45,5),0),IF($E$8="Normal",0))</f>
        <v>1015</v>
      </c>
      <c r="T16" s="352"/>
      <c r="U16" s="376">
        <f t="shared" ref="U16:U32" si="0">Q16*O16</f>
        <v>2100</v>
      </c>
      <c r="V16" s="377"/>
      <c r="W16" s="351">
        <f t="shared" ref="W16:W32" si="1">S16*O16</f>
        <v>3045</v>
      </c>
      <c r="X16" s="352"/>
    </row>
    <row r="17" spans="2:24" s="17" customFormat="1" ht="18" customHeight="1">
      <c r="B17" s="15">
        <v>3</v>
      </c>
      <c r="C17" s="5" t="s">
        <v>40</v>
      </c>
      <c r="D17" s="354" t="str">
        <f>IFERROR(VLOOKUP(C17,'Full list.23'!C:K,9,FALSE),0)</f>
        <v>Complet Local (CL2)</v>
      </c>
      <c r="E17" s="355"/>
      <c r="F17" s="355"/>
      <c r="G17" s="355"/>
      <c r="H17" s="355"/>
      <c r="I17" s="355"/>
      <c r="J17" s="356"/>
      <c r="K17" s="363" t="s">
        <v>1474</v>
      </c>
      <c r="L17" s="364"/>
      <c r="M17" s="16">
        <v>1</v>
      </c>
      <c r="N17" s="16">
        <v>1</v>
      </c>
      <c r="O17" s="544">
        <v>2</v>
      </c>
      <c r="P17" s="545"/>
      <c r="Q17" s="534">
        <f>IFERROR(MROUND(VLOOKUP(C17,'Full list.23'!C:G,5,FALSE)/M17*N17,5),0)</f>
        <v>1050</v>
      </c>
      <c r="R17" s="534"/>
      <c r="S17" s="351">
        <f>IF($E$8="Express",IFERROR(MROUND(VLOOKUP(C17,'Full list.23'!C:G,5,FALSE)/M17*N17*1.45,5),0),IF($E$8="Normal",0))</f>
        <v>1525</v>
      </c>
      <c r="T17" s="352"/>
      <c r="U17" s="376">
        <f t="shared" si="0"/>
        <v>2100</v>
      </c>
      <c r="V17" s="377"/>
      <c r="W17" s="351">
        <f t="shared" si="1"/>
        <v>3050</v>
      </c>
      <c r="X17" s="352"/>
    </row>
    <row r="18" spans="2:24" s="17" customFormat="1" ht="18" customHeight="1">
      <c r="B18" s="15">
        <v>4</v>
      </c>
      <c r="C18" s="5"/>
      <c r="D18" s="354">
        <f>IFERROR(VLOOKUP(C18,'Full list.23'!C:K,9,FALSE),0)</f>
        <v>0</v>
      </c>
      <c r="E18" s="355"/>
      <c r="F18" s="355"/>
      <c r="G18" s="355"/>
      <c r="H18" s="355"/>
      <c r="I18" s="355"/>
      <c r="J18" s="356"/>
      <c r="K18" s="363" t="s">
        <v>1474</v>
      </c>
      <c r="L18" s="364"/>
      <c r="M18" s="16">
        <v>1</v>
      </c>
      <c r="N18" s="16">
        <v>1</v>
      </c>
      <c r="O18" s="544"/>
      <c r="P18" s="545"/>
      <c r="Q18" s="534">
        <f>IFERROR(MROUND(VLOOKUP(C18,'Full list.23'!C:G,5,FALSE)/M18*N18,5),0)</f>
        <v>0</v>
      </c>
      <c r="R18" s="534"/>
      <c r="S18" s="351">
        <f>IF($E$8="Express",IFERROR(MROUND(VLOOKUP(C18,'Full list.23'!C:G,5,FALSE)/M18*N18*1.45,5),0),IF($E$8="Normal",0))</f>
        <v>0</v>
      </c>
      <c r="T18" s="352"/>
      <c r="U18" s="376">
        <f t="shared" si="0"/>
        <v>0</v>
      </c>
      <c r="V18" s="377"/>
      <c r="W18" s="351">
        <f t="shared" si="1"/>
        <v>0</v>
      </c>
      <c r="X18" s="352"/>
    </row>
    <row r="19" spans="2:24" s="17" customFormat="1" ht="18" customHeight="1">
      <c r="B19" s="15">
        <v>5</v>
      </c>
      <c r="C19" s="5"/>
      <c r="D19" s="354">
        <f>IFERROR(VLOOKUP(C19,'Full list.23'!C:K,9,FALSE),0)</f>
        <v>0</v>
      </c>
      <c r="E19" s="355"/>
      <c r="F19" s="355"/>
      <c r="G19" s="355"/>
      <c r="H19" s="355"/>
      <c r="I19" s="355"/>
      <c r="J19" s="356"/>
      <c r="K19" s="363" t="s">
        <v>1474</v>
      </c>
      <c r="L19" s="364"/>
      <c r="M19" s="16">
        <v>1</v>
      </c>
      <c r="N19" s="16">
        <v>1</v>
      </c>
      <c r="O19" s="544"/>
      <c r="P19" s="545"/>
      <c r="Q19" s="534">
        <f>IFERROR(MROUND(VLOOKUP(C19,'Full list.23'!C:G,5,FALSE)/M19*N19,5),0)</f>
        <v>0</v>
      </c>
      <c r="R19" s="534"/>
      <c r="S19" s="351">
        <f>IF($E$8="Express",IFERROR(MROUND(VLOOKUP(C19,'Full list.23'!C:G,5,FALSE)/M19*N19*1.45,5),0),IF($E$8="Normal",0))</f>
        <v>0</v>
      </c>
      <c r="T19" s="352"/>
      <c r="U19" s="376">
        <f t="shared" si="0"/>
        <v>0</v>
      </c>
      <c r="V19" s="377"/>
      <c r="W19" s="351">
        <f t="shared" si="1"/>
        <v>0</v>
      </c>
      <c r="X19" s="352"/>
    </row>
    <row r="20" spans="2:24" s="17" customFormat="1" ht="18" customHeight="1">
      <c r="B20" s="15">
        <v>6</v>
      </c>
      <c r="C20" s="5"/>
      <c r="D20" s="354">
        <f>IFERROR(VLOOKUP(C20,'Full list.23'!C:K,9,FALSE),0)</f>
        <v>0</v>
      </c>
      <c r="E20" s="355"/>
      <c r="F20" s="355"/>
      <c r="G20" s="355"/>
      <c r="H20" s="355"/>
      <c r="I20" s="355"/>
      <c r="J20" s="356"/>
      <c r="K20" s="365" t="s">
        <v>1474</v>
      </c>
      <c r="L20" s="365"/>
      <c r="M20" s="16">
        <v>1</v>
      </c>
      <c r="N20" s="16">
        <v>1</v>
      </c>
      <c r="O20" s="544"/>
      <c r="P20" s="545"/>
      <c r="Q20" s="534">
        <f>IFERROR(MROUND(VLOOKUP(C20,'Full list.23'!C:G,5,FALSE)/M20*N20,5),0)</f>
        <v>0</v>
      </c>
      <c r="R20" s="534"/>
      <c r="S20" s="351">
        <f>IF($E$8="Express",IFERROR(MROUND(VLOOKUP(C20,'Full list.23'!C:G,5,FALSE)/M20*N20*1.45,5),0),IF($E$8="Normal",0))</f>
        <v>0</v>
      </c>
      <c r="T20" s="352"/>
      <c r="U20" s="376">
        <f t="shared" si="0"/>
        <v>0</v>
      </c>
      <c r="V20" s="377"/>
      <c r="W20" s="351">
        <f t="shared" si="1"/>
        <v>0</v>
      </c>
      <c r="X20" s="352"/>
    </row>
    <row r="21" spans="2:24" s="17" customFormat="1" ht="18" customHeight="1">
      <c r="B21" s="15">
        <v>7</v>
      </c>
      <c r="C21" s="5"/>
      <c r="D21" s="354">
        <f>IFERROR(VLOOKUP(C21,'Full list.23'!C:K,9,FALSE),0)</f>
        <v>0</v>
      </c>
      <c r="E21" s="355"/>
      <c r="F21" s="355"/>
      <c r="G21" s="355"/>
      <c r="H21" s="355"/>
      <c r="I21" s="355"/>
      <c r="J21" s="356"/>
      <c r="K21" s="365" t="s">
        <v>1474</v>
      </c>
      <c r="L21" s="365"/>
      <c r="M21" s="16">
        <v>1</v>
      </c>
      <c r="N21" s="16">
        <v>1</v>
      </c>
      <c r="O21" s="544"/>
      <c r="P21" s="545"/>
      <c r="Q21" s="534">
        <f>IFERROR(MROUND(VLOOKUP(C21,'Full list.23'!C:G,5,FALSE)/M21*N21,5),0)</f>
        <v>0</v>
      </c>
      <c r="R21" s="534"/>
      <c r="S21" s="351">
        <f>IF($E$8="Express",IFERROR(MROUND(VLOOKUP(C21,'Full list.23'!C:G,5,FALSE)/M21*N21*1.45,5),0),IF($E$8="Normal",0))</f>
        <v>0</v>
      </c>
      <c r="T21" s="352"/>
      <c r="U21" s="376">
        <f t="shared" si="0"/>
        <v>0</v>
      </c>
      <c r="V21" s="377"/>
      <c r="W21" s="351">
        <f t="shared" si="1"/>
        <v>0</v>
      </c>
      <c r="X21" s="352"/>
    </row>
    <row r="22" spans="2:24" s="17" customFormat="1" ht="18" customHeight="1">
      <c r="B22" s="15">
        <v>8</v>
      </c>
      <c r="C22" s="5"/>
      <c r="D22" s="354">
        <f>IFERROR(VLOOKUP(C22,'Full list.23'!C:K,9,FALSE),0)</f>
        <v>0</v>
      </c>
      <c r="E22" s="355"/>
      <c r="F22" s="355"/>
      <c r="G22" s="355"/>
      <c r="H22" s="355"/>
      <c r="I22" s="355"/>
      <c r="J22" s="356"/>
      <c r="K22" s="365" t="s">
        <v>1474</v>
      </c>
      <c r="L22" s="365"/>
      <c r="M22" s="16">
        <v>1</v>
      </c>
      <c r="N22" s="16">
        <v>1</v>
      </c>
      <c r="O22" s="544"/>
      <c r="P22" s="545"/>
      <c r="Q22" s="534">
        <f>IFERROR(MROUND(VLOOKUP(C22,'Full list.23'!C:G,5,FALSE)/M22*N22,5),0)</f>
        <v>0</v>
      </c>
      <c r="R22" s="534"/>
      <c r="S22" s="351">
        <f>IF($E$8="Express",IFERROR(MROUND(VLOOKUP(C22,'Full list.23'!C:G,5,FALSE)/M22*N22*1.45,5),0),IF($E$8="Normal",0))</f>
        <v>0</v>
      </c>
      <c r="T22" s="352"/>
      <c r="U22" s="376">
        <f t="shared" si="0"/>
        <v>0</v>
      </c>
      <c r="V22" s="377"/>
      <c r="W22" s="351">
        <f t="shared" si="1"/>
        <v>0</v>
      </c>
      <c r="X22" s="352"/>
    </row>
    <row r="23" spans="2:24" s="17" customFormat="1" ht="18" customHeight="1">
      <c r="B23" s="15">
        <v>9</v>
      </c>
      <c r="C23" s="5"/>
      <c r="D23" s="354">
        <f>IFERROR(VLOOKUP(C23,'Full list.23'!C:K,9,FALSE),0)</f>
        <v>0</v>
      </c>
      <c r="E23" s="355"/>
      <c r="F23" s="355"/>
      <c r="G23" s="355"/>
      <c r="H23" s="355"/>
      <c r="I23" s="355"/>
      <c r="J23" s="356"/>
      <c r="K23" s="365" t="s">
        <v>1474</v>
      </c>
      <c r="L23" s="365"/>
      <c r="M23" s="16">
        <v>1</v>
      </c>
      <c r="N23" s="16">
        <v>1</v>
      </c>
      <c r="O23" s="544"/>
      <c r="P23" s="545"/>
      <c r="Q23" s="534">
        <f>IFERROR(MROUND(VLOOKUP(C23,'Full list.23'!C:G,5,FALSE)/M23*N23,5),0)</f>
        <v>0</v>
      </c>
      <c r="R23" s="534"/>
      <c r="S23" s="351">
        <f>IF($E$8="Express",IFERROR(MROUND(VLOOKUP(C23,'Full list.23'!C:G,5,FALSE)/M23*N23*1.45,5),0),IF($E$8="Normal",0))</f>
        <v>0</v>
      </c>
      <c r="T23" s="352"/>
      <c r="U23" s="376">
        <f t="shared" si="0"/>
        <v>0</v>
      </c>
      <c r="V23" s="377"/>
      <c r="W23" s="351">
        <f t="shared" si="1"/>
        <v>0</v>
      </c>
      <c r="X23" s="352"/>
    </row>
    <row r="24" spans="2:24" s="17" customFormat="1" ht="18" customHeight="1">
      <c r="B24" s="15">
        <v>10</v>
      </c>
      <c r="C24" s="5"/>
      <c r="D24" s="354">
        <f>IFERROR(VLOOKUP(C24,'Full list.23'!C:K,9,FALSE),0)</f>
        <v>0</v>
      </c>
      <c r="E24" s="355"/>
      <c r="F24" s="355"/>
      <c r="G24" s="355"/>
      <c r="H24" s="355"/>
      <c r="I24" s="355"/>
      <c r="J24" s="356"/>
      <c r="K24" s="365" t="s">
        <v>1474</v>
      </c>
      <c r="L24" s="365"/>
      <c r="M24" s="16">
        <v>1</v>
      </c>
      <c r="N24" s="16">
        <v>1</v>
      </c>
      <c r="O24" s="544"/>
      <c r="P24" s="545"/>
      <c r="Q24" s="534">
        <f>IFERROR(MROUND(VLOOKUP(C24,'Full list.23'!C:G,5,FALSE)/M24*N24,5),0)</f>
        <v>0</v>
      </c>
      <c r="R24" s="534"/>
      <c r="S24" s="351">
        <f>IF($E$8="Express",IFERROR(MROUND(VLOOKUP(C24,'Full list.23'!C:G,5,FALSE)/M24*N24*1.45,5),0),IF($E$8="Normal",0))</f>
        <v>0</v>
      </c>
      <c r="T24" s="352"/>
      <c r="U24" s="376">
        <f t="shared" si="0"/>
        <v>0</v>
      </c>
      <c r="V24" s="377"/>
      <c r="W24" s="351">
        <f t="shared" si="1"/>
        <v>0</v>
      </c>
      <c r="X24" s="352"/>
    </row>
    <row r="25" spans="2:24" s="17" customFormat="1" ht="18" customHeight="1">
      <c r="B25" s="15">
        <v>11</v>
      </c>
      <c r="C25" s="5"/>
      <c r="D25" s="354">
        <f>IFERROR(VLOOKUP(C25,'Full list.23'!C:K,9,FALSE),0)</f>
        <v>0</v>
      </c>
      <c r="E25" s="355"/>
      <c r="F25" s="355"/>
      <c r="G25" s="355"/>
      <c r="H25" s="355"/>
      <c r="I25" s="355"/>
      <c r="J25" s="356"/>
      <c r="K25" s="365" t="s">
        <v>1474</v>
      </c>
      <c r="L25" s="365"/>
      <c r="M25" s="16">
        <v>1</v>
      </c>
      <c r="N25" s="16">
        <v>1</v>
      </c>
      <c r="O25" s="544"/>
      <c r="P25" s="545"/>
      <c r="Q25" s="534">
        <f>IFERROR(MROUND(VLOOKUP(C25,'Full list.23'!C:G,5,FALSE)/M25*N25,5),0)</f>
        <v>0</v>
      </c>
      <c r="R25" s="534"/>
      <c r="S25" s="351">
        <f>IF($E$8="Express",IFERROR(MROUND(VLOOKUP(C25,'Full list.23'!C:G,5,FALSE)/M25*N25*1.45,5),0),IF($E$8="Normal",0))</f>
        <v>0</v>
      </c>
      <c r="T25" s="352"/>
      <c r="U25" s="376">
        <f t="shared" si="0"/>
        <v>0</v>
      </c>
      <c r="V25" s="377"/>
      <c r="W25" s="351">
        <f t="shared" si="1"/>
        <v>0</v>
      </c>
      <c r="X25" s="352"/>
    </row>
    <row r="26" spans="2:24" s="17" customFormat="1" ht="18" customHeight="1">
      <c r="B26" s="15">
        <v>12</v>
      </c>
      <c r="C26" s="5"/>
      <c r="D26" s="354">
        <f>IFERROR(VLOOKUP(C26,'Full list.23'!C:K,9,FALSE),0)</f>
        <v>0</v>
      </c>
      <c r="E26" s="355"/>
      <c r="F26" s="355"/>
      <c r="G26" s="355"/>
      <c r="H26" s="355"/>
      <c r="I26" s="355"/>
      <c r="J26" s="356"/>
      <c r="K26" s="365" t="s">
        <v>1474</v>
      </c>
      <c r="L26" s="365"/>
      <c r="M26" s="16">
        <v>1</v>
      </c>
      <c r="N26" s="16">
        <v>1</v>
      </c>
      <c r="O26" s="544"/>
      <c r="P26" s="545"/>
      <c r="Q26" s="534">
        <f>IFERROR(MROUND(VLOOKUP(C26,'Full list.23'!C:G,5,FALSE)/M26*N26,5),0)</f>
        <v>0</v>
      </c>
      <c r="R26" s="534"/>
      <c r="S26" s="351">
        <f>IF($E$8="Express",IFERROR(MROUND(VLOOKUP(C26,'Full list.23'!C:G,5,FALSE)/M26*N26*1.45,5),0),IF($E$8="Normal",0))</f>
        <v>0</v>
      </c>
      <c r="T26" s="352"/>
      <c r="U26" s="376">
        <f t="shared" si="0"/>
        <v>0</v>
      </c>
      <c r="V26" s="377"/>
      <c r="W26" s="351">
        <f t="shared" si="1"/>
        <v>0</v>
      </c>
      <c r="X26" s="352"/>
    </row>
    <row r="27" spans="2:24" s="17" customFormat="1" ht="18" customHeight="1" thickBot="1">
      <c r="B27" s="15">
        <v>13</v>
      </c>
      <c r="C27" s="5"/>
      <c r="D27" s="354">
        <f>IFERROR(VLOOKUP(C27,'Full list.23'!C:K,9,FALSE),0)</f>
        <v>0</v>
      </c>
      <c r="E27" s="355"/>
      <c r="F27" s="355"/>
      <c r="G27" s="355"/>
      <c r="H27" s="355"/>
      <c r="I27" s="355"/>
      <c r="J27" s="356"/>
      <c r="K27" s="365" t="s">
        <v>1474</v>
      </c>
      <c r="L27" s="365"/>
      <c r="M27" s="16">
        <v>1</v>
      </c>
      <c r="N27" s="16">
        <v>1</v>
      </c>
      <c r="O27" s="544"/>
      <c r="P27" s="545"/>
      <c r="Q27" s="534">
        <f>IFERROR(MROUND(VLOOKUP(C27,'Full list.23'!C:G,5,FALSE)/M27*N27,5),0)</f>
        <v>0</v>
      </c>
      <c r="R27" s="534"/>
      <c r="S27" s="351">
        <f>IF($E$8="Express",IFERROR(MROUND(VLOOKUP(C27,'Full list.23'!C:G,5,FALSE)/M27*N27*1.45,5),0),IF($E$8="Normal",0))</f>
        <v>0</v>
      </c>
      <c r="T27" s="352"/>
      <c r="U27" s="376">
        <f t="shared" si="0"/>
        <v>0</v>
      </c>
      <c r="V27" s="377"/>
      <c r="W27" s="351">
        <f t="shared" si="1"/>
        <v>0</v>
      </c>
      <c r="X27" s="352"/>
    </row>
    <row r="28" spans="2:24" s="17" customFormat="1" ht="18" hidden="1" customHeight="1" thickBot="1">
      <c r="B28" s="15">
        <v>14</v>
      </c>
      <c r="C28" s="5"/>
      <c r="D28" s="354">
        <f>IFERROR(VLOOKUP(C28,'Full list.23'!C:K,9,FALSE),0)</f>
        <v>0</v>
      </c>
      <c r="E28" s="355"/>
      <c r="F28" s="355"/>
      <c r="G28" s="355"/>
      <c r="H28" s="355"/>
      <c r="I28" s="355"/>
      <c r="J28" s="356"/>
      <c r="K28" s="365" t="s">
        <v>1474</v>
      </c>
      <c r="L28" s="365"/>
      <c r="M28" s="16">
        <v>1</v>
      </c>
      <c r="N28" s="16">
        <v>1</v>
      </c>
      <c r="O28" s="544"/>
      <c r="P28" s="545"/>
      <c r="Q28" s="534">
        <f>IFERROR(MROUND(VLOOKUP(C28,'Full list.23'!C:G,5,FALSE)/M28*N28,5),0)</f>
        <v>0</v>
      </c>
      <c r="R28" s="534"/>
      <c r="S28" s="351">
        <f>IF($E$8="Express",IFERROR(MROUND(VLOOKUP(C28,'Full list.23'!C:G,5,FALSE)/M28*N28*1.45,5),0),IF($E$8="Normal",0))</f>
        <v>0</v>
      </c>
      <c r="T28" s="352"/>
      <c r="U28" s="376">
        <f t="shared" si="0"/>
        <v>0</v>
      </c>
      <c r="V28" s="377"/>
      <c r="W28" s="351">
        <f t="shared" si="1"/>
        <v>0</v>
      </c>
      <c r="X28" s="352"/>
    </row>
    <row r="29" spans="2:24" s="17" customFormat="1" ht="18" hidden="1" customHeight="1">
      <c r="B29" s="15">
        <v>15</v>
      </c>
      <c r="C29" s="5"/>
      <c r="D29" s="354">
        <f>IFERROR(VLOOKUP(C29,'Full list.23'!C:K,9,FALSE),0)</f>
        <v>0</v>
      </c>
      <c r="E29" s="355"/>
      <c r="F29" s="355"/>
      <c r="G29" s="355"/>
      <c r="H29" s="355"/>
      <c r="I29" s="355"/>
      <c r="J29" s="356"/>
      <c r="K29" s="365" t="s">
        <v>1474</v>
      </c>
      <c r="L29" s="365"/>
      <c r="M29" s="16">
        <v>1</v>
      </c>
      <c r="N29" s="16">
        <v>1</v>
      </c>
      <c r="O29" s="544"/>
      <c r="P29" s="545"/>
      <c r="Q29" s="534">
        <f>IFERROR(MROUND(VLOOKUP(C29,'Full list.23'!C:G,5,FALSE)/M29*N29,5),0)</f>
        <v>0</v>
      </c>
      <c r="R29" s="534"/>
      <c r="S29" s="351">
        <f>IF($E$8="Express",IFERROR(MROUND(VLOOKUP(C29,'Full list.23'!C:G,5,FALSE)/M29*N29*1.45,5),0),IF($E$8="Normal",0))</f>
        <v>0</v>
      </c>
      <c r="T29" s="352"/>
      <c r="U29" s="376">
        <f t="shared" si="0"/>
        <v>0</v>
      </c>
      <c r="V29" s="377"/>
      <c r="W29" s="351">
        <f t="shared" si="1"/>
        <v>0</v>
      </c>
      <c r="X29" s="352"/>
    </row>
    <row r="30" spans="2:24" s="17" customFormat="1" ht="18" hidden="1" customHeight="1">
      <c r="B30" s="15">
        <v>16</v>
      </c>
      <c r="C30" s="5"/>
      <c r="D30" s="354">
        <f>IFERROR(VLOOKUP(C30,'Full list.23'!C:K,9,FALSE),0)</f>
        <v>0</v>
      </c>
      <c r="E30" s="355"/>
      <c r="F30" s="355"/>
      <c r="G30" s="355"/>
      <c r="H30" s="355"/>
      <c r="I30" s="355"/>
      <c r="J30" s="356"/>
      <c r="K30" s="365" t="s">
        <v>1474</v>
      </c>
      <c r="L30" s="365"/>
      <c r="M30" s="16">
        <v>1</v>
      </c>
      <c r="N30" s="16">
        <v>1</v>
      </c>
      <c r="O30" s="544"/>
      <c r="P30" s="545"/>
      <c r="Q30" s="534">
        <f>IFERROR(MROUND(VLOOKUP(C30,'Full list.23'!C:G,5,FALSE)/M30*N30,5),0)</f>
        <v>0</v>
      </c>
      <c r="R30" s="534"/>
      <c r="S30" s="351">
        <f>IF($E$8="Express",IFERROR(MROUND(VLOOKUP(C30,'Full list.23'!C:G,5,FALSE)/M30*N30*1.45,5),0),IF($E$8="Normal",0))</f>
        <v>0</v>
      </c>
      <c r="T30" s="352"/>
      <c r="U30" s="376">
        <f t="shared" si="0"/>
        <v>0</v>
      </c>
      <c r="V30" s="377"/>
      <c r="W30" s="351">
        <f t="shared" si="1"/>
        <v>0</v>
      </c>
      <c r="X30" s="352"/>
    </row>
    <row r="31" spans="2:24" s="17" customFormat="1" ht="17.55" hidden="1" customHeight="1">
      <c r="B31" s="15">
        <v>17</v>
      </c>
      <c r="C31" s="5"/>
      <c r="D31" s="354">
        <f>IFERROR(VLOOKUP(C31,'Full list.23'!C:K,9,FALSE),0)</f>
        <v>0</v>
      </c>
      <c r="E31" s="355"/>
      <c r="F31" s="355"/>
      <c r="G31" s="355"/>
      <c r="H31" s="355"/>
      <c r="I31" s="355"/>
      <c r="J31" s="356"/>
      <c r="K31" s="365" t="s">
        <v>1474</v>
      </c>
      <c r="L31" s="365"/>
      <c r="M31" s="16">
        <v>1</v>
      </c>
      <c r="N31" s="16">
        <v>1</v>
      </c>
      <c r="O31" s="544"/>
      <c r="P31" s="545"/>
      <c r="Q31" s="534">
        <f>IFERROR(MROUND(VLOOKUP(C31,'Full list.23'!C:G,5,FALSE)/M31*N31,5),0)</f>
        <v>0</v>
      </c>
      <c r="R31" s="534"/>
      <c r="S31" s="351">
        <f>IF($E$8="Express",IFERROR(MROUND(VLOOKUP(C31,'Full list.23'!C:G,5,FALSE)/M31*N31*1.45,5),0),IF($E$8="Normal",0))</f>
        <v>0</v>
      </c>
      <c r="T31" s="352"/>
      <c r="U31" s="376">
        <f t="shared" si="0"/>
        <v>0</v>
      </c>
      <c r="V31" s="377"/>
      <c r="W31" s="351">
        <f t="shared" si="1"/>
        <v>0</v>
      </c>
      <c r="X31" s="352"/>
    </row>
    <row r="32" spans="2:24" s="17" customFormat="1" ht="15" hidden="1" customHeight="1" thickBot="1">
      <c r="B32" s="15">
        <v>20</v>
      </c>
      <c r="C32" s="5"/>
      <c r="D32" s="354">
        <f>IFERROR(VLOOKUP(C32,'Full list.23'!C:K,9,FALSE),0)</f>
        <v>0</v>
      </c>
      <c r="E32" s="355"/>
      <c r="F32" s="355"/>
      <c r="G32" s="355"/>
      <c r="H32" s="355"/>
      <c r="I32" s="355"/>
      <c r="J32" s="356"/>
      <c r="K32" s="365" t="s">
        <v>1474</v>
      </c>
      <c r="L32" s="365"/>
      <c r="M32" s="16">
        <v>1</v>
      </c>
      <c r="N32" s="16">
        <v>1</v>
      </c>
      <c r="O32" s="544"/>
      <c r="P32" s="545"/>
      <c r="Q32" s="534">
        <f>IFERROR(MROUND(VLOOKUP(C32,'Full list.23'!C:G,5,FALSE)/M32*N32,5),0)</f>
        <v>0</v>
      </c>
      <c r="R32" s="534"/>
      <c r="S32" s="351">
        <f>IF($E$8="Express",IFERROR(MROUND(VLOOKUP(C32,'Full list.23'!C:G,5,FALSE)/M32*N32*1.45,5),0),IF($E$8="Normal",0))</f>
        <v>0</v>
      </c>
      <c r="T32" s="352"/>
      <c r="U32" s="376">
        <f t="shared" si="0"/>
        <v>0</v>
      </c>
      <c r="V32" s="377"/>
      <c r="W32" s="351">
        <f t="shared" si="1"/>
        <v>0</v>
      </c>
      <c r="X32" s="352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600">
        <f>SUM(O16:P32)</f>
        <v>5</v>
      </c>
      <c r="P33" s="601"/>
      <c r="Q33" s="618" t="s">
        <v>1753</v>
      </c>
      <c r="R33" s="619"/>
      <c r="S33" s="619"/>
      <c r="T33" s="620"/>
      <c r="U33" s="615">
        <f>IF(E8="Express",SUM(W15:X32)+U15,SUM(U15:V32))</f>
        <v>7295</v>
      </c>
      <c r="V33" s="615"/>
      <c r="W33" s="615"/>
      <c r="X33" s="616"/>
    </row>
    <row r="34" spans="1:26" ht="13.05" customHeight="1">
      <c r="C34" s="242"/>
      <c r="E34" s="243"/>
      <c r="F34" s="243"/>
      <c r="G34" s="243"/>
      <c r="H34" s="243"/>
      <c r="I34" s="243"/>
      <c r="J34" s="513" t="s">
        <v>156</v>
      </c>
      <c r="K34" s="513"/>
      <c r="L34" s="513"/>
      <c r="M34" s="513"/>
      <c r="N34" s="513"/>
      <c r="O34" s="598">
        <v>0</v>
      </c>
      <c r="P34" s="598"/>
      <c r="Q34" s="630">
        <v>0</v>
      </c>
      <c r="R34" s="631"/>
      <c r="S34" s="631"/>
      <c r="T34" s="632"/>
      <c r="U34" s="650">
        <f>+Q34*O34</f>
        <v>0</v>
      </c>
      <c r="V34" s="651"/>
      <c r="W34" s="651"/>
      <c r="X34" s="652"/>
    </row>
    <row r="35" spans="1:26" ht="13.05" customHeight="1">
      <c r="C35" s="242"/>
      <c r="E35" s="243"/>
      <c r="F35" s="243"/>
      <c r="G35" s="243"/>
      <c r="H35" s="243"/>
      <c r="I35" s="243"/>
      <c r="J35" s="514" t="s">
        <v>157</v>
      </c>
      <c r="K35" s="514"/>
      <c r="L35" s="514"/>
      <c r="M35" s="514"/>
      <c r="N35" s="514"/>
      <c r="O35" s="613">
        <v>0</v>
      </c>
      <c r="P35" s="614"/>
      <c r="Q35" s="633">
        <v>0</v>
      </c>
      <c r="R35" s="634"/>
      <c r="S35" s="634"/>
      <c r="T35" s="635"/>
      <c r="U35" s="653">
        <f t="shared" ref="U35:U36" si="2">+Q35*O35</f>
        <v>0</v>
      </c>
      <c r="V35" s="654"/>
      <c r="W35" s="654"/>
      <c r="X35" s="655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624" t="s">
        <v>1761</v>
      </c>
      <c r="K36" s="624"/>
      <c r="L36" s="624"/>
      <c r="M36" s="624"/>
      <c r="N36" s="624"/>
      <c r="O36" s="613">
        <v>1</v>
      </c>
      <c r="P36" s="614"/>
      <c r="Q36" s="636">
        <v>500</v>
      </c>
      <c r="R36" s="637"/>
      <c r="S36" s="637"/>
      <c r="T36" s="638"/>
      <c r="U36" s="656">
        <f t="shared" si="2"/>
        <v>500</v>
      </c>
      <c r="V36" s="657"/>
      <c r="W36" s="657"/>
      <c r="X36" s="658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621" t="s">
        <v>1762</v>
      </c>
      <c r="K37" s="622"/>
      <c r="L37" s="622"/>
      <c r="M37" s="622"/>
      <c r="N37" s="623"/>
      <c r="O37" s="625">
        <f>IF(N12="Kwabo",27%,IF(N12="Tchéké",24%,IF(N12="Kankpé",24%,IF(N12="Gankpo",25%))))</f>
        <v>0.24</v>
      </c>
      <c r="P37" s="626"/>
      <c r="Q37" s="610" t="s">
        <v>1760</v>
      </c>
      <c r="R37" s="617"/>
      <c r="S37" s="617"/>
      <c r="T37" s="611"/>
      <c r="U37" s="608">
        <f>W37/(U33-K49)</f>
        <v>7.0000000000000007E-2</v>
      </c>
      <c r="V37" s="609"/>
      <c r="W37" s="610">
        <f>IF(U33&gt;K49,IF(N12="kwabo",(U33-K49)*0,IF(N12="tchéké",(U33-K49)*0.05,IF(N12="Kankpé",(U33-K49)*0.07,IF(N12="Gankpo",(U33-K49)*0.1)))),0)</f>
        <v>290.15000000000003</v>
      </c>
      <c r="X37" s="611"/>
    </row>
    <row r="38" spans="1:26" ht="15.45" customHeight="1" thickBot="1">
      <c r="Q38" s="648" t="s">
        <v>1757</v>
      </c>
      <c r="R38" s="649"/>
      <c r="S38" s="649"/>
      <c r="T38" s="649"/>
      <c r="U38" s="627">
        <f>U33+U34+U35+U36-W37</f>
        <v>7504.85</v>
      </c>
      <c r="V38" s="628"/>
      <c r="W38" s="628"/>
      <c r="X38" s="629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12" t="s">
        <v>1749</v>
      </c>
      <c r="R39" s="612"/>
      <c r="S39" s="612"/>
      <c r="T39" s="612"/>
      <c r="U39" s="602">
        <f>U15</f>
        <v>1200</v>
      </c>
      <c r="V39" s="603"/>
      <c r="W39" s="603"/>
      <c r="X39" s="604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605">
        <f>+U38-U39</f>
        <v>6304.85</v>
      </c>
      <c r="V40" s="606"/>
      <c r="W40" s="606"/>
      <c r="X40" s="607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560" t="s">
        <v>163</v>
      </c>
      <c r="R42" s="560"/>
      <c r="S42" s="560"/>
      <c r="T42" s="560"/>
      <c r="U42" s="561">
        <f>IF(N49&lt;0,-N49,0)</f>
        <v>4354.8500000000004</v>
      </c>
      <c r="V42" s="561"/>
      <c r="W42" s="561"/>
      <c r="X42" s="562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565" t="s">
        <v>1745</v>
      </c>
      <c r="H44" s="566"/>
      <c r="I44" s="566"/>
      <c r="J44" s="566"/>
      <c r="K44" s="566"/>
      <c r="L44" s="566"/>
      <c r="M44" s="566"/>
      <c r="N44" s="566"/>
      <c r="O44" s="566"/>
      <c r="P44" s="566"/>
      <c r="Q44" s="563" t="s">
        <v>1772</v>
      </c>
      <c r="R44" s="563"/>
      <c r="S44" s="564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1770</v>
      </c>
      <c r="L45" s="587"/>
      <c r="M45" s="587"/>
      <c r="N45" s="587" t="s">
        <v>1771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Abonné3!N46</f>
        <v>0</v>
      </c>
      <c r="L46" s="588"/>
      <c r="M46" s="588"/>
      <c r="N46" s="596">
        <f>IF(U38&lt;=K46,K46-U38,0)</f>
        <v>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Abonné3!N47</f>
        <v>-2640</v>
      </c>
      <c r="L47" s="590"/>
      <c r="M47" s="590"/>
      <c r="N47" s="597">
        <f>IF(N12="Tchéké",K47-U39,IF(N12="Kankpé",K47-U39,IF(N12="Gankpo",K47-U39,IF(N12="Kwabo",0))))</f>
        <v>-3840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Abonné3!N48</f>
        <v>5790</v>
      </c>
      <c r="L48" s="582"/>
      <c r="M48" s="583"/>
      <c r="N48" s="581">
        <f>IF(N12="tchéké",K48-U40,IF(N12="kankpé",K48-U40,IF(N12="gankpo",K48-U40,IF(N12="kwabo",K49-U38))))</f>
        <v>-514.85000000000036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548" t="s">
        <v>1755</v>
      </c>
      <c r="H49" s="549"/>
      <c r="I49" s="549"/>
      <c r="J49" s="550"/>
      <c r="K49" s="551">
        <f>Abonné3!N49</f>
        <v>3150</v>
      </c>
      <c r="L49" s="552"/>
      <c r="M49" s="553"/>
      <c r="N49" s="554">
        <f>N47+N48</f>
        <v>-4354.8500000000004</v>
      </c>
      <c r="O49" s="555"/>
      <c r="P49" s="556"/>
      <c r="Q49" s="557" t="s">
        <v>1756</v>
      </c>
      <c r="R49" s="558"/>
      <c r="S49" s="559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547" t="s">
        <v>1779</v>
      </c>
      <c r="G51" s="547"/>
      <c r="H51" s="547"/>
      <c r="I51" s="547"/>
      <c r="J51" s="547"/>
      <c r="K51" s="255" t="s">
        <v>1778</v>
      </c>
      <c r="L51" s="256">
        <f ca="1">(DAYS360(EOMONTH(E6,-1)+1,EOMONTH(E6,0))+1)-DAYS360(EOMONTH(E6,-1)+1,E6+1)</f>
        <v>4</v>
      </c>
      <c r="M51" s="546" t="s">
        <v>1777</v>
      </c>
      <c r="N51" s="546"/>
      <c r="O51" s="546"/>
      <c r="P51" s="546"/>
      <c r="Q51" s="546"/>
      <c r="R51" s="546"/>
      <c r="S51" s="546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</mergeCells>
  <conditionalFormatting sqref="B51:X51">
    <cfRule type="expression" dxfId="8" priority="2">
      <formula>$L$51&gt;11</formula>
    </cfRule>
    <cfRule type="expression" dxfId="7" priority="3">
      <formula>$L$51&lt;=11</formula>
    </cfRule>
  </conditionalFormatting>
  <conditionalFormatting sqref="K51:L51">
    <cfRule type="expression" dxfId="6" priority="1">
      <formula>$L$51&lt;=11</formula>
    </cfRule>
  </conditionalFormatting>
  <dataValidations count="4">
    <dataValidation type="list" allowBlank="1" showInputMessage="1" showErrorMessage="1" sqref="N12:P12" xr:uid="{B43ED082-23C3-48A7-873B-7EC5014B985F}">
      <formula1>"Kwabo,Tchéké,Kankpé,Gankpo"</formula1>
    </dataValidation>
    <dataValidation type="list" allowBlank="1" showInputMessage="1" showErrorMessage="1" sqref="S12:T12" xr:uid="{4F9E6733-D50F-47B7-A0D7-72EDD080E7F0}">
      <formula1>"OUI,NON"</formula1>
    </dataValidation>
    <dataValidation type="list" allowBlank="1" showInputMessage="1" showErrorMessage="1" sqref="E8:G8" xr:uid="{646D662D-26B5-45FE-87A8-75ECB75DA9E0}">
      <formula1>"Express,Normal"</formula1>
    </dataValidation>
    <dataValidation type="list" allowBlank="1" showInputMessage="1" showErrorMessage="1" sqref="K15:L32" xr:uid="{083476E2-5078-4927-BC44-7574C063BB53}">
      <formula1>"Bébé,Enfant,Repassage,Express,_"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F9C0-5181-467D-A261-9BADC50CBBA0}">
  <sheetPr>
    <tabColor rgb="FF00B0F0"/>
  </sheetPr>
  <dimension ref="A1:AA58"/>
  <sheetViews>
    <sheetView topLeftCell="B22" zoomScale="90" zoomScaleNormal="90" workbookViewId="0">
      <selection activeCell="O38" sqref="O38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82" t="s">
        <v>1763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89" t="s">
        <v>1468</v>
      </c>
      <c r="M5" s="390"/>
      <c r="N5" s="390"/>
      <c r="O5" s="390"/>
      <c r="P5" s="390"/>
      <c r="Q5" s="39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08" t="s">
        <v>1476</v>
      </c>
      <c r="C6" s="408"/>
      <c r="D6" s="408"/>
      <c r="E6" s="407">
        <f ca="1">TODAY()</f>
        <v>45531</v>
      </c>
      <c r="F6" s="407"/>
      <c r="G6" s="407"/>
      <c r="H6" s="158"/>
      <c r="L6" s="392"/>
      <c r="M6" s="393"/>
      <c r="N6" s="393"/>
      <c r="O6" s="393"/>
      <c r="P6" s="393"/>
      <c r="Q6" s="394"/>
      <c r="S6" s="400" t="s">
        <v>145</v>
      </c>
      <c r="T6" s="400"/>
      <c r="U6" s="400"/>
      <c r="V6" s="395">
        <f>IF(E8="Normal",WORKDAY.INTL(I7,3,11,Fériés!A:A),IF(E8="Express",WORKDAY.INTL(I7,1,11,Fériés!A:A)))</f>
        <v>45386</v>
      </c>
      <c r="W6" s="395"/>
      <c r="X6" s="395"/>
      <c r="Y6" s="162"/>
    </row>
    <row r="7" spans="2:27" s="3" customFormat="1" ht="13.95" customHeight="1">
      <c r="B7" s="398" t="s">
        <v>143</v>
      </c>
      <c r="C7" s="398"/>
      <c r="D7" s="398"/>
      <c r="E7" s="3">
        <v>1001</v>
      </c>
      <c r="F7" s="135" t="s">
        <v>1475</v>
      </c>
      <c r="G7" s="160" t="s">
        <v>484</v>
      </c>
      <c r="H7" s="161" t="s">
        <v>1475</v>
      </c>
      <c r="I7" s="409">
        <v>45383</v>
      </c>
      <c r="J7" s="409"/>
      <c r="L7" s="401" t="s">
        <v>1469</v>
      </c>
      <c r="M7" s="402"/>
      <c r="N7" s="402"/>
      <c r="O7" s="402"/>
      <c r="P7" s="402"/>
      <c r="Q7" s="403"/>
      <c r="S7" s="396" t="s">
        <v>148</v>
      </c>
      <c r="T7" s="396"/>
      <c r="U7" s="396"/>
      <c r="V7" s="397">
        <f>WORKDAY.INTL(V6,-1,11,Fériés!A:A)</f>
        <v>45385</v>
      </c>
      <c r="W7" s="397"/>
      <c r="X7" s="397"/>
    </row>
    <row r="8" spans="2:27" s="3" customFormat="1" ht="13.95" customHeight="1" thickBot="1">
      <c r="B8" s="398" t="s">
        <v>1477</v>
      </c>
      <c r="C8" s="398"/>
      <c r="D8" s="398"/>
      <c r="E8" s="399" t="s">
        <v>1478</v>
      </c>
      <c r="F8" s="399"/>
      <c r="G8" s="399"/>
      <c r="I8" s="135"/>
      <c r="L8" s="404"/>
      <c r="M8" s="405"/>
      <c r="N8" s="405"/>
      <c r="O8" s="405"/>
      <c r="P8" s="405"/>
      <c r="Q8" s="40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10" t="s">
        <v>146</v>
      </c>
      <c r="E11" s="411"/>
      <c r="F11" s="412"/>
      <c r="G11" s="410" t="s">
        <v>144</v>
      </c>
      <c r="H11" s="411"/>
      <c r="I11" s="411"/>
      <c r="J11" s="412"/>
      <c r="K11" s="410" t="s">
        <v>1464</v>
      </c>
      <c r="L11" s="411"/>
      <c r="M11" s="412"/>
      <c r="N11" s="383" t="s">
        <v>1467</v>
      </c>
      <c r="O11" s="384"/>
      <c r="P11" s="385"/>
      <c r="Q11" s="410" t="s">
        <v>1462</v>
      </c>
      <c r="R11" s="41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16" t="str">
        <f>VLOOKUP(D12,'Base Clients'!B:E,4,FALSE)</f>
        <v>AHOUNOU KEKE MELENE</v>
      </c>
      <c r="H12" s="417"/>
      <c r="I12" s="417"/>
      <c r="J12" s="418"/>
      <c r="K12" s="413" t="str">
        <f>VLOOKUP(D12,'Base Clients'!B:L,11,FALSE)</f>
        <v>Client partenaire</v>
      </c>
      <c r="L12" s="414"/>
      <c r="M12" s="415"/>
      <c r="N12" s="386" t="str">
        <f>+Abonné1!N12</f>
        <v>Kankpé</v>
      </c>
      <c r="O12" s="387"/>
      <c r="P12" s="388"/>
      <c r="Q12" s="419" t="str">
        <f>VLOOKUP(D12,'Base Clients'!B:K,10,FALSE)</f>
        <v>1 KM</v>
      </c>
      <c r="R12" s="42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358" t="s">
        <v>150</v>
      </c>
      <c r="E14" s="359"/>
      <c r="F14" s="359"/>
      <c r="G14" s="359"/>
      <c r="H14" s="359"/>
      <c r="I14" s="359"/>
      <c r="J14" s="360"/>
      <c r="K14" s="361" t="s">
        <v>1471</v>
      </c>
      <c r="L14" s="362"/>
      <c r="M14" s="138" t="s">
        <v>1472</v>
      </c>
      <c r="N14" s="163" t="s">
        <v>1473</v>
      </c>
      <c r="O14" s="532" t="s">
        <v>151</v>
      </c>
      <c r="P14" s="533"/>
      <c r="Q14" s="501" t="s">
        <v>152</v>
      </c>
      <c r="R14" s="501"/>
      <c r="S14" s="530" t="s">
        <v>1560</v>
      </c>
      <c r="T14" s="531"/>
      <c r="U14" s="349" t="s">
        <v>1758</v>
      </c>
      <c r="V14" s="350"/>
      <c r="W14" s="380" t="s">
        <v>1759</v>
      </c>
      <c r="X14" s="381"/>
    </row>
    <row r="15" spans="2:27" s="17" customFormat="1" ht="18" customHeight="1">
      <c r="B15" s="15">
        <v>1</v>
      </c>
      <c r="C15" s="246" t="s">
        <v>453</v>
      </c>
      <c r="D15" s="535" t="str">
        <f>IFERROR(VLOOKUP(C15,'Full list.23'!C:K,9,FALSE),0)</f>
        <v>Lavage au Kg (KG)</v>
      </c>
      <c r="E15" s="536"/>
      <c r="F15" s="536"/>
      <c r="G15" s="536"/>
      <c r="H15" s="536"/>
      <c r="I15" s="536"/>
      <c r="J15" s="537"/>
      <c r="K15" s="538" t="s">
        <v>1474</v>
      </c>
      <c r="L15" s="539"/>
      <c r="M15" s="247">
        <v>1</v>
      </c>
      <c r="N15" s="247">
        <v>1</v>
      </c>
      <c r="O15" s="542">
        <v>0</v>
      </c>
      <c r="P15" s="543"/>
      <c r="Q15" s="534">
        <f>IFERROR(MROUND(VLOOKUP(C15,'Full list.23'!C:G,5,FALSE)/M15*N15,5),0)</f>
        <v>600</v>
      </c>
      <c r="R15" s="534"/>
      <c r="S15" s="540">
        <v>0</v>
      </c>
      <c r="T15" s="541"/>
      <c r="U15" s="496">
        <f>Q15*O15</f>
        <v>0</v>
      </c>
      <c r="V15" s="497"/>
      <c r="W15" s="540">
        <v>0</v>
      </c>
      <c r="X15" s="541"/>
    </row>
    <row r="16" spans="2:27" s="17" customFormat="1" ht="18" customHeight="1">
      <c r="B16" s="15">
        <v>2</v>
      </c>
      <c r="C16" s="5" t="s">
        <v>42</v>
      </c>
      <c r="D16" s="354" t="str">
        <f>IFERROR(VLOOKUP(C16,'Full list.23'!C:K,9,FALSE),0)</f>
        <v>Complet Local (CL2 v2)</v>
      </c>
      <c r="E16" s="355"/>
      <c r="F16" s="355"/>
      <c r="G16" s="355"/>
      <c r="H16" s="355"/>
      <c r="I16" s="355"/>
      <c r="J16" s="356"/>
      <c r="K16" s="363" t="s">
        <v>1474</v>
      </c>
      <c r="L16" s="364"/>
      <c r="M16" s="16">
        <v>1</v>
      </c>
      <c r="N16" s="16">
        <v>1</v>
      </c>
      <c r="O16" s="544">
        <v>6</v>
      </c>
      <c r="P16" s="545"/>
      <c r="Q16" s="534">
        <f>IFERROR(MROUND(VLOOKUP(C16,'Full list.23'!C:G,5,FALSE)/M16*N16,5),0)</f>
        <v>1250</v>
      </c>
      <c r="R16" s="534"/>
      <c r="S16" s="351">
        <f>IF($E$8="Express",IFERROR(MROUND(VLOOKUP(C16,'Full list.23'!C:G,5,FALSE)/M16*N16*1.45,5),0),IF($E$8="Normal",0))</f>
        <v>0</v>
      </c>
      <c r="T16" s="352"/>
      <c r="U16" s="376">
        <f t="shared" ref="U16:U32" si="0">Q16*O16</f>
        <v>7500</v>
      </c>
      <c r="V16" s="377"/>
      <c r="W16" s="351">
        <f t="shared" ref="W16:W32" si="1">S16*O16</f>
        <v>0</v>
      </c>
      <c r="X16" s="352"/>
    </row>
    <row r="17" spans="2:24" s="17" customFormat="1" ht="18" customHeight="1">
      <c r="B17" s="15">
        <v>3</v>
      </c>
      <c r="C17" s="5" t="s">
        <v>20</v>
      </c>
      <c r="D17" s="354" t="str">
        <f>IFERROR(VLOOKUP(C17,'Full list.23'!C:K,9,FALSE),0)</f>
        <v>Chemise (CH)</v>
      </c>
      <c r="E17" s="355"/>
      <c r="F17" s="355"/>
      <c r="G17" s="355"/>
      <c r="H17" s="355"/>
      <c r="I17" s="355"/>
      <c r="J17" s="356"/>
      <c r="K17" s="363" t="s">
        <v>1474</v>
      </c>
      <c r="L17" s="364"/>
      <c r="M17" s="16">
        <v>1</v>
      </c>
      <c r="N17" s="16">
        <v>1</v>
      </c>
      <c r="O17" s="544">
        <v>7</v>
      </c>
      <c r="P17" s="545"/>
      <c r="Q17" s="534">
        <f>IFERROR(MROUND(VLOOKUP(C17,'Full list.23'!C:G,5,FALSE)/M17*N17,5),0)</f>
        <v>700</v>
      </c>
      <c r="R17" s="534"/>
      <c r="S17" s="351">
        <f>IF($E$8="Express",IFERROR(MROUND(VLOOKUP(C17,'Full list.23'!C:G,5,FALSE)/M17*N17*1.45,5),0),IF($E$8="Normal",0))</f>
        <v>0</v>
      </c>
      <c r="T17" s="352"/>
      <c r="U17" s="376">
        <f t="shared" si="0"/>
        <v>4900</v>
      </c>
      <c r="V17" s="377"/>
      <c r="W17" s="351">
        <f t="shared" si="1"/>
        <v>0</v>
      </c>
      <c r="X17" s="352"/>
    </row>
    <row r="18" spans="2:24" s="17" customFormat="1" ht="18" customHeight="1">
      <c r="B18" s="15">
        <v>4</v>
      </c>
      <c r="C18" s="5"/>
      <c r="D18" s="354">
        <f>IFERROR(VLOOKUP(C18,'Full list.23'!C:K,9,FALSE),0)</f>
        <v>0</v>
      </c>
      <c r="E18" s="355"/>
      <c r="F18" s="355"/>
      <c r="G18" s="355"/>
      <c r="H18" s="355"/>
      <c r="I18" s="355"/>
      <c r="J18" s="356"/>
      <c r="K18" s="363" t="s">
        <v>1474</v>
      </c>
      <c r="L18" s="364"/>
      <c r="M18" s="16">
        <v>1</v>
      </c>
      <c r="N18" s="16">
        <v>1</v>
      </c>
      <c r="O18" s="544"/>
      <c r="P18" s="545"/>
      <c r="Q18" s="534">
        <f>IFERROR(MROUND(VLOOKUP(C18,'Full list.23'!C:G,5,FALSE)/M18*N18,5),0)</f>
        <v>0</v>
      </c>
      <c r="R18" s="534"/>
      <c r="S18" s="351">
        <f>IF($E$8="Express",IFERROR(MROUND(VLOOKUP(C18,'Full list.23'!C:G,5,FALSE)/M18*N18*1.45,5),0),IF($E$8="Normal",0))</f>
        <v>0</v>
      </c>
      <c r="T18" s="352"/>
      <c r="U18" s="376">
        <f t="shared" si="0"/>
        <v>0</v>
      </c>
      <c r="V18" s="377"/>
      <c r="W18" s="351">
        <f t="shared" si="1"/>
        <v>0</v>
      </c>
      <c r="X18" s="352"/>
    </row>
    <row r="19" spans="2:24" s="17" customFormat="1" ht="18" customHeight="1">
      <c r="B19" s="15">
        <v>5</v>
      </c>
      <c r="C19" s="5"/>
      <c r="D19" s="354">
        <f>IFERROR(VLOOKUP(C19,'Full list.23'!C:K,9,FALSE),0)</f>
        <v>0</v>
      </c>
      <c r="E19" s="355"/>
      <c r="F19" s="355"/>
      <c r="G19" s="355"/>
      <c r="H19" s="355"/>
      <c r="I19" s="355"/>
      <c r="J19" s="356"/>
      <c r="K19" s="363" t="s">
        <v>1474</v>
      </c>
      <c r="L19" s="364"/>
      <c r="M19" s="16">
        <v>1</v>
      </c>
      <c r="N19" s="16">
        <v>1</v>
      </c>
      <c r="O19" s="544"/>
      <c r="P19" s="545"/>
      <c r="Q19" s="534">
        <f>IFERROR(MROUND(VLOOKUP(C19,'Full list.23'!C:G,5,FALSE)/M19*N19,5),0)</f>
        <v>0</v>
      </c>
      <c r="R19" s="534"/>
      <c r="S19" s="351">
        <f>IF($E$8="Express",IFERROR(MROUND(VLOOKUP(C19,'Full list.23'!C:G,5,FALSE)/M19*N19*1.45,5),0),IF($E$8="Normal",0))</f>
        <v>0</v>
      </c>
      <c r="T19" s="352"/>
      <c r="U19" s="376">
        <f t="shared" si="0"/>
        <v>0</v>
      </c>
      <c r="V19" s="377"/>
      <c r="W19" s="351">
        <f t="shared" si="1"/>
        <v>0</v>
      </c>
      <c r="X19" s="352"/>
    </row>
    <row r="20" spans="2:24" s="17" customFormat="1" ht="18" customHeight="1">
      <c r="B20" s="15">
        <v>6</v>
      </c>
      <c r="C20" s="5"/>
      <c r="D20" s="354">
        <f>IFERROR(VLOOKUP(C20,'Full list.23'!C:K,9,FALSE),0)</f>
        <v>0</v>
      </c>
      <c r="E20" s="355"/>
      <c r="F20" s="355"/>
      <c r="G20" s="355"/>
      <c r="H20" s="355"/>
      <c r="I20" s="355"/>
      <c r="J20" s="356"/>
      <c r="K20" s="365" t="s">
        <v>1474</v>
      </c>
      <c r="L20" s="365"/>
      <c r="M20" s="16">
        <v>1</v>
      </c>
      <c r="N20" s="16">
        <v>1</v>
      </c>
      <c r="O20" s="544"/>
      <c r="P20" s="545"/>
      <c r="Q20" s="534">
        <f>IFERROR(MROUND(VLOOKUP(C20,'Full list.23'!C:G,5,FALSE)/M20*N20,5),0)</f>
        <v>0</v>
      </c>
      <c r="R20" s="534"/>
      <c r="S20" s="351">
        <f>IF($E$8="Express",IFERROR(MROUND(VLOOKUP(C20,'Full list.23'!C:G,5,FALSE)/M20*N20*1.45,5),0),IF($E$8="Normal",0))</f>
        <v>0</v>
      </c>
      <c r="T20" s="352"/>
      <c r="U20" s="376">
        <f t="shared" si="0"/>
        <v>0</v>
      </c>
      <c r="V20" s="377"/>
      <c r="W20" s="351">
        <f t="shared" si="1"/>
        <v>0</v>
      </c>
      <c r="X20" s="352"/>
    </row>
    <row r="21" spans="2:24" s="17" customFormat="1" ht="18" customHeight="1">
      <c r="B21" s="15">
        <v>7</v>
      </c>
      <c r="C21" s="5"/>
      <c r="D21" s="354">
        <f>IFERROR(VLOOKUP(C21,'Full list.23'!C:K,9,FALSE),0)</f>
        <v>0</v>
      </c>
      <c r="E21" s="355"/>
      <c r="F21" s="355"/>
      <c r="G21" s="355"/>
      <c r="H21" s="355"/>
      <c r="I21" s="355"/>
      <c r="J21" s="356"/>
      <c r="K21" s="365" t="s">
        <v>1474</v>
      </c>
      <c r="L21" s="365"/>
      <c r="M21" s="16">
        <v>1</v>
      </c>
      <c r="N21" s="16">
        <v>1</v>
      </c>
      <c r="O21" s="544"/>
      <c r="P21" s="545"/>
      <c r="Q21" s="534">
        <f>IFERROR(MROUND(VLOOKUP(C21,'Full list.23'!C:G,5,FALSE)/M21*N21,5),0)</f>
        <v>0</v>
      </c>
      <c r="R21" s="534"/>
      <c r="S21" s="351">
        <f>IF($E$8="Express",IFERROR(MROUND(VLOOKUP(C21,'Full list.23'!C:G,5,FALSE)/M21*N21*1.45,5),0),IF($E$8="Normal",0))</f>
        <v>0</v>
      </c>
      <c r="T21" s="352"/>
      <c r="U21" s="376">
        <f t="shared" si="0"/>
        <v>0</v>
      </c>
      <c r="V21" s="377"/>
      <c r="W21" s="351">
        <f t="shared" si="1"/>
        <v>0</v>
      </c>
      <c r="X21" s="352"/>
    </row>
    <row r="22" spans="2:24" s="17" customFormat="1" ht="18" customHeight="1">
      <c r="B22" s="15">
        <v>8</v>
      </c>
      <c r="C22" s="5"/>
      <c r="D22" s="354">
        <f>IFERROR(VLOOKUP(C22,'Full list.23'!C:K,9,FALSE),0)</f>
        <v>0</v>
      </c>
      <c r="E22" s="355"/>
      <c r="F22" s="355"/>
      <c r="G22" s="355"/>
      <c r="H22" s="355"/>
      <c r="I22" s="355"/>
      <c r="J22" s="356"/>
      <c r="K22" s="365" t="s">
        <v>1474</v>
      </c>
      <c r="L22" s="365"/>
      <c r="M22" s="16">
        <v>1</v>
      </c>
      <c r="N22" s="16">
        <v>1</v>
      </c>
      <c r="O22" s="544"/>
      <c r="P22" s="545"/>
      <c r="Q22" s="534">
        <f>IFERROR(MROUND(VLOOKUP(C22,'Full list.23'!C:G,5,FALSE)/M22*N22,5),0)</f>
        <v>0</v>
      </c>
      <c r="R22" s="534"/>
      <c r="S22" s="351">
        <f>IF($E$8="Express",IFERROR(MROUND(VLOOKUP(C22,'Full list.23'!C:G,5,FALSE)/M22*N22*1.45,5),0),IF($E$8="Normal",0))</f>
        <v>0</v>
      </c>
      <c r="T22" s="352"/>
      <c r="U22" s="376">
        <f t="shared" si="0"/>
        <v>0</v>
      </c>
      <c r="V22" s="377"/>
      <c r="W22" s="351">
        <f t="shared" si="1"/>
        <v>0</v>
      </c>
      <c r="X22" s="352"/>
    </row>
    <row r="23" spans="2:24" s="17" customFormat="1" ht="18" customHeight="1">
      <c r="B23" s="15">
        <v>9</v>
      </c>
      <c r="C23" s="5"/>
      <c r="D23" s="354">
        <f>IFERROR(VLOOKUP(C23,'Full list.23'!C:K,9,FALSE),0)</f>
        <v>0</v>
      </c>
      <c r="E23" s="355"/>
      <c r="F23" s="355"/>
      <c r="G23" s="355"/>
      <c r="H23" s="355"/>
      <c r="I23" s="355"/>
      <c r="J23" s="356"/>
      <c r="K23" s="365" t="s">
        <v>1474</v>
      </c>
      <c r="L23" s="365"/>
      <c r="M23" s="16">
        <v>1</v>
      </c>
      <c r="N23" s="16">
        <v>1</v>
      </c>
      <c r="O23" s="544"/>
      <c r="P23" s="545"/>
      <c r="Q23" s="534">
        <f>IFERROR(MROUND(VLOOKUP(C23,'Full list.23'!C:G,5,FALSE)/M23*N23,5),0)</f>
        <v>0</v>
      </c>
      <c r="R23" s="534"/>
      <c r="S23" s="351">
        <f>IF($E$8="Express",IFERROR(MROUND(VLOOKUP(C23,'Full list.23'!C:G,5,FALSE)/M23*N23*1.45,5),0),IF($E$8="Normal",0))</f>
        <v>0</v>
      </c>
      <c r="T23" s="352"/>
      <c r="U23" s="376">
        <f t="shared" si="0"/>
        <v>0</v>
      </c>
      <c r="V23" s="377"/>
      <c r="W23" s="351">
        <f t="shared" si="1"/>
        <v>0</v>
      </c>
      <c r="X23" s="352"/>
    </row>
    <row r="24" spans="2:24" s="17" customFormat="1" ht="18" customHeight="1">
      <c r="B24" s="15">
        <v>10</v>
      </c>
      <c r="C24" s="5"/>
      <c r="D24" s="354">
        <f>IFERROR(VLOOKUP(C24,'Full list.23'!C:K,9,FALSE),0)</f>
        <v>0</v>
      </c>
      <c r="E24" s="355"/>
      <c r="F24" s="355"/>
      <c r="G24" s="355"/>
      <c r="H24" s="355"/>
      <c r="I24" s="355"/>
      <c r="J24" s="356"/>
      <c r="K24" s="365" t="s">
        <v>1474</v>
      </c>
      <c r="L24" s="365"/>
      <c r="M24" s="16">
        <v>1</v>
      </c>
      <c r="N24" s="16">
        <v>1</v>
      </c>
      <c r="O24" s="544"/>
      <c r="P24" s="545"/>
      <c r="Q24" s="534">
        <f>IFERROR(MROUND(VLOOKUP(C24,'Full list.23'!C:G,5,FALSE)/M24*N24,5),0)</f>
        <v>0</v>
      </c>
      <c r="R24" s="534"/>
      <c r="S24" s="351">
        <f>IF($E$8="Express",IFERROR(MROUND(VLOOKUP(C24,'Full list.23'!C:G,5,FALSE)/M24*N24*1.45,5),0),IF($E$8="Normal",0))</f>
        <v>0</v>
      </c>
      <c r="T24" s="352"/>
      <c r="U24" s="376">
        <f t="shared" si="0"/>
        <v>0</v>
      </c>
      <c r="V24" s="377"/>
      <c r="W24" s="351">
        <f t="shared" si="1"/>
        <v>0</v>
      </c>
      <c r="X24" s="352"/>
    </row>
    <row r="25" spans="2:24" s="17" customFormat="1" ht="18" customHeight="1">
      <c r="B25" s="15">
        <v>11</v>
      </c>
      <c r="C25" s="5"/>
      <c r="D25" s="354">
        <f>IFERROR(VLOOKUP(C25,'Full list.23'!C:K,9,FALSE),0)</f>
        <v>0</v>
      </c>
      <c r="E25" s="355"/>
      <c r="F25" s="355"/>
      <c r="G25" s="355"/>
      <c r="H25" s="355"/>
      <c r="I25" s="355"/>
      <c r="J25" s="356"/>
      <c r="K25" s="365" t="s">
        <v>1474</v>
      </c>
      <c r="L25" s="365"/>
      <c r="M25" s="16">
        <v>1</v>
      </c>
      <c r="N25" s="16">
        <v>1</v>
      </c>
      <c r="O25" s="544"/>
      <c r="P25" s="545"/>
      <c r="Q25" s="534">
        <f>IFERROR(MROUND(VLOOKUP(C25,'Full list.23'!C:G,5,FALSE)/M25*N25,5),0)</f>
        <v>0</v>
      </c>
      <c r="R25" s="534"/>
      <c r="S25" s="351">
        <f>IF($E$8="Express",IFERROR(MROUND(VLOOKUP(C25,'Full list.23'!C:G,5,FALSE)/M25*N25*1.45,5),0),IF($E$8="Normal",0))</f>
        <v>0</v>
      </c>
      <c r="T25" s="352"/>
      <c r="U25" s="376">
        <f t="shared" si="0"/>
        <v>0</v>
      </c>
      <c r="V25" s="377"/>
      <c r="W25" s="351">
        <f t="shared" si="1"/>
        <v>0</v>
      </c>
      <c r="X25" s="352"/>
    </row>
    <row r="26" spans="2:24" s="17" customFormat="1" ht="18" customHeight="1">
      <c r="B26" s="15">
        <v>12</v>
      </c>
      <c r="C26" s="5"/>
      <c r="D26" s="354">
        <f>IFERROR(VLOOKUP(C26,'Full list.23'!C:K,9,FALSE),0)</f>
        <v>0</v>
      </c>
      <c r="E26" s="355"/>
      <c r="F26" s="355"/>
      <c r="G26" s="355"/>
      <c r="H26" s="355"/>
      <c r="I26" s="355"/>
      <c r="J26" s="356"/>
      <c r="K26" s="365" t="s">
        <v>1474</v>
      </c>
      <c r="L26" s="365"/>
      <c r="M26" s="16">
        <v>1</v>
      </c>
      <c r="N26" s="16">
        <v>1</v>
      </c>
      <c r="O26" s="544"/>
      <c r="P26" s="545"/>
      <c r="Q26" s="534">
        <f>IFERROR(MROUND(VLOOKUP(C26,'Full list.23'!C:G,5,FALSE)/M26*N26,5),0)</f>
        <v>0</v>
      </c>
      <c r="R26" s="534"/>
      <c r="S26" s="351">
        <f>IF($E$8="Express",IFERROR(MROUND(VLOOKUP(C26,'Full list.23'!C:G,5,FALSE)/M26*N26*1.45,5),0),IF($E$8="Normal",0))</f>
        <v>0</v>
      </c>
      <c r="T26" s="352"/>
      <c r="U26" s="376">
        <f t="shared" si="0"/>
        <v>0</v>
      </c>
      <c r="V26" s="377"/>
      <c r="W26" s="351">
        <f t="shared" si="1"/>
        <v>0</v>
      </c>
      <c r="X26" s="352"/>
    </row>
    <row r="27" spans="2:24" s="17" customFormat="1" ht="18" customHeight="1" thickBot="1">
      <c r="B27" s="15">
        <v>13</v>
      </c>
      <c r="C27" s="5"/>
      <c r="D27" s="354">
        <f>IFERROR(VLOOKUP(C27,'Full list.23'!C:K,9,FALSE),0)</f>
        <v>0</v>
      </c>
      <c r="E27" s="355"/>
      <c r="F27" s="355"/>
      <c r="G27" s="355"/>
      <c r="H27" s="355"/>
      <c r="I27" s="355"/>
      <c r="J27" s="356"/>
      <c r="K27" s="365" t="s">
        <v>1474</v>
      </c>
      <c r="L27" s="365"/>
      <c r="M27" s="16">
        <v>1</v>
      </c>
      <c r="N27" s="16">
        <v>1</v>
      </c>
      <c r="O27" s="544"/>
      <c r="P27" s="545"/>
      <c r="Q27" s="534">
        <f>IFERROR(MROUND(VLOOKUP(C27,'Full list.23'!C:G,5,FALSE)/M27*N27,5),0)</f>
        <v>0</v>
      </c>
      <c r="R27" s="534"/>
      <c r="S27" s="351">
        <f>IF($E$8="Express",IFERROR(MROUND(VLOOKUP(C27,'Full list.23'!C:G,5,FALSE)/M27*N27*1.45,5),0),IF($E$8="Normal",0))</f>
        <v>0</v>
      </c>
      <c r="T27" s="352"/>
      <c r="U27" s="376">
        <f t="shared" si="0"/>
        <v>0</v>
      </c>
      <c r="V27" s="377"/>
      <c r="W27" s="351">
        <f t="shared" si="1"/>
        <v>0</v>
      </c>
      <c r="X27" s="352"/>
    </row>
    <row r="28" spans="2:24" s="17" customFormat="1" ht="18" hidden="1" customHeight="1" thickBot="1">
      <c r="B28" s="15">
        <v>14</v>
      </c>
      <c r="C28" s="5"/>
      <c r="D28" s="354">
        <f>IFERROR(VLOOKUP(C28,'Full list.23'!C:K,9,FALSE),0)</f>
        <v>0</v>
      </c>
      <c r="E28" s="355"/>
      <c r="F28" s="355"/>
      <c r="G28" s="355"/>
      <c r="H28" s="355"/>
      <c r="I28" s="355"/>
      <c r="J28" s="356"/>
      <c r="K28" s="365" t="s">
        <v>1474</v>
      </c>
      <c r="L28" s="365"/>
      <c r="M28" s="16">
        <v>1</v>
      </c>
      <c r="N28" s="16">
        <v>1</v>
      </c>
      <c r="O28" s="544"/>
      <c r="P28" s="545"/>
      <c r="Q28" s="534">
        <f>IFERROR(MROUND(VLOOKUP(C28,'Full list.23'!C:G,5,FALSE)/M28*N28,5),0)</f>
        <v>0</v>
      </c>
      <c r="R28" s="534"/>
      <c r="S28" s="351">
        <f>IF($E$8="Express",IFERROR(MROUND(VLOOKUP(C28,'Full list.23'!C:G,5,FALSE)/M28*N28*1.45,5),0),IF($E$8="Normal",0))</f>
        <v>0</v>
      </c>
      <c r="T28" s="352"/>
      <c r="U28" s="376">
        <f t="shared" si="0"/>
        <v>0</v>
      </c>
      <c r="V28" s="377"/>
      <c r="W28" s="351">
        <f t="shared" si="1"/>
        <v>0</v>
      </c>
      <c r="X28" s="352"/>
    </row>
    <row r="29" spans="2:24" s="17" customFormat="1" ht="18" hidden="1" customHeight="1">
      <c r="B29" s="15">
        <v>15</v>
      </c>
      <c r="C29" s="5"/>
      <c r="D29" s="354">
        <f>IFERROR(VLOOKUP(C29,'Full list.23'!C:K,9,FALSE),0)</f>
        <v>0</v>
      </c>
      <c r="E29" s="355"/>
      <c r="F29" s="355"/>
      <c r="G29" s="355"/>
      <c r="H29" s="355"/>
      <c r="I29" s="355"/>
      <c r="J29" s="356"/>
      <c r="K29" s="365" t="s">
        <v>1474</v>
      </c>
      <c r="L29" s="365"/>
      <c r="M29" s="16">
        <v>1</v>
      </c>
      <c r="N29" s="16">
        <v>1</v>
      </c>
      <c r="O29" s="544"/>
      <c r="P29" s="545"/>
      <c r="Q29" s="534">
        <f>IFERROR(MROUND(VLOOKUP(C29,'Full list.23'!C:G,5,FALSE)/M29*N29,5),0)</f>
        <v>0</v>
      </c>
      <c r="R29" s="534"/>
      <c r="S29" s="351">
        <f>IF($E$8="Express",IFERROR(MROUND(VLOOKUP(C29,'Full list.23'!C:G,5,FALSE)/M29*N29*1.45,5),0),IF($E$8="Normal",0))</f>
        <v>0</v>
      </c>
      <c r="T29" s="352"/>
      <c r="U29" s="376">
        <f t="shared" si="0"/>
        <v>0</v>
      </c>
      <c r="V29" s="377"/>
      <c r="W29" s="351">
        <f t="shared" si="1"/>
        <v>0</v>
      </c>
      <c r="X29" s="352"/>
    </row>
    <row r="30" spans="2:24" s="17" customFormat="1" ht="18" hidden="1" customHeight="1">
      <c r="B30" s="15">
        <v>16</v>
      </c>
      <c r="C30" s="5"/>
      <c r="D30" s="354">
        <f>IFERROR(VLOOKUP(C30,'Full list.23'!C:K,9,FALSE),0)</f>
        <v>0</v>
      </c>
      <c r="E30" s="355"/>
      <c r="F30" s="355"/>
      <c r="G30" s="355"/>
      <c r="H30" s="355"/>
      <c r="I30" s="355"/>
      <c r="J30" s="356"/>
      <c r="K30" s="365" t="s">
        <v>1474</v>
      </c>
      <c r="L30" s="365"/>
      <c r="M30" s="16">
        <v>1</v>
      </c>
      <c r="N30" s="16">
        <v>1</v>
      </c>
      <c r="O30" s="544"/>
      <c r="P30" s="545"/>
      <c r="Q30" s="534">
        <f>IFERROR(MROUND(VLOOKUP(C30,'Full list.23'!C:G,5,FALSE)/M30*N30,5),0)</f>
        <v>0</v>
      </c>
      <c r="R30" s="534"/>
      <c r="S30" s="351">
        <f>IF($E$8="Express",IFERROR(MROUND(VLOOKUP(C30,'Full list.23'!C:G,5,FALSE)/M30*N30*1.45,5),0),IF($E$8="Normal",0))</f>
        <v>0</v>
      </c>
      <c r="T30" s="352"/>
      <c r="U30" s="376">
        <f t="shared" si="0"/>
        <v>0</v>
      </c>
      <c r="V30" s="377"/>
      <c r="W30" s="351">
        <f t="shared" si="1"/>
        <v>0</v>
      </c>
      <c r="X30" s="352"/>
    </row>
    <row r="31" spans="2:24" s="17" customFormat="1" ht="17.55" hidden="1" customHeight="1">
      <c r="B31" s="15">
        <v>17</v>
      </c>
      <c r="C31" s="5"/>
      <c r="D31" s="354">
        <f>IFERROR(VLOOKUP(C31,'Full list.23'!C:K,9,FALSE),0)</f>
        <v>0</v>
      </c>
      <c r="E31" s="355"/>
      <c r="F31" s="355"/>
      <c r="G31" s="355"/>
      <c r="H31" s="355"/>
      <c r="I31" s="355"/>
      <c r="J31" s="356"/>
      <c r="K31" s="365" t="s">
        <v>1474</v>
      </c>
      <c r="L31" s="365"/>
      <c r="M31" s="16">
        <v>1</v>
      </c>
      <c r="N31" s="16">
        <v>1</v>
      </c>
      <c r="O31" s="544"/>
      <c r="P31" s="545"/>
      <c r="Q31" s="534">
        <f>IFERROR(MROUND(VLOOKUP(C31,'Full list.23'!C:G,5,FALSE)/M31*N31,5),0)</f>
        <v>0</v>
      </c>
      <c r="R31" s="534"/>
      <c r="S31" s="351">
        <f>IF($E$8="Express",IFERROR(MROUND(VLOOKUP(C31,'Full list.23'!C:G,5,FALSE)/M31*N31*1.45,5),0),IF($E$8="Normal",0))</f>
        <v>0</v>
      </c>
      <c r="T31" s="352"/>
      <c r="U31" s="376">
        <f t="shared" si="0"/>
        <v>0</v>
      </c>
      <c r="V31" s="377"/>
      <c r="W31" s="351">
        <f t="shared" si="1"/>
        <v>0</v>
      </c>
      <c r="X31" s="352"/>
    </row>
    <row r="32" spans="2:24" s="17" customFormat="1" ht="15" hidden="1" customHeight="1" thickBot="1">
      <c r="B32" s="15">
        <v>20</v>
      </c>
      <c r="C32" s="5"/>
      <c r="D32" s="354">
        <f>IFERROR(VLOOKUP(C32,'Full list.23'!C:K,9,FALSE),0)</f>
        <v>0</v>
      </c>
      <c r="E32" s="355"/>
      <c r="F32" s="355"/>
      <c r="G32" s="355"/>
      <c r="H32" s="355"/>
      <c r="I32" s="355"/>
      <c r="J32" s="356"/>
      <c r="K32" s="365" t="s">
        <v>1474</v>
      </c>
      <c r="L32" s="365"/>
      <c r="M32" s="16">
        <v>1</v>
      </c>
      <c r="N32" s="16">
        <v>1</v>
      </c>
      <c r="O32" s="544"/>
      <c r="P32" s="545"/>
      <c r="Q32" s="534">
        <f>IFERROR(MROUND(VLOOKUP(C32,'Full list.23'!C:G,5,FALSE)/M32*N32,5),0)</f>
        <v>0</v>
      </c>
      <c r="R32" s="534"/>
      <c r="S32" s="351">
        <f>IF($E$8="Express",IFERROR(MROUND(VLOOKUP(C32,'Full list.23'!C:G,5,FALSE)/M32*N32*1.45,5),0),IF($E$8="Normal",0))</f>
        <v>0</v>
      </c>
      <c r="T32" s="352"/>
      <c r="U32" s="376">
        <f t="shared" si="0"/>
        <v>0</v>
      </c>
      <c r="V32" s="377"/>
      <c r="W32" s="351">
        <f t="shared" si="1"/>
        <v>0</v>
      </c>
      <c r="X32" s="352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600">
        <f>SUM(O16:P32)</f>
        <v>13</v>
      </c>
      <c r="P33" s="601"/>
      <c r="Q33" s="618" t="s">
        <v>1753</v>
      </c>
      <c r="R33" s="619"/>
      <c r="S33" s="619"/>
      <c r="T33" s="620"/>
      <c r="U33" s="615">
        <f>IF(E8="Express",SUM(W15:X32)+U15,SUM(U15:V32))</f>
        <v>12400</v>
      </c>
      <c r="V33" s="615"/>
      <c r="W33" s="615"/>
      <c r="X33" s="616"/>
    </row>
    <row r="34" spans="1:26" ht="13.05" customHeight="1">
      <c r="C34" s="242"/>
      <c r="E34" s="243"/>
      <c r="F34" s="243"/>
      <c r="G34" s="243"/>
      <c r="H34" s="243"/>
      <c r="I34" s="243"/>
      <c r="J34" s="513" t="s">
        <v>156</v>
      </c>
      <c r="K34" s="513"/>
      <c r="L34" s="513"/>
      <c r="M34" s="513"/>
      <c r="N34" s="513"/>
      <c r="O34" s="598">
        <v>2</v>
      </c>
      <c r="P34" s="598"/>
      <c r="Q34" s="630">
        <v>200</v>
      </c>
      <c r="R34" s="631"/>
      <c r="S34" s="631"/>
      <c r="T34" s="632"/>
      <c r="U34" s="650">
        <f>+Q34*O34</f>
        <v>400</v>
      </c>
      <c r="V34" s="651"/>
      <c r="W34" s="651"/>
      <c r="X34" s="652"/>
    </row>
    <row r="35" spans="1:26" ht="13.05" customHeight="1">
      <c r="C35" s="242"/>
      <c r="E35" s="243"/>
      <c r="F35" s="243"/>
      <c r="G35" s="243"/>
      <c r="H35" s="243"/>
      <c r="I35" s="243"/>
      <c r="J35" s="514" t="s">
        <v>157</v>
      </c>
      <c r="K35" s="514"/>
      <c r="L35" s="514"/>
      <c r="M35" s="514"/>
      <c r="N35" s="514"/>
      <c r="O35" s="613">
        <v>2</v>
      </c>
      <c r="P35" s="614"/>
      <c r="Q35" s="633">
        <v>1000</v>
      </c>
      <c r="R35" s="634"/>
      <c r="S35" s="634"/>
      <c r="T35" s="635"/>
      <c r="U35" s="653">
        <f t="shared" ref="U35:U36" si="2">+Q35*O35</f>
        <v>2000</v>
      </c>
      <c r="V35" s="654"/>
      <c r="W35" s="654"/>
      <c r="X35" s="655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624" t="s">
        <v>1761</v>
      </c>
      <c r="K36" s="624"/>
      <c r="L36" s="624"/>
      <c r="M36" s="624"/>
      <c r="N36" s="624"/>
      <c r="O36" s="613">
        <v>0</v>
      </c>
      <c r="P36" s="614"/>
      <c r="Q36" s="636">
        <v>0</v>
      </c>
      <c r="R36" s="637"/>
      <c r="S36" s="637"/>
      <c r="T36" s="638"/>
      <c r="U36" s="656">
        <f t="shared" si="2"/>
        <v>0</v>
      </c>
      <c r="V36" s="657"/>
      <c r="W36" s="657"/>
      <c r="X36" s="658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621" t="s">
        <v>1762</v>
      </c>
      <c r="K37" s="622"/>
      <c r="L37" s="622"/>
      <c r="M37" s="622"/>
      <c r="N37" s="623"/>
      <c r="O37" s="625">
        <f>IF(N12="Kwabo",27%,IF(N12="Tchéké",24%,IF(N12="Kankpé",24%,IF(N12="Gankpo",25%))))</f>
        <v>0.24</v>
      </c>
      <c r="P37" s="626"/>
      <c r="Q37" s="610" t="s">
        <v>1760</v>
      </c>
      <c r="R37" s="617"/>
      <c r="S37" s="617"/>
      <c r="T37" s="611"/>
      <c r="U37" s="608">
        <f>W37/(U33-K49)</f>
        <v>7.0000000000000007E-2</v>
      </c>
      <c r="V37" s="609"/>
      <c r="W37" s="610">
        <f>IF(U33&gt;K49,IF(N12="kwabo",(U33-K49)*0,IF(N12="tchéké",(U33-K49)*0.05,IF(N12="Kankpé",(U33-K49)*0.07,IF(N12="Gankpo",(U33-K49)*0.1)))),0)</f>
        <v>1172.8395</v>
      </c>
      <c r="X37" s="611"/>
    </row>
    <row r="38" spans="1:26" ht="15.45" customHeight="1" thickBot="1">
      <c r="Q38" s="648" t="s">
        <v>1757</v>
      </c>
      <c r="R38" s="649"/>
      <c r="S38" s="649"/>
      <c r="T38" s="649"/>
      <c r="U38" s="627">
        <f>U33+U34+U35+U36-W37</f>
        <v>13627.1605</v>
      </c>
      <c r="V38" s="628"/>
      <c r="W38" s="628"/>
      <c r="X38" s="629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12" t="s">
        <v>1749</v>
      </c>
      <c r="R39" s="612"/>
      <c r="S39" s="612"/>
      <c r="T39" s="612"/>
      <c r="U39" s="602">
        <f>U15</f>
        <v>0</v>
      </c>
      <c r="V39" s="603"/>
      <c r="W39" s="603"/>
      <c r="X39" s="604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605">
        <f>+U38-U39</f>
        <v>13627.1605</v>
      </c>
      <c r="V40" s="606"/>
      <c r="W40" s="606"/>
      <c r="X40" s="607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560" t="s">
        <v>163</v>
      </c>
      <c r="R42" s="560"/>
      <c r="S42" s="560"/>
      <c r="T42" s="560"/>
      <c r="U42" s="561">
        <f>IF(N49&lt;0,-N49,0)</f>
        <v>17982.0105</v>
      </c>
      <c r="V42" s="561"/>
      <c r="W42" s="561"/>
      <c r="X42" s="562"/>
      <c r="Y42" s="18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565" t="s">
        <v>1745</v>
      </c>
      <c r="H44" s="566"/>
      <c r="I44" s="566"/>
      <c r="J44" s="566"/>
      <c r="K44" s="566"/>
      <c r="L44" s="566"/>
      <c r="M44" s="566"/>
      <c r="N44" s="566"/>
      <c r="O44" s="566"/>
      <c r="P44" s="566"/>
      <c r="Q44" s="563" t="s">
        <v>1773</v>
      </c>
      <c r="R44" s="563"/>
      <c r="S44" s="564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1771</v>
      </c>
      <c r="L45" s="587"/>
      <c r="M45" s="587"/>
      <c r="N45" s="587" t="s">
        <v>1774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Abonné4!N46</f>
        <v>0</v>
      </c>
      <c r="L46" s="588"/>
      <c r="M46" s="588"/>
      <c r="N46" s="596">
        <f>IF(U38&lt;=K46,K46-U38,0)</f>
        <v>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Abonné4!N47</f>
        <v>-3840</v>
      </c>
      <c r="L47" s="590"/>
      <c r="M47" s="590"/>
      <c r="N47" s="597">
        <f>IF(N12="Tchéké",K47-U39,IF(N12="Kankpé",K47-U39,IF(N12="Gankpo",K47-U39,IF(N12="Kwabo",0))))</f>
        <v>-3840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Abonné4!N48</f>
        <v>-514.85000000000036</v>
      </c>
      <c r="L48" s="582"/>
      <c r="M48" s="583"/>
      <c r="N48" s="581">
        <f>IF(N12="tchéké",K48-U40,IF(N12="kankpé",K48-U40,IF(N12="gankpo",K48-U40,IF(N12="kwabo",K49-U38))))</f>
        <v>-14142.0105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548" t="s">
        <v>1755</v>
      </c>
      <c r="H49" s="549"/>
      <c r="I49" s="549"/>
      <c r="J49" s="550"/>
      <c r="K49" s="551">
        <f>Abonné4!N49</f>
        <v>-4354.8500000000004</v>
      </c>
      <c r="L49" s="552"/>
      <c r="M49" s="553"/>
      <c r="N49" s="554">
        <f>N47+N48</f>
        <v>-17982.0105</v>
      </c>
      <c r="O49" s="555"/>
      <c r="P49" s="556"/>
      <c r="Q49" s="557" t="s">
        <v>1756</v>
      </c>
      <c r="R49" s="558"/>
      <c r="S49" s="559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547" t="s">
        <v>1779</v>
      </c>
      <c r="G51" s="547"/>
      <c r="H51" s="547"/>
      <c r="I51" s="547"/>
      <c r="J51" s="547"/>
      <c r="K51" s="255" t="s">
        <v>1778</v>
      </c>
      <c r="L51" s="256">
        <f ca="1">(DAYS360(EOMONTH(E6,-1)+1,EOMONTH(E6,0))+1)-DAYS360(EOMONTH(E6,-1)+1,E6+1)</f>
        <v>4</v>
      </c>
      <c r="M51" s="546" t="s">
        <v>1777</v>
      </c>
      <c r="N51" s="546"/>
      <c r="O51" s="546"/>
      <c r="P51" s="546"/>
      <c r="Q51" s="546"/>
      <c r="R51" s="546"/>
      <c r="S51" s="546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</mergeCells>
  <conditionalFormatting sqref="B51:X51">
    <cfRule type="expression" dxfId="5" priority="2">
      <formula>$L$51&gt;11</formula>
    </cfRule>
    <cfRule type="expression" dxfId="4" priority="3">
      <formula>$L$51&lt;=11</formula>
    </cfRule>
  </conditionalFormatting>
  <conditionalFormatting sqref="K51:L51">
    <cfRule type="expression" dxfId="3" priority="1">
      <formula>$L$51&lt;=11</formula>
    </cfRule>
  </conditionalFormatting>
  <dataValidations count="4">
    <dataValidation type="list" allowBlank="1" showInputMessage="1" showErrorMessage="1" sqref="K15:L32" xr:uid="{01113EC8-9AFD-400E-9392-DED6CC103003}">
      <formula1>"Bébé,Enfant,Repassage,Express,_"</formula1>
    </dataValidation>
    <dataValidation type="list" allowBlank="1" showInputMessage="1" showErrorMessage="1" sqref="E8:G8" xr:uid="{A4706FED-6DC2-4B5A-A25F-DFD5B5E5F615}">
      <formula1>"Express,Normal"</formula1>
    </dataValidation>
    <dataValidation type="list" allowBlank="1" showInputMessage="1" showErrorMessage="1" sqref="S12:T12" xr:uid="{7AFB80EF-DDC7-4F28-AFB1-8CD0AED837E2}">
      <formula1>"OUI,NON"</formula1>
    </dataValidation>
    <dataValidation type="list" allowBlank="1" showInputMessage="1" showErrorMessage="1" sqref="N12:P12" xr:uid="{D036CA37-D840-4728-901F-EBF6741C2771}">
      <formula1>"Kwabo,Tchéké,Kankpé,Gankpo"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AD55-BC0B-42F0-8D39-5FED4AD5A8D1}">
  <sheetPr>
    <tabColor rgb="FF00B0F0"/>
  </sheetPr>
  <dimension ref="A1:AA58"/>
  <sheetViews>
    <sheetView topLeftCell="A14" zoomScale="90" zoomScaleNormal="90" workbookViewId="0">
      <selection activeCell="AA21" sqref="AA21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82" t="s">
        <v>1763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89" t="s">
        <v>1468</v>
      </c>
      <c r="M5" s="390"/>
      <c r="N5" s="390"/>
      <c r="O5" s="390"/>
      <c r="P5" s="390"/>
      <c r="Q5" s="39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08" t="s">
        <v>1476</v>
      </c>
      <c r="C6" s="408"/>
      <c r="D6" s="408"/>
      <c r="E6" s="407">
        <f ca="1">TODAY()</f>
        <v>45531</v>
      </c>
      <c r="F6" s="407"/>
      <c r="G6" s="407"/>
      <c r="H6" s="158"/>
      <c r="L6" s="392"/>
      <c r="M6" s="393"/>
      <c r="N6" s="393"/>
      <c r="O6" s="393"/>
      <c r="P6" s="393"/>
      <c r="Q6" s="394"/>
      <c r="S6" s="400" t="s">
        <v>145</v>
      </c>
      <c r="T6" s="400"/>
      <c r="U6" s="400"/>
      <c r="V6" s="395">
        <f>IF(E8="Normal",WORKDAY.INTL(I7,3,11,Fériés!A:A),IF(E8="Express",WORKDAY.INTL(I7,1,11,Fériés!A:A)))</f>
        <v>45386</v>
      </c>
      <c r="W6" s="395"/>
      <c r="X6" s="395"/>
      <c r="Y6" s="162"/>
    </row>
    <row r="7" spans="2:27" s="3" customFormat="1" ht="13.95" customHeight="1">
      <c r="B7" s="398" t="s">
        <v>143</v>
      </c>
      <c r="C7" s="398"/>
      <c r="D7" s="398"/>
      <c r="E7" s="3">
        <v>1001</v>
      </c>
      <c r="F7" s="135" t="s">
        <v>1475</v>
      </c>
      <c r="G7" s="160" t="s">
        <v>484</v>
      </c>
      <c r="H7" s="161" t="s">
        <v>1475</v>
      </c>
      <c r="I7" s="409">
        <v>45383</v>
      </c>
      <c r="J7" s="409"/>
      <c r="L7" s="401" t="s">
        <v>1469</v>
      </c>
      <c r="M7" s="402"/>
      <c r="N7" s="402"/>
      <c r="O7" s="402"/>
      <c r="P7" s="402"/>
      <c r="Q7" s="403"/>
      <c r="S7" s="396" t="s">
        <v>148</v>
      </c>
      <c r="T7" s="396"/>
      <c r="U7" s="396"/>
      <c r="V7" s="397">
        <f>WORKDAY.INTL(V6,-1,11,Fériés!A:A)</f>
        <v>45385</v>
      </c>
      <c r="W7" s="397"/>
      <c r="X7" s="397"/>
    </row>
    <row r="8" spans="2:27" s="3" customFormat="1" ht="13.95" customHeight="1" thickBot="1">
      <c r="B8" s="398" t="s">
        <v>1477</v>
      </c>
      <c r="C8" s="398"/>
      <c r="D8" s="398"/>
      <c r="E8" s="399" t="s">
        <v>1478</v>
      </c>
      <c r="F8" s="399"/>
      <c r="G8" s="399"/>
      <c r="I8" s="135"/>
      <c r="L8" s="404"/>
      <c r="M8" s="405"/>
      <c r="N8" s="405"/>
      <c r="O8" s="405"/>
      <c r="P8" s="405"/>
      <c r="Q8" s="40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10" t="s">
        <v>146</v>
      </c>
      <c r="E11" s="411"/>
      <c r="F11" s="412"/>
      <c r="G11" s="410" t="s">
        <v>144</v>
      </c>
      <c r="H11" s="411"/>
      <c r="I11" s="411"/>
      <c r="J11" s="412"/>
      <c r="K11" s="410" t="s">
        <v>1464</v>
      </c>
      <c r="L11" s="411"/>
      <c r="M11" s="412"/>
      <c r="N11" s="383" t="s">
        <v>1467</v>
      </c>
      <c r="O11" s="384"/>
      <c r="P11" s="385"/>
      <c r="Q11" s="410" t="s">
        <v>1462</v>
      </c>
      <c r="R11" s="41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16" t="str">
        <f>VLOOKUP(D12,'Base Clients'!B:E,4,FALSE)</f>
        <v>AHOUNOU KEKE MELENE</v>
      </c>
      <c r="H12" s="417"/>
      <c r="I12" s="417"/>
      <c r="J12" s="418"/>
      <c r="K12" s="413" t="str">
        <f>VLOOKUP(D12,'Base Clients'!B:L,11,FALSE)</f>
        <v>Client partenaire</v>
      </c>
      <c r="L12" s="414"/>
      <c r="M12" s="415"/>
      <c r="N12" s="386" t="str">
        <f>+Abonné1!N12</f>
        <v>Kankpé</v>
      </c>
      <c r="O12" s="387"/>
      <c r="P12" s="388"/>
      <c r="Q12" s="419" t="str">
        <f>VLOOKUP(D12,'Base Clients'!B:K,10,FALSE)</f>
        <v>1 KM</v>
      </c>
      <c r="R12" s="42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358" t="s">
        <v>150</v>
      </c>
      <c r="E14" s="359"/>
      <c r="F14" s="359"/>
      <c r="G14" s="359"/>
      <c r="H14" s="359"/>
      <c r="I14" s="359"/>
      <c r="J14" s="360"/>
      <c r="K14" s="361" t="s">
        <v>1471</v>
      </c>
      <c r="L14" s="362"/>
      <c r="M14" s="138" t="s">
        <v>1472</v>
      </c>
      <c r="N14" s="163" t="s">
        <v>1473</v>
      </c>
      <c r="O14" s="532" t="s">
        <v>151</v>
      </c>
      <c r="P14" s="533"/>
      <c r="Q14" s="501" t="s">
        <v>152</v>
      </c>
      <c r="R14" s="501"/>
      <c r="S14" s="530" t="s">
        <v>1560</v>
      </c>
      <c r="T14" s="531"/>
      <c r="U14" s="349" t="s">
        <v>1758</v>
      </c>
      <c r="V14" s="350"/>
      <c r="W14" s="380" t="s">
        <v>1759</v>
      </c>
      <c r="X14" s="381"/>
    </row>
    <row r="15" spans="2:27" s="17" customFormat="1" ht="18" customHeight="1">
      <c r="B15" s="15">
        <v>1</v>
      </c>
      <c r="C15" s="246" t="s">
        <v>453</v>
      </c>
      <c r="D15" s="535" t="str">
        <f>IFERROR(VLOOKUP(C15,'Full list.23'!C:K,9,FALSE),0)</f>
        <v>Lavage au Kg (KG)</v>
      </c>
      <c r="E15" s="536"/>
      <c r="F15" s="536"/>
      <c r="G15" s="536"/>
      <c r="H15" s="536"/>
      <c r="I15" s="536"/>
      <c r="J15" s="537"/>
      <c r="K15" s="538" t="s">
        <v>1474</v>
      </c>
      <c r="L15" s="539"/>
      <c r="M15" s="247">
        <v>1</v>
      </c>
      <c r="N15" s="247">
        <v>1</v>
      </c>
      <c r="O15" s="542">
        <v>2</v>
      </c>
      <c r="P15" s="543"/>
      <c r="Q15" s="534">
        <f>IFERROR(MROUND(VLOOKUP(C15,'Full list.23'!C:G,5,FALSE)/M15*N15,5),0)</f>
        <v>600</v>
      </c>
      <c r="R15" s="534"/>
      <c r="S15" s="540">
        <v>0</v>
      </c>
      <c r="T15" s="541"/>
      <c r="U15" s="496">
        <f>Q15*O15</f>
        <v>1200</v>
      </c>
      <c r="V15" s="497"/>
      <c r="W15" s="540">
        <v>0</v>
      </c>
      <c r="X15" s="541"/>
    </row>
    <row r="16" spans="2:27" s="17" customFormat="1" ht="18" customHeight="1">
      <c r="B16" s="15">
        <v>2</v>
      </c>
      <c r="C16" s="5" t="s">
        <v>42</v>
      </c>
      <c r="D16" s="354" t="str">
        <f>IFERROR(VLOOKUP(C16,'Full list.23'!C:K,9,FALSE),0)</f>
        <v>Complet Local (CL2 v2)</v>
      </c>
      <c r="E16" s="355"/>
      <c r="F16" s="355"/>
      <c r="G16" s="355"/>
      <c r="H16" s="355"/>
      <c r="I16" s="355"/>
      <c r="J16" s="356"/>
      <c r="K16" s="363" t="s">
        <v>1474</v>
      </c>
      <c r="L16" s="364"/>
      <c r="M16" s="16">
        <v>1</v>
      </c>
      <c r="N16" s="16">
        <v>1</v>
      </c>
      <c r="O16" s="544">
        <v>1</v>
      </c>
      <c r="P16" s="545"/>
      <c r="Q16" s="534">
        <f>IFERROR(MROUND(VLOOKUP(C16,'Full list.23'!C:G,5,FALSE)/M16*N16,5),0)</f>
        <v>1250</v>
      </c>
      <c r="R16" s="534"/>
      <c r="S16" s="351">
        <f>IF($E$8="Express",IFERROR(MROUND(VLOOKUP(C16,'Full list.23'!C:G,5,FALSE)/M16*N16*1.45,5),0),IF($E$8="Normal",0))</f>
        <v>0</v>
      </c>
      <c r="T16" s="352"/>
      <c r="U16" s="376">
        <f t="shared" ref="U16:U32" si="0">Q16*O16</f>
        <v>1250</v>
      </c>
      <c r="V16" s="377"/>
      <c r="W16" s="351">
        <f t="shared" ref="W16:W32" si="1">S16*O16</f>
        <v>0</v>
      </c>
      <c r="X16" s="352"/>
    </row>
    <row r="17" spans="2:24" s="17" customFormat="1" ht="18" customHeight="1">
      <c r="B17" s="15">
        <v>3</v>
      </c>
      <c r="C17" s="5" t="s">
        <v>20</v>
      </c>
      <c r="D17" s="354" t="str">
        <f>IFERROR(VLOOKUP(C17,'Full list.23'!C:K,9,FALSE),0)</f>
        <v>Chemise (CH)</v>
      </c>
      <c r="E17" s="355"/>
      <c r="F17" s="355"/>
      <c r="G17" s="355"/>
      <c r="H17" s="355"/>
      <c r="I17" s="355"/>
      <c r="J17" s="356"/>
      <c r="K17" s="363" t="s">
        <v>1474</v>
      </c>
      <c r="L17" s="364"/>
      <c r="M17" s="16">
        <v>1</v>
      </c>
      <c r="N17" s="16">
        <v>1</v>
      </c>
      <c r="O17" s="544">
        <v>0</v>
      </c>
      <c r="P17" s="545"/>
      <c r="Q17" s="534">
        <f>IFERROR(MROUND(VLOOKUP(C17,'Full list.23'!C:G,5,FALSE)/M17*N17,5),0)</f>
        <v>700</v>
      </c>
      <c r="R17" s="534"/>
      <c r="S17" s="351">
        <f>IF($E$8="Express",IFERROR(MROUND(VLOOKUP(C17,'Full list.23'!C:G,5,FALSE)/M17*N17*1.45,5),0),IF($E$8="Normal",0))</f>
        <v>0</v>
      </c>
      <c r="T17" s="352"/>
      <c r="U17" s="376">
        <f t="shared" si="0"/>
        <v>0</v>
      </c>
      <c r="V17" s="377"/>
      <c r="W17" s="351">
        <f t="shared" si="1"/>
        <v>0</v>
      </c>
      <c r="X17" s="352"/>
    </row>
    <row r="18" spans="2:24" s="17" customFormat="1" ht="18" customHeight="1">
      <c r="B18" s="15">
        <v>4</v>
      </c>
      <c r="C18" s="5"/>
      <c r="D18" s="354">
        <f>IFERROR(VLOOKUP(C18,'Full list.23'!C:K,9,FALSE),0)</f>
        <v>0</v>
      </c>
      <c r="E18" s="355"/>
      <c r="F18" s="355"/>
      <c r="G18" s="355"/>
      <c r="H18" s="355"/>
      <c r="I18" s="355"/>
      <c r="J18" s="356"/>
      <c r="K18" s="363" t="s">
        <v>1474</v>
      </c>
      <c r="L18" s="364"/>
      <c r="M18" s="16">
        <v>1</v>
      </c>
      <c r="N18" s="16">
        <v>1</v>
      </c>
      <c r="O18" s="544"/>
      <c r="P18" s="545"/>
      <c r="Q18" s="534">
        <f>IFERROR(MROUND(VLOOKUP(C18,'Full list.23'!C:G,5,FALSE)/M18*N18,5),0)</f>
        <v>0</v>
      </c>
      <c r="R18" s="534"/>
      <c r="S18" s="351">
        <f>IF($E$8="Express",IFERROR(MROUND(VLOOKUP(C18,'Full list.23'!C:G,5,FALSE)/M18*N18*1.45,5),0),IF($E$8="Normal",0))</f>
        <v>0</v>
      </c>
      <c r="T18" s="352"/>
      <c r="U18" s="376">
        <f t="shared" si="0"/>
        <v>0</v>
      </c>
      <c r="V18" s="377"/>
      <c r="W18" s="351">
        <f t="shared" si="1"/>
        <v>0</v>
      </c>
      <c r="X18" s="352"/>
    </row>
    <row r="19" spans="2:24" s="17" customFormat="1" ht="18" customHeight="1">
      <c r="B19" s="15">
        <v>5</v>
      </c>
      <c r="C19" s="5"/>
      <c r="D19" s="354">
        <f>IFERROR(VLOOKUP(C19,'Full list.23'!C:K,9,FALSE),0)</f>
        <v>0</v>
      </c>
      <c r="E19" s="355"/>
      <c r="F19" s="355"/>
      <c r="G19" s="355"/>
      <c r="H19" s="355"/>
      <c r="I19" s="355"/>
      <c r="J19" s="356"/>
      <c r="K19" s="363" t="s">
        <v>1474</v>
      </c>
      <c r="L19" s="364"/>
      <c r="M19" s="16">
        <v>1</v>
      </c>
      <c r="N19" s="16">
        <v>1</v>
      </c>
      <c r="O19" s="544"/>
      <c r="P19" s="545"/>
      <c r="Q19" s="534">
        <f>IFERROR(MROUND(VLOOKUP(C19,'Full list.23'!C:G,5,FALSE)/M19*N19,5),0)</f>
        <v>0</v>
      </c>
      <c r="R19" s="534"/>
      <c r="S19" s="351">
        <f>IF($E$8="Express",IFERROR(MROUND(VLOOKUP(C19,'Full list.23'!C:G,5,FALSE)/M19*N19*1.45,5),0),IF($E$8="Normal",0))</f>
        <v>0</v>
      </c>
      <c r="T19" s="352"/>
      <c r="U19" s="376">
        <f t="shared" si="0"/>
        <v>0</v>
      </c>
      <c r="V19" s="377"/>
      <c r="W19" s="351">
        <f t="shared" si="1"/>
        <v>0</v>
      </c>
      <c r="X19" s="352"/>
    </row>
    <row r="20" spans="2:24" s="17" customFormat="1" ht="18" customHeight="1">
      <c r="B20" s="15">
        <v>6</v>
      </c>
      <c r="C20" s="5"/>
      <c r="D20" s="354">
        <f>IFERROR(VLOOKUP(C20,'Full list.23'!C:K,9,FALSE),0)</f>
        <v>0</v>
      </c>
      <c r="E20" s="355"/>
      <c r="F20" s="355"/>
      <c r="G20" s="355"/>
      <c r="H20" s="355"/>
      <c r="I20" s="355"/>
      <c r="J20" s="356"/>
      <c r="K20" s="365" t="s">
        <v>1474</v>
      </c>
      <c r="L20" s="365"/>
      <c r="M20" s="16">
        <v>1</v>
      </c>
      <c r="N20" s="16">
        <v>1</v>
      </c>
      <c r="O20" s="544"/>
      <c r="P20" s="545"/>
      <c r="Q20" s="534">
        <f>IFERROR(MROUND(VLOOKUP(C20,'Full list.23'!C:G,5,FALSE)/M20*N20,5),0)</f>
        <v>0</v>
      </c>
      <c r="R20" s="534"/>
      <c r="S20" s="351">
        <f>IF($E$8="Express",IFERROR(MROUND(VLOOKUP(C20,'Full list.23'!C:G,5,FALSE)/M20*N20*1.45,5),0),IF($E$8="Normal",0))</f>
        <v>0</v>
      </c>
      <c r="T20" s="352"/>
      <c r="U20" s="376">
        <f t="shared" si="0"/>
        <v>0</v>
      </c>
      <c r="V20" s="377"/>
      <c r="W20" s="351">
        <f t="shared" si="1"/>
        <v>0</v>
      </c>
      <c r="X20" s="352"/>
    </row>
    <row r="21" spans="2:24" s="17" customFormat="1" ht="18" customHeight="1">
      <c r="B21" s="15">
        <v>7</v>
      </c>
      <c r="C21" s="5"/>
      <c r="D21" s="354">
        <f>IFERROR(VLOOKUP(C21,'Full list.23'!C:K,9,FALSE),0)</f>
        <v>0</v>
      </c>
      <c r="E21" s="355"/>
      <c r="F21" s="355"/>
      <c r="G21" s="355"/>
      <c r="H21" s="355"/>
      <c r="I21" s="355"/>
      <c r="J21" s="356"/>
      <c r="K21" s="365" t="s">
        <v>1474</v>
      </c>
      <c r="L21" s="365"/>
      <c r="M21" s="16">
        <v>1</v>
      </c>
      <c r="N21" s="16">
        <v>1</v>
      </c>
      <c r="O21" s="544"/>
      <c r="P21" s="545"/>
      <c r="Q21" s="534">
        <f>IFERROR(MROUND(VLOOKUP(C21,'Full list.23'!C:G,5,FALSE)/M21*N21,5),0)</f>
        <v>0</v>
      </c>
      <c r="R21" s="534"/>
      <c r="S21" s="351">
        <f>IF($E$8="Express",IFERROR(MROUND(VLOOKUP(C21,'Full list.23'!C:G,5,FALSE)/M21*N21*1.45,5),0),IF($E$8="Normal",0))</f>
        <v>0</v>
      </c>
      <c r="T21" s="352"/>
      <c r="U21" s="376">
        <f t="shared" si="0"/>
        <v>0</v>
      </c>
      <c r="V21" s="377"/>
      <c r="W21" s="351">
        <f t="shared" si="1"/>
        <v>0</v>
      </c>
      <c r="X21" s="352"/>
    </row>
    <row r="22" spans="2:24" s="17" customFormat="1" ht="18" customHeight="1">
      <c r="B22" s="15">
        <v>8</v>
      </c>
      <c r="C22" s="5"/>
      <c r="D22" s="354">
        <f>IFERROR(VLOOKUP(C22,'Full list.23'!C:K,9,FALSE),0)</f>
        <v>0</v>
      </c>
      <c r="E22" s="355"/>
      <c r="F22" s="355"/>
      <c r="G22" s="355"/>
      <c r="H22" s="355"/>
      <c r="I22" s="355"/>
      <c r="J22" s="356"/>
      <c r="K22" s="365" t="s">
        <v>1474</v>
      </c>
      <c r="L22" s="365"/>
      <c r="M22" s="16">
        <v>1</v>
      </c>
      <c r="N22" s="16">
        <v>1</v>
      </c>
      <c r="O22" s="544"/>
      <c r="P22" s="545"/>
      <c r="Q22" s="534">
        <f>IFERROR(MROUND(VLOOKUP(C22,'Full list.23'!C:G,5,FALSE)/M22*N22,5),0)</f>
        <v>0</v>
      </c>
      <c r="R22" s="534"/>
      <c r="S22" s="351">
        <f>IF($E$8="Express",IFERROR(MROUND(VLOOKUP(C22,'Full list.23'!C:G,5,FALSE)/M22*N22*1.45,5),0),IF($E$8="Normal",0))</f>
        <v>0</v>
      </c>
      <c r="T22" s="352"/>
      <c r="U22" s="376">
        <f t="shared" si="0"/>
        <v>0</v>
      </c>
      <c r="V22" s="377"/>
      <c r="W22" s="351">
        <f t="shared" si="1"/>
        <v>0</v>
      </c>
      <c r="X22" s="352"/>
    </row>
    <row r="23" spans="2:24" s="17" customFormat="1" ht="18" customHeight="1">
      <c r="B23" s="15">
        <v>9</v>
      </c>
      <c r="C23" s="5"/>
      <c r="D23" s="354">
        <f>IFERROR(VLOOKUP(C23,'Full list.23'!C:K,9,FALSE),0)</f>
        <v>0</v>
      </c>
      <c r="E23" s="355"/>
      <c r="F23" s="355"/>
      <c r="G23" s="355"/>
      <c r="H23" s="355"/>
      <c r="I23" s="355"/>
      <c r="J23" s="356"/>
      <c r="K23" s="365" t="s">
        <v>1474</v>
      </c>
      <c r="L23" s="365"/>
      <c r="M23" s="16">
        <v>1</v>
      </c>
      <c r="N23" s="16">
        <v>1</v>
      </c>
      <c r="O23" s="544"/>
      <c r="P23" s="545"/>
      <c r="Q23" s="534">
        <f>IFERROR(MROUND(VLOOKUP(C23,'Full list.23'!C:G,5,FALSE)/M23*N23,5),0)</f>
        <v>0</v>
      </c>
      <c r="R23" s="534"/>
      <c r="S23" s="351">
        <f>IF($E$8="Express",IFERROR(MROUND(VLOOKUP(C23,'Full list.23'!C:G,5,FALSE)/M23*N23*1.45,5),0),IF($E$8="Normal",0))</f>
        <v>0</v>
      </c>
      <c r="T23" s="352"/>
      <c r="U23" s="376">
        <f t="shared" si="0"/>
        <v>0</v>
      </c>
      <c r="V23" s="377"/>
      <c r="W23" s="351">
        <f t="shared" si="1"/>
        <v>0</v>
      </c>
      <c r="X23" s="352"/>
    </row>
    <row r="24" spans="2:24" s="17" customFormat="1" ht="18" customHeight="1">
      <c r="B24" s="15">
        <v>10</v>
      </c>
      <c r="C24" s="5"/>
      <c r="D24" s="354">
        <f>IFERROR(VLOOKUP(C24,'Full list.23'!C:K,9,FALSE),0)</f>
        <v>0</v>
      </c>
      <c r="E24" s="355"/>
      <c r="F24" s="355"/>
      <c r="G24" s="355"/>
      <c r="H24" s="355"/>
      <c r="I24" s="355"/>
      <c r="J24" s="356"/>
      <c r="K24" s="365" t="s">
        <v>1474</v>
      </c>
      <c r="L24" s="365"/>
      <c r="M24" s="16">
        <v>1</v>
      </c>
      <c r="N24" s="16">
        <v>1</v>
      </c>
      <c r="O24" s="544"/>
      <c r="P24" s="545"/>
      <c r="Q24" s="534">
        <f>IFERROR(MROUND(VLOOKUP(C24,'Full list.23'!C:G,5,FALSE)/M24*N24,5),0)</f>
        <v>0</v>
      </c>
      <c r="R24" s="534"/>
      <c r="S24" s="351">
        <f>IF($E$8="Express",IFERROR(MROUND(VLOOKUP(C24,'Full list.23'!C:G,5,FALSE)/M24*N24*1.45,5),0),IF($E$8="Normal",0))</f>
        <v>0</v>
      </c>
      <c r="T24" s="352"/>
      <c r="U24" s="376">
        <f t="shared" si="0"/>
        <v>0</v>
      </c>
      <c r="V24" s="377"/>
      <c r="W24" s="351">
        <f t="shared" si="1"/>
        <v>0</v>
      </c>
      <c r="X24" s="352"/>
    </row>
    <row r="25" spans="2:24" s="17" customFormat="1" ht="18" customHeight="1">
      <c r="B25" s="15">
        <v>11</v>
      </c>
      <c r="C25" s="5"/>
      <c r="D25" s="354">
        <f>IFERROR(VLOOKUP(C25,'Full list.23'!C:K,9,FALSE),0)</f>
        <v>0</v>
      </c>
      <c r="E25" s="355"/>
      <c r="F25" s="355"/>
      <c r="G25" s="355"/>
      <c r="H25" s="355"/>
      <c r="I25" s="355"/>
      <c r="J25" s="356"/>
      <c r="K25" s="365" t="s">
        <v>1474</v>
      </c>
      <c r="L25" s="365"/>
      <c r="M25" s="16">
        <v>1</v>
      </c>
      <c r="N25" s="16">
        <v>1</v>
      </c>
      <c r="O25" s="544"/>
      <c r="P25" s="545"/>
      <c r="Q25" s="534">
        <f>IFERROR(MROUND(VLOOKUP(C25,'Full list.23'!C:G,5,FALSE)/M25*N25,5),0)</f>
        <v>0</v>
      </c>
      <c r="R25" s="534"/>
      <c r="S25" s="351">
        <f>IF($E$8="Express",IFERROR(MROUND(VLOOKUP(C25,'Full list.23'!C:G,5,FALSE)/M25*N25*1.45,5),0),IF($E$8="Normal",0))</f>
        <v>0</v>
      </c>
      <c r="T25" s="352"/>
      <c r="U25" s="376">
        <f t="shared" si="0"/>
        <v>0</v>
      </c>
      <c r="V25" s="377"/>
      <c r="W25" s="351">
        <f t="shared" si="1"/>
        <v>0</v>
      </c>
      <c r="X25" s="352"/>
    </row>
    <row r="26" spans="2:24" s="17" customFormat="1" ht="18" customHeight="1">
      <c r="B26" s="15">
        <v>12</v>
      </c>
      <c r="C26" s="5"/>
      <c r="D26" s="354">
        <f>IFERROR(VLOOKUP(C26,'Full list.23'!C:K,9,FALSE),0)</f>
        <v>0</v>
      </c>
      <c r="E26" s="355"/>
      <c r="F26" s="355"/>
      <c r="G26" s="355"/>
      <c r="H26" s="355"/>
      <c r="I26" s="355"/>
      <c r="J26" s="356"/>
      <c r="K26" s="365" t="s">
        <v>1474</v>
      </c>
      <c r="L26" s="365"/>
      <c r="M26" s="16">
        <v>1</v>
      </c>
      <c r="N26" s="16">
        <v>1</v>
      </c>
      <c r="O26" s="544"/>
      <c r="P26" s="545"/>
      <c r="Q26" s="534">
        <f>IFERROR(MROUND(VLOOKUP(C26,'Full list.23'!C:G,5,FALSE)/M26*N26,5),0)</f>
        <v>0</v>
      </c>
      <c r="R26" s="534"/>
      <c r="S26" s="351">
        <f>IF($E$8="Express",IFERROR(MROUND(VLOOKUP(C26,'Full list.23'!C:G,5,FALSE)/M26*N26*1.45,5),0),IF($E$8="Normal",0))</f>
        <v>0</v>
      </c>
      <c r="T26" s="352"/>
      <c r="U26" s="376">
        <f t="shared" si="0"/>
        <v>0</v>
      </c>
      <c r="V26" s="377"/>
      <c r="W26" s="351">
        <f t="shared" si="1"/>
        <v>0</v>
      </c>
      <c r="X26" s="352"/>
    </row>
    <row r="27" spans="2:24" s="17" customFormat="1" ht="18" customHeight="1" thickBot="1">
      <c r="B27" s="15">
        <v>13</v>
      </c>
      <c r="C27" s="5"/>
      <c r="D27" s="354">
        <f>IFERROR(VLOOKUP(C27,'Full list.23'!C:K,9,FALSE),0)</f>
        <v>0</v>
      </c>
      <c r="E27" s="355"/>
      <c r="F27" s="355"/>
      <c r="G27" s="355"/>
      <c r="H27" s="355"/>
      <c r="I27" s="355"/>
      <c r="J27" s="356"/>
      <c r="K27" s="365" t="s">
        <v>1474</v>
      </c>
      <c r="L27" s="365"/>
      <c r="M27" s="16">
        <v>1</v>
      </c>
      <c r="N27" s="16">
        <v>1</v>
      </c>
      <c r="O27" s="544"/>
      <c r="P27" s="545"/>
      <c r="Q27" s="534">
        <f>IFERROR(MROUND(VLOOKUP(C27,'Full list.23'!C:G,5,FALSE)/M27*N27,5),0)</f>
        <v>0</v>
      </c>
      <c r="R27" s="534"/>
      <c r="S27" s="351">
        <f>IF($E$8="Express",IFERROR(MROUND(VLOOKUP(C27,'Full list.23'!C:G,5,FALSE)/M27*N27*1.45,5),0),IF($E$8="Normal",0))</f>
        <v>0</v>
      </c>
      <c r="T27" s="352"/>
      <c r="U27" s="376">
        <f t="shared" si="0"/>
        <v>0</v>
      </c>
      <c r="V27" s="377"/>
      <c r="W27" s="351">
        <f t="shared" si="1"/>
        <v>0</v>
      </c>
      <c r="X27" s="352"/>
    </row>
    <row r="28" spans="2:24" s="17" customFormat="1" ht="18" hidden="1" customHeight="1" thickBot="1">
      <c r="B28" s="15">
        <v>14</v>
      </c>
      <c r="C28" s="5"/>
      <c r="D28" s="354">
        <f>IFERROR(VLOOKUP(C28,'Full list.23'!C:K,9,FALSE),0)</f>
        <v>0</v>
      </c>
      <c r="E28" s="355"/>
      <c r="F28" s="355"/>
      <c r="G28" s="355"/>
      <c r="H28" s="355"/>
      <c r="I28" s="355"/>
      <c r="J28" s="356"/>
      <c r="K28" s="365" t="s">
        <v>1474</v>
      </c>
      <c r="L28" s="365"/>
      <c r="M28" s="16">
        <v>1</v>
      </c>
      <c r="N28" s="16">
        <v>1</v>
      </c>
      <c r="O28" s="544"/>
      <c r="P28" s="545"/>
      <c r="Q28" s="534">
        <f>IFERROR(MROUND(VLOOKUP(C28,'Full list.23'!C:G,5,FALSE)/M28*N28,5),0)</f>
        <v>0</v>
      </c>
      <c r="R28" s="534"/>
      <c r="S28" s="351">
        <f>IF($E$8="Express",IFERROR(MROUND(VLOOKUP(C28,'Full list.23'!C:G,5,FALSE)/M28*N28*1.45,5),0),IF($E$8="Normal",0))</f>
        <v>0</v>
      </c>
      <c r="T28" s="352"/>
      <c r="U28" s="376">
        <f t="shared" si="0"/>
        <v>0</v>
      </c>
      <c r="V28" s="377"/>
      <c r="W28" s="351">
        <f t="shared" si="1"/>
        <v>0</v>
      </c>
      <c r="X28" s="352"/>
    </row>
    <row r="29" spans="2:24" s="17" customFormat="1" ht="18" hidden="1" customHeight="1">
      <c r="B29" s="15">
        <v>15</v>
      </c>
      <c r="C29" s="5"/>
      <c r="D29" s="354">
        <f>IFERROR(VLOOKUP(C29,'Full list.23'!C:K,9,FALSE),0)</f>
        <v>0</v>
      </c>
      <c r="E29" s="355"/>
      <c r="F29" s="355"/>
      <c r="G29" s="355"/>
      <c r="H29" s="355"/>
      <c r="I29" s="355"/>
      <c r="J29" s="356"/>
      <c r="K29" s="365" t="s">
        <v>1474</v>
      </c>
      <c r="L29" s="365"/>
      <c r="M29" s="16">
        <v>1</v>
      </c>
      <c r="N29" s="16">
        <v>1</v>
      </c>
      <c r="O29" s="544"/>
      <c r="P29" s="545"/>
      <c r="Q29" s="534">
        <f>IFERROR(MROUND(VLOOKUP(C29,'Full list.23'!C:G,5,FALSE)/M29*N29,5),0)</f>
        <v>0</v>
      </c>
      <c r="R29" s="534"/>
      <c r="S29" s="351">
        <f>IF($E$8="Express",IFERROR(MROUND(VLOOKUP(C29,'Full list.23'!C:G,5,FALSE)/M29*N29*1.45,5),0),IF($E$8="Normal",0))</f>
        <v>0</v>
      </c>
      <c r="T29" s="352"/>
      <c r="U29" s="376">
        <f t="shared" si="0"/>
        <v>0</v>
      </c>
      <c r="V29" s="377"/>
      <c r="W29" s="351">
        <f t="shared" si="1"/>
        <v>0</v>
      </c>
      <c r="X29" s="352"/>
    </row>
    <row r="30" spans="2:24" s="17" customFormat="1" ht="18" hidden="1" customHeight="1">
      <c r="B30" s="15">
        <v>16</v>
      </c>
      <c r="C30" s="5"/>
      <c r="D30" s="354">
        <f>IFERROR(VLOOKUP(C30,'Full list.23'!C:K,9,FALSE),0)</f>
        <v>0</v>
      </c>
      <c r="E30" s="355"/>
      <c r="F30" s="355"/>
      <c r="G30" s="355"/>
      <c r="H30" s="355"/>
      <c r="I30" s="355"/>
      <c r="J30" s="356"/>
      <c r="K30" s="365" t="s">
        <v>1474</v>
      </c>
      <c r="L30" s="365"/>
      <c r="M30" s="16">
        <v>1</v>
      </c>
      <c r="N30" s="16">
        <v>1</v>
      </c>
      <c r="O30" s="544"/>
      <c r="P30" s="545"/>
      <c r="Q30" s="534">
        <f>IFERROR(MROUND(VLOOKUP(C30,'Full list.23'!C:G,5,FALSE)/M30*N30,5),0)</f>
        <v>0</v>
      </c>
      <c r="R30" s="534"/>
      <c r="S30" s="351">
        <f>IF($E$8="Express",IFERROR(MROUND(VLOOKUP(C30,'Full list.23'!C:G,5,FALSE)/M30*N30*1.45,5),0),IF($E$8="Normal",0))</f>
        <v>0</v>
      </c>
      <c r="T30" s="352"/>
      <c r="U30" s="376">
        <f t="shared" si="0"/>
        <v>0</v>
      </c>
      <c r="V30" s="377"/>
      <c r="W30" s="351">
        <f t="shared" si="1"/>
        <v>0</v>
      </c>
      <c r="X30" s="352"/>
    </row>
    <row r="31" spans="2:24" s="17" customFormat="1" ht="17.55" hidden="1" customHeight="1">
      <c r="B31" s="15">
        <v>17</v>
      </c>
      <c r="C31" s="5"/>
      <c r="D31" s="354">
        <f>IFERROR(VLOOKUP(C31,'Full list.23'!C:K,9,FALSE),0)</f>
        <v>0</v>
      </c>
      <c r="E31" s="355"/>
      <c r="F31" s="355"/>
      <c r="G31" s="355"/>
      <c r="H31" s="355"/>
      <c r="I31" s="355"/>
      <c r="J31" s="356"/>
      <c r="K31" s="365" t="s">
        <v>1474</v>
      </c>
      <c r="L31" s="365"/>
      <c r="M31" s="16">
        <v>1</v>
      </c>
      <c r="N31" s="16">
        <v>1</v>
      </c>
      <c r="O31" s="544"/>
      <c r="P31" s="545"/>
      <c r="Q31" s="534">
        <f>IFERROR(MROUND(VLOOKUP(C31,'Full list.23'!C:G,5,FALSE)/M31*N31,5),0)</f>
        <v>0</v>
      </c>
      <c r="R31" s="534"/>
      <c r="S31" s="351">
        <f>IF($E$8="Express",IFERROR(MROUND(VLOOKUP(C31,'Full list.23'!C:G,5,FALSE)/M31*N31*1.45,5),0),IF($E$8="Normal",0))</f>
        <v>0</v>
      </c>
      <c r="T31" s="352"/>
      <c r="U31" s="376">
        <f t="shared" si="0"/>
        <v>0</v>
      </c>
      <c r="V31" s="377"/>
      <c r="W31" s="351">
        <f t="shared" si="1"/>
        <v>0</v>
      </c>
      <c r="X31" s="352"/>
    </row>
    <row r="32" spans="2:24" s="17" customFormat="1" ht="15" hidden="1" customHeight="1" thickBot="1">
      <c r="B32" s="15">
        <v>20</v>
      </c>
      <c r="C32" s="5"/>
      <c r="D32" s="354">
        <f>IFERROR(VLOOKUP(C32,'Full list.23'!C:K,9,FALSE),0)</f>
        <v>0</v>
      </c>
      <c r="E32" s="355"/>
      <c r="F32" s="355"/>
      <c r="G32" s="355"/>
      <c r="H32" s="355"/>
      <c r="I32" s="355"/>
      <c r="J32" s="356"/>
      <c r="K32" s="365" t="s">
        <v>1474</v>
      </c>
      <c r="L32" s="365"/>
      <c r="M32" s="16">
        <v>1</v>
      </c>
      <c r="N32" s="16">
        <v>1</v>
      </c>
      <c r="O32" s="544"/>
      <c r="P32" s="545"/>
      <c r="Q32" s="534">
        <f>IFERROR(MROUND(VLOOKUP(C32,'Full list.23'!C:G,5,FALSE)/M32*N32,5),0)</f>
        <v>0</v>
      </c>
      <c r="R32" s="534"/>
      <c r="S32" s="351">
        <f>IF($E$8="Express",IFERROR(MROUND(VLOOKUP(C32,'Full list.23'!C:G,5,FALSE)/M32*N32*1.45,5),0),IF($E$8="Normal",0))</f>
        <v>0</v>
      </c>
      <c r="T32" s="352"/>
      <c r="U32" s="376">
        <f t="shared" si="0"/>
        <v>0</v>
      </c>
      <c r="V32" s="377"/>
      <c r="W32" s="351">
        <f t="shared" si="1"/>
        <v>0</v>
      </c>
      <c r="X32" s="352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600">
        <f>SUM(O16:P32)</f>
        <v>1</v>
      </c>
      <c r="P33" s="601"/>
      <c r="Q33" s="618" t="s">
        <v>1753</v>
      </c>
      <c r="R33" s="619"/>
      <c r="S33" s="619"/>
      <c r="T33" s="620"/>
      <c r="U33" s="615">
        <f>IF(E8="Express",SUM(W15:X32)+U15,SUM(U15:V32))</f>
        <v>2450</v>
      </c>
      <c r="V33" s="615"/>
      <c r="W33" s="615"/>
      <c r="X33" s="616"/>
    </row>
    <row r="34" spans="1:26" ht="13.05" customHeight="1">
      <c r="C34" s="242"/>
      <c r="E34" s="243"/>
      <c r="F34" s="243"/>
      <c r="G34" s="243"/>
      <c r="H34" s="243"/>
      <c r="I34" s="243"/>
      <c r="J34" s="513" t="s">
        <v>156</v>
      </c>
      <c r="K34" s="513"/>
      <c r="L34" s="513"/>
      <c r="M34" s="513"/>
      <c r="N34" s="513"/>
      <c r="O34" s="598">
        <v>0</v>
      </c>
      <c r="P34" s="598"/>
      <c r="Q34" s="630">
        <v>0</v>
      </c>
      <c r="R34" s="631"/>
      <c r="S34" s="631"/>
      <c r="T34" s="632"/>
      <c r="U34" s="650">
        <f>+Q34*O34</f>
        <v>0</v>
      </c>
      <c r="V34" s="651"/>
      <c r="W34" s="651"/>
      <c r="X34" s="652"/>
    </row>
    <row r="35" spans="1:26" ht="13.05" customHeight="1">
      <c r="C35" s="242"/>
      <c r="E35" s="243"/>
      <c r="F35" s="243"/>
      <c r="G35" s="243"/>
      <c r="H35" s="243"/>
      <c r="I35" s="243"/>
      <c r="J35" s="514" t="s">
        <v>157</v>
      </c>
      <c r="K35" s="514"/>
      <c r="L35" s="514"/>
      <c r="M35" s="514"/>
      <c r="N35" s="514"/>
      <c r="O35" s="613">
        <v>0</v>
      </c>
      <c r="P35" s="614"/>
      <c r="Q35" s="633">
        <v>0</v>
      </c>
      <c r="R35" s="634"/>
      <c r="S35" s="634"/>
      <c r="T35" s="635"/>
      <c r="U35" s="653">
        <f t="shared" ref="U35:U36" si="2">+Q35*O35</f>
        <v>0</v>
      </c>
      <c r="V35" s="654"/>
      <c r="W35" s="654"/>
      <c r="X35" s="655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624" t="s">
        <v>1761</v>
      </c>
      <c r="K36" s="624"/>
      <c r="L36" s="624"/>
      <c r="M36" s="624"/>
      <c r="N36" s="624"/>
      <c r="O36" s="613">
        <v>0</v>
      </c>
      <c r="P36" s="614"/>
      <c r="Q36" s="636">
        <v>0</v>
      </c>
      <c r="R36" s="637"/>
      <c r="S36" s="637"/>
      <c r="T36" s="638"/>
      <c r="U36" s="656">
        <f t="shared" si="2"/>
        <v>0</v>
      </c>
      <c r="V36" s="657"/>
      <c r="W36" s="657"/>
      <c r="X36" s="658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621" t="s">
        <v>1762</v>
      </c>
      <c r="K37" s="622"/>
      <c r="L37" s="622"/>
      <c r="M37" s="622"/>
      <c r="N37" s="623"/>
      <c r="O37" s="625">
        <f>IF(N12="Kwabo",27%,IF(N12="Tchéké",24%,IF(N12="Kankpé",24%,IF(N12="Gankpo",25%))))</f>
        <v>0.24</v>
      </c>
      <c r="P37" s="626"/>
      <c r="Q37" s="610" t="s">
        <v>1760</v>
      </c>
      <c r="R37" s="617"/>
      <c r="S37" s="617"/>
      <c r="T37" s="611"/>
      <c r="U37" s="608">
        <f>W37/(U33-K49)</f>
        <v>7.0000000000000007E-2</v>
      </c>
      <c r="V37" s="609"/>
      <c r="W37" s="610">
        <f>IF(U33&gt;K49,IF(N12="kwabo",(U33-K49)*0,IF(N12="tchéké",(U33-K49)*0.05,IF(N12="Kankpé",(U33-K49)*0.07,IF(N12="Gankpo",(U33-K49)*0.1)))),0)</f>
        <v>1430.2407350000001</v>
      </c>
      <c r="X37" s="611"/>
    </row>
    <row r="38" spans="1:26" ht="15.45" customHeight="1" thickBot="1">
      <c r="Q38" s="648" t="s">
        <v>1757</v>
      </c>
      <c r="R38" s="649"/>
      <c r="S38" s="649"/>
      <c r="T38" s="649"/>
      <c r="U38" s="627">
        <f>U33+U34+U35+U36-W37</f>
        <v>1019.7592649999999</v>
      </c>
      <c r="V38" s="628"/>
      <c r="W38" s="628"/>
      <c r="X38" s="629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12" t="s">
        <v>1749</v>
      </c>
      <c r="R39" s="612"/>
      <c r="S39" s="612"/>
      <c r="T39" s="612"/>
      <c r="U39" s="602">
        <f>U15</f>
        <v>1200</v>
      </c>
      <c r="V39" s="603"/>
      <c r="W39" s="603"/>
      <c r="X39" s="604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605">
        <f>+U38-U39</f>
        <v>-180.24073500000009</v>
      </c>
      <c r="V40" s="606"/>
      <c r="W40" s="606"/>
      <c r="X40" s="607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560" t="s">
        <v>163</v>
      </c>
      <c r="R42" s="560"/>
      <c r="S42" s="560"/>
      <c r="T42" s="560"/>
      <c r="U42" s="561">
        <f>IF(N49&lt;0,-N49,0)</f>
        <v>19001.769765000001</v>
      </c>
      <c r="V42" s="561"/>
      <c r="W42" s="561"/>
      <c r="X42" s="562"/>
      <c r="Y42" s="18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565" t="s">
        <v>1745</v>
      </c>
      <c r="H44" s="566"/>
      <c r="I44" s="566"/>
      <c r="J44" s="566"/>
      <c r="K44" s="566"/>
      <c r="L44" s="566"/>
      <c r="M44" s="566"/>
      <c r="N44" s="566"/>
      <c r="O44" s="566"/>
      <c r="P44" s="566"/>
      <c r="Q44" s="563" t="s">
        <v>1775</v>
      </c>
      <c r="R44" s="563"/>
      <c r="S44" s="564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1774</v>
      </c>
      <c r="L45" s="587"/>
      <c r="M45" s="587"/>
      <c r="N45" s="587" t="s">
        <v>1776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Abonné5!N46</f>
        <v>0</v>
      </c>
      <c r="L46" s="588"/>
      <c r="M46" s="588"/>
      <c r="N46" s="596">
        <f>IF(U38&lt;=K46,K46-U38,0)</f>
        <v>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Abonné5!N47</f>
        <v>-3840</v>
      </c>
      <c r="L47" s="590"/>
      <c r="M47" s="590"/>
      <c r="N47" s="597">
        <f>IF(N12="Tchéké",K47-U39,IF(N12="Kankpé",K47-U39,IF(N12="Gankpo",K47-U39,IF(N12="Kwabo",0))))</f>
        <v>-5040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Abonné5!N48</f>
        <v>-14142.0105</v>
      </c>
      <c r="L48" s="582"/>
      <c r="M48" s="583"/>
      <c r="N48" s="581">
        <f>IF(N12="tchéké",K48-U40,IF(N12="kankpé",K48-U40,IF(N12="gankpo",K48-U40,IF(N12="kwabo",K49-U38))))</f>
        <v>-13961.769765000001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548" t="s">
        <v>1755</v>
      </c>
      <c r="H49" s="549"/>
      <c r="I49" s="549"/>
      <c r="J49" s="550"/>
      <c r="K49" s="551">
        <f>Abonné5!N49</f>
        <v>-17982.0105</v>
      </c>
      <c r="L49" s="552"/>
      <c r="M49" s="553"/>
      <c r="N49" s="554">
        <f>N47+N48</f>
        <v>-19001.769765000001</v>
      </c>
      <c r="O49" s="555"/>
      <c r="P49" s="556"/>
      <c r="Q49" s="557" t="s">
        <v>1756</v>
      </c>
      <c r="R49" s="558"/>
      <c r="S49" s="559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547" t="s">
        <v>1779</v>
      </c>
      <c r="G51" s="547"/>
      <c r="H51" s="547"/>
      <c r="I51" s="547"/>
      <c r="J51" s="547"/>
      <c r="K51" s="255" t="s">
        <v>1778</v>
      </c>
      <c r="L51" s="256">
        <f ca="1">(DAYS360(EOMONTH(E6,-1)+1,EOMONTH(E6,0))+1)-DAYS360(EOMONTH(E6,-1)+1,E6+1)</f>
        <v>4</v>
      </c>
      <c r="M51" s="546" t="s">
        <v>1777</v>
      </c>
      <c r="N51" s="546"/>
      <c r="O51" s="546"/>
      <c r="P51" s="546"/>
      <c r="Q51" s="546"/>
      <c r="R51" s="546"/>
      <c r="S51" s="546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</mergeCells>
  <conditionalFormatting sqref="B51:X51">
    <cfRule type="expression" dxfId="2" priority="2">
      <formula>$L$51&gt;11</formula>
    </cfRule>
    <cfRule type="expression" dxfId="1" priority="3">
      <formula>$L$51&lt;=11</formula>
    </cfRule>
  </conditionalFormatting>
  <conditionalFormatting sqref="K51:L51">
    <cfRule type="expression" dxfId="0" priority="1">
      <formula>$L$51&lt;=11</formula>
    </cfRule>
  </conditionalFormatting>
  <dataValidations count="4">
    <dataValidation type="list" allowBlank="1" showInputMessage="1" showErrorMessage="1" sqref="N12:P12" xr:uid="{CF1A8384-114F-4750-AA51-076A56CA4D36}">
      <formula1>"Kwabo,Tchéké,Kankpé,Gankpo"</formula1>
    </dataValidation>
    <dataValidation type="list" allowBlank="1" showInputMessage="1" showErrorMessage="1" sqref="S12:T12" xr:uid="{E8F3C063-4A51-4947-BCDE-81DB81AB3C50}">
      <formula1>"OUI,NON"</formula1>
    </dataValidation>
    <dataValidation type="list" allowBlank="1" showInputMessage="1" showErrorMessage="1" sqref="E8:G8" xr:uid="{0AE2EE8F-91F4-4E1B-96EF-953355558805}">
      <formula1>"Express,Normal"</formula1>
    </dataValidation>
    <dataValidation type="list" allowBlank="1" showInputMessage="1" showErrorMessage="1" sqref="K15:L32" xr:uid="{546889C7-DF2C-4255-B132-ED4C22F929ED}">
      <formula1>"Bébé,Enfant,Repassage,Express,_"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11BC-EF14-4CFE-99C3-0704270F0140}">
  <sheetPr>
    <tabColor theme="1"/>
  </sheetPr>
  <dimension ref="A1:T162"/>
  <sheetViews>
    <sheetView zoomScaleNormal="100" zoomScaleSheetLayoutView="100" workbookViewId="0">
      <pane xSplit="4" ySplit="7" topLeftCell="E132" activePane="bottomRight" state="frozen"/>
      <selection pane="topRight" activeCell="E1" sqref="E1"/>
      <selection pane="bottomLeft" activeCell="A8" sqref="A8"/>
      <selection pane="bottomRight" activeCell="D141" sqref="D141"/>
    </sheetView>
  </sheetViews>
  <sheetFormatPr baseColWidth="10" defaultColWidth="8.88671875" defaultRowHeight="13.2"/>
  <cols>
    <col min="1" max="1" width="2" style="3" customWidth="1"/>
    <col min="2" max="2" width="5.5546875" style="3" customWidth="1"/>
    <col min="3" max="3" width="7.5546875" style="3" customWidth="1"/>
    <col min="4" max="4" width="28.33203125" style="3" customWidth="1"/>
    <col min="5" max="5" width="48.33203125" style="2" customWidth="1"/>
    <col min="6" max="6" width="8.21875" style="1" customWidth="1"/>
    <col min="7" max="7" width="8.88671875" style="106" customWidth="1"/>
    <col min="8" max="8" width="11.77734375" style="3" hidden="1" customWidth="1"/>
    <col min="9" max="9" width="10" style="3" hidden="1" customWidth="1"/>
    <col min="10" max="10" width="3.6640625" style="26" customWidth="1"/>
    <col min="11" max="11" width="32.44140625" style="27" customWidth="1"/>
    <col min="12" max="12" width="3.77734375" style="26" customWidth="1"/>
    <col min="13" max="13" width="9" style="27" bestFit="1" customWidth="1"/>
    <col min="14" max="14" width="9.21875" style="27" bestFit="1" customWidth="1"/>
    <col min="15" max="15" width="8.88671875" style="3"/>
    <col min="16" max="16" width="3.5546875" style="28" customWidth="1"/>
    <col min="17" max="17" width="9.77734375" style="29" bestFit="1" customWidth="1"/>
    <col min="18" max="18" width="3.5546875" style="28" customWidth="1"/>
    <col min="19" max="16384" width="8.88671875" style="3"/>
  </cols>
  <sheetData>
    <row r="1" spans="2:20" ht="9" customHeight="1">
      <c r="B1" s="22"/>
      <c r="C1" s="22"/>
      <c r="D1" s="22"/>
      <c r="E1" s="23"/>
      <c r="F1" s="24"/>
      <c r="G1" s="25"/>
    </row>
    <row r="2" spans="2:20" s="38" customFormat="1" ht="16.95" customHeight="1">
      <c r="B2" s="30" t="s">
        <v>165</v>
      </c>
      <c r="C2" s="30"/>
      <c r="D2" s="30"/>
      <c r="E2" s="31"/>
      <c r="F2" s="32"/>
      <c r="G2" s="33"/>
      <c r="H2" s="34"/>
      <c r="I2" s="34"/>
      <c r="J2" s="35"/>
      <c r="K2" s="36"/>
      <c r="L2" s="35"/>
      <c r="M2" s="37"/>
      <c r="N2" s="37"/>
      <c r="P2" s="39"/>
      <c r="Q2" s="40"/>
      <c r="R2" s="39"/>
    </row>
    <row r="3" spans="2:20" s="38" customFormat="1" ht="16.95" customHeight="1">
      <c r="B3" s="30" t="s">
        <v>166</v>
      </c>
      <c r="C3" s="30"/>
      <c r="D3" s="30"/>
      <c r="E3" s="31"/>
      <c r="F3" s="32"/>
      <c r="G3" s="33"/>
      <c r="H3" s="34"/>
      <c r="I3" s="34"/>
      <c r="J3" s="35"/>
      <c r="K3" s="36"/>
      <c r="L3" s="35"/>
      <c r="M3" s="37"/>
      <c r="N3" s="37"/>
      <c r="P3" s="39"/>
      <c r="Q3" s="40"/>
      <c r="R3" s="39"/>
    </row>
    <row r="4" spans="2:20" s="38" customFormat="1" ht="16.95" customHeight="1">
      <c r="B4" s="41" t="s">
        <v>167</v>
      </c>
      <c r="C4" s="41"/>
      <c r="D4" s="30"/>
      <c r="E4" s="41" t="s">
        <v>168</v>
      </c>
      <c r="F4" s="32"/>
      <c r="G4" s="33"/>
      <c r="H4" s="34"/>
      <c r="I4" s="34"/>
      <c r="J4" s="35"/>
      <c r="K4" s="36"/>
      <c r="L4" s="35"/>
      <c r="M4" s="37"/>
      <c r="N4" s="37"/>
      <c r="P4" s="39"/>
      <c r="Q4" s="40"/>
      <c r="R4" s="39"/>
      <c r="S4" s="42"/>
      <c r="T4" s="42"/>
    </row>
    <row r="5" spans="2:20" s="38" customFormat="1" ht="16.95" customHeight="1">
      <c r="B5" s="41" t="s">
        <v>169</v>
      </c>
      <c r="C5" s="41"/>
      <c r="D5" s="30"/>
      <c r="E5" s="41" t="s">
        <v>170</v>
      </c>
      <c r="F5" s="32"/>
      <c r="G5" s="33"/>
      <c r="H5" s="34"/>
      <c r="I5" s="34"/>
      <c r="J5" s="35"/>
      <c r="K5" s="36"/>
      <c r="L5" s="35"/>
      <c r="M5" s="37"/>
      <c r="N5" s="37"/>
      <c r="P5" s="39"/>
      <c r="Q5" s="40"/>
      <c r="R5" s="39"/>
    </row>
    <row r="6" spans="2:20" s="51" customFormat="1" ht="19.8" customHeight="1">
      <c r="B6" s="43" t="s">
        <v>1571</v>
      </c>
      <c r="C6" s="44"/>
      <c r="D6" s="45"/>
      <c r="E6" s="44"/>
      <c r="F6" s="44"/>
      <c r="G6" s="46"/>
      <c r="H6" s="47"/>
      <c r="I6" s="48"/>
      <c r="J6" s="49"/>
      <c r="K6" s="50"/>
      <c r="L6" s="49"/>
      <c r="M6" s="50"/>
      <c r="N6" s="50"/>
      <c r="P6" s="52"/>
      <c r="Q6" s="53"/>
      <c r="R6" s="52"/>
    </row>
    <row r="7" spans="2:20" s="4" customFormat="1" ht="16.5" customHeight="1">
      <c r="B7" s="54" t="s">
        <v>0</v>
      </c>
      <c r="C7" s="54" t="s">
        <v>3</v>
      </c>
      <c r="D7" s="54" t="s">
        <v>1</v>
      </c>
      <c r="E7" s="54" t="s">
        <v>2</v>
      </c>
      <c r="F7" s="55" t="s">
        <v>4</v>
      </c>
      <c r="G7" s="56" t="s">
        <v>5</v>
      </c>
      <c r="H7" s="54" t="s">
        <v>172</v>
      </c>
      <c r="I7" s="54" t="s">
        <v>173</v>
      </c>
      <c r="J7" s="57"/>
      <c r="K7" s="58" t="s">
        <v>174</v>
      </c>
      <c r="L7" s="57"/>
      <c r="M7" s="59">
        <v>0.05</v>
      </c>
      <c r="N7" s="59">
        <v>7.0000000000000007E-2</v>
      </c>
      <c r="O7" s="60">
        <v>0.1</v>
      </c>
      <c r="P7" s="61"/>
      <c r="Q7" s="62" t="s">
        <v>175</v>
      </c>
      <c r="R7" s="61"/>
      <c r="S7" s="62" t="s">
        <v>176</v>
      </c>
      <c r="T7" s="62" t="s">
        <v>177</v>
      </c>
    </row>
    <row r="8" spans="2:20" ht="16.5" customHeight="1">
      <c r="B8" s="63">
        <v>1</v>
      </c>
      <c r="C8" s="63" t="s">
        <v>8</v>
      </c>
      <c r="D8" s="64" t="s">
        <v>6</v>
      </c>
      <c r="E8" s="65" t="s">
        <v>7</v>
      </c>
      <c r="F8" s="63" t="s">
        <v>9</v>
      </c>
      <c r="G8" s="66">
        <v>500</v>
      </c>
      <c r="H8" s="67" t="s">
        <v>178</v>
      </c>
      <c r="I8" s="67" t="s">
        <v>179</v>
      </c>
      <c r="K8" s="27" t="s">
        <v>103</v>
      </c>
      <c r="M8" s="27">
        <v>475</v>
      </c>
      <c r="N8" s="27">
        <v>464.99999999999994</v>
      </c>
      <c r="O8" s="27">
        <v>450</v>
      </c>
      <c r="Q8" s="29">
        <v>725</v>
      </c>
    </row>
    <row r="9" spans="2:20" ht="16.5" customHeight="1">
      <c r="B9" s="63">
        <v>2</v>
      </c>
      <c r="C9" s="63" t="s">
        <v>8</v>
      </c>
      <c r="D9" s="64" t="s">
        <v>11</v>
      </c>
      <c r="E9" s="65" t="s">
        <v>7</v>
      </c>
      <c r="F9" s="63" t="s">
        <v>12</v>
      </c>
      <c r="G9" s="66">
        <v>500</v>
      </c>
      <c r="H9" s="67" t="s">
        <v>178</v>
      </c>
      <c r="I9" s="67" t="s">
        <v>179</v>
      </c>
      <c r="K9" s="27" t="s">
        <v>103</v>
      </c>
      <c r="M9" s="27">
        <v>475</v>
      </c>
      <c r="N9" s="27">
        <v>464.99999999999994</v>
      </c>
      <c r="O9" s="27">
        <v>450</v>
      </c>
      <c r="Q9" s="29">
        <v>725</v>
      </c>
    </row>
    <row r="10" spans="2:20" ht="16.5" customHeight="1">
      <c r="B10" s="63">
        <v>3</v>
      </c>
      <c r="C10" s="63" t="s">
        <v>8</v>
      </c>
      <c r="D10" s="64" t="s">
        <v>13</v>
      </c>
      <c r="E10" s="65" t="s">
        <v>7</v>
      </c>
      <c r="F10" s="63" t="s">
        <v>12</v>
      </c>
      <c r="G10" s="66">
        <v>500</v>
      </c>
      <c r="H10" s="67" t="s">
        <v>178</v>
      </c>
      <c r="I10" s="67" t="s">
        <v>179</v>
      </c>
      <c r="K10" s="27" t="s">
        <v>103</v>
      </c>
      <c r="M10" s="27">
        <v>475</v>
      </c>
      <c r="N10" s="27">
        <v>464.99999999999994</v>
      </c>
      <c r="O10" s="27">
        <v>450</v>
      </c>
      <c r="Q10" s="29">
        <v>725</v>
      </c>
    </row>
    <row r="11" spans="2:20" ht="16.5" customHeight="1">
      <c r="B11" s="63">
        <v>4</v>
      </c>
      <c r="C11" s="63" t="s">
        <v>8</v>
      </c>
      <c r="D11" s="64" t="s">
        <v>10</v>
      </c>
      <c r="E11" s="65" t="s">
        <v>7</v>
      </c>
      <c r="F11" s="63" t="s">
        <v>12</v>
      </c>
      <c r="G11" s="66">
        <v>500</v>
      </c>
      <c r="H11" s="67" t="s">
        <v>178</v>
      </c>
      <c r="I11" s="67" t="s">
        <v>179</v>
      </c>
      <c r="K11" s="27" t="s">
        <v>103</v>
      </c>
      <c r="M11" s="27">
        <v>475</v>
      </c>
      <c r="N11" s="27">
        <v>464.99999999999994</v>
      </c>
      <c r="O11" s="27">
        <v>450</v>
      </c>
      <c r="Q11" s="29">
        <v>725</v>
      </c>
    </row>
    <row r="12" spans="2:20" ht="16.5" customHeight="1">
      <c r="B12" s="63">
        <v>5</v>
      </c>
      <c r="C12" s="63" t="s">
        <v>8</v>
      </c>
      <c r="D12" s="64" t="s">
        <v>15</v>
      </c>
      <c r="E12" s="65" t="s">
        <v>7</v>
      </c>
      <c r="F12" s="63" t="s">
        <v>12</v>
      </c>
      <c r="G12" s="66">
        <v>500</v>
      </c>
      <c r="H12" s="67" t="s">
        <v>178</v>
      </c>
      <c r="I12" s="67" t="s">
        <v>179</v>
      </c>
      <c r="K12" s="27" t="s">
        <v>103</v>
      </c>
      <c r="M12" s="27">
        <v>475</v>
      </c>
      <c r="N12" s="27">
        <v>464.99999999999994</v>
      </c>
      <c r="O12" s="27">
        <v>450</v>
      </c>
      <c r="Q12" s="29">
        <v>725</v>
      </c>
    </row>
    <row r="13" spans="2:20" ht="16.5" customHeight="1">
      <c r="B13" s="63">
        <v>6</v>
      </c>
      <c r="C13" s="63" t="s">
        <v>8</v>
      </c>
      <c r="D13" s="64" t="s">
        <v>16</v>
      </c>
      <c r="E13" s="65" t="s">
        <v>7</v>
      </c>
      <c r="F13" s="63" t="s">
        <v>12</v>
      </c>
      <c r="G13" s="66">
        <v>500</v>
      </c>
      <c r="H13" s="67" t="s">
        <v>178</v>
      </c>
      <c r="I13" s="67" t="s">
        <v>179</v>
      </c>
      <c r="K13" s="27" t="s">
        <v>103</v>
      </c>
      <c r="M13" s="27">
        <v>475</v>
      </c>
      <c r="N13" s="27">
        <v>464.99999999999994</v>
      </c>
      <c r="O13" s="27">
        <v>450</v>
      </c>
      <c r="Q13" s="29">
        <v>725</v>
      </c>
    </row>
    <row r="14" spans="2:20" ht="16.5" customHeight="1">
      <c r="B14" s="63">
        <v>7</v>
      </c>
      <c r="C14" s="63" t="s">
        <v>18</v>
      </c>
      <c r="D14" s="64" t="s">
        <v>17</v>
      </c>
      <c r="E14" s="65" t="s">
        <v>7</v>
      </c>
      <c r="F14" s="63" t="s">
        <v>12</v>
      </c>
      <c r="G14" s="66">
        <v>700</v>
      </c>
      <c r="H14" s="67" t="s">
        <v>178</v>
      </c>
      <c r="I14" s="67" t="s">
        <v>179</v>
      </c>
      <c r="K14" s="27" t="s">
        <v>104</v>
      </c>
      <c r="M14" s="27">
        <v>665</v>
      </c>
      <c r="N14" s="27">
        <v>650</v>
      </c>
      <c r="O14" s="27">
        <v>630</v>
      </c>
      <c r="Q14" s="29">
        <v>1015</v>
      </c>
    </row>
    <row r="15" spans="2:20" ht="16.5" customHeight="1">
      <c r="B15" s="63">
        <v>8</v>
      </c>
      <c r="C15" s="63" t="s">
        <v>18</v>
      </c>
      <c r="D15" s="68" t="s">
        <v>180</v>
      </c>
      <c r="E15" s="65" t="s">
        <v>7</v>
      </c>
      <c r="F15" s="63" t="s">
        <v>12</v>
      </c>
      <c r="G15" s="66">
        <v>700</v>
      </c>
      <c r="H15" s="67" t="s">
        <v>178</v>
      </c>
      <c r="I15" s="67" t="s">
        <v>179</v>
      </c>
      <c r="K15" s="27" t="s">
        <v>104</v>
      </c>
      <c r="M15" s="27">
        <v>665</v>
      </c>
      <c r="N15" s="27">
        <v>650</v>
      </c>
      <c r="O15" s="27">
        <v>630</v>
      </c>
      <c r="Q15" s="29">
        <v>1015</v>
      </c>
    </row>
    <row r="16" spans="2:20" ht="16.5" customHeight="1">
      <c r="B16" s="63">
        <v>9</v>
      </c>
      <c r="C16" s="63" t="s">
        <v>8</v>
      </c>
      <c r="D16" s="64" t="s">
        <v>14</v>
      </c>
      <c r="E16" s="65" t="s">
        <v>7</v>
      </c>
      <c r="F16" s="63" t="s">
        <v>12</v>
      </c>
      <c r="G16" s="66">
        <v>500</v>
      </c>
      <c r="H16" s="67" t="s">
        <v>178</v>
      </c>
      <c r="I16" s="67" t="s">
        <v>179</v>
      </c>
      <c r="K16" s="27" t="s">
        <v>103</v>
      </c>
      <c r="M16" s="27">
        <v>475</v>
      </c>
      <c r="N16" s="27">
        <v>464.99999999999994</v>
      </c>
      <c r="O16" s="27">
        <v>450</v>
      </c>
      <c r="Q16" s="29">
        <v>725</v>
      </c>
    </row>
    <row r="17" spans="2:19" ht="16.5" customHeight="1">
      <c r="B17" s="63">
        <v>10</v>
      </c>
      <c r="C17" s="63" t="s">
        <v>20</v>
      </c>
      <c r="D17" s="67" t="s">
        <v>181</v>
      </c>
      <c r="E17" s="65" t="s">
        <v>182</v>
      </c>
      <c r="F17" s="63" t="s">
        <v>21</v>
      </c>
      <c r="G17" s="69">
        <v>700</v>
      </c>
      <c r="H17" s="67" t="s">
        <v>183</v>
      </c>
      <c r="I17" s="67" t="s">
        <v>184</v>
      </c>
      <c r="K17" s="27" t="s">
        <v>105</v>
      </c>
      <c r="M17" s="27">
        <v>665</v>
      </c>
      <c r="N17" s="27">
        <v>650</v>
      </c>
      <c r="O17" s="27">
        <v>630</v>
      </c>
      <c r="Q17" s="29">
        <v>1015</v>
      </c>
    </row>
    <row r="18" spans="2:19" ht="16.5" customHeight="1">
      <c r="B18" s="63">
        <v>11</v>
      </c>
      <c r="C18" s="63" t="s">
        <v>185</v>
      </c>
      <c r="D18" s="67" t="s">
        <v>186</v>
      </c>
      <c r="E18" s="65" t="s">
        <v>187</v>
      </c>
      <c r="F18" s="63" t="s">
        <v>21</v>
      </c>
      <c r="G18" s="69">
        <v>850</v>
      </c>
      <c r="H18" s="67" t="s">
        <v>188</v>
      </c>
      <c r="I18" s="67" t="s">
        <v>184</v>
      </c>
      <c r="K18" s="27" t="s">
        <v>189</v>
      </c>
      <c r="M18" s="27">
        <v>810</v>
      </c>
      <c r="N18" s="27">
        <v>790</v>
      </c>
      <c r="O18" s="27">
        <v>765</v>
      </c>
      <c r="Q18" s="29">
        <v>1235</v>
      </c>
    </row>
    <row r="19" spans="2:19" ht="16.5" customHeight="1">
      <c r="B19" s="63">
        <v>12</v>
      </c>
      <c r="C19" s="63" t="s">
        <v>24</v>
      </c>
      <c r="D19" s="64" t="s">
        <v>23</v>
      </c>
      <c r="E19" s="65" t="s">
        <v>7</v>
      </c>
      <c r="F19" s="63" t="s">
        <v>21</v>
      </c>
      <c r="G19" s="66">
        <v>700</v>
      </c>
      <c r="H19" s="67" t="s">
        <v>178</v>
      </c>
      <c r="I19" s="67" t="s">
        <v>184</v>
      </c>
      <c r="K19" s="27" t="s">
        <v>107</v>
      </c>
      <c r="M19" s="27">
        <v>665</v>
      </c>
      <c r="N19" s="27">
        <v>650</v>
      </c>
      <c r="O19" s="27">
        <v>630</v>
      </c>
      <c r="Q19" s="29">
        <v>1015</v>
      </c>
    </row>
    <row r="20" spans="2:19" ht="16.5" customHeight="1">
      <c r="B20" s="63">
        <v>13</v>
      </c>
      <c r="C20" s="63" t="s">
        <v>26</v>
      </c>
      <c r="D20" s="64" t="s">
        <v>25</v>
      </c>
      <c r="E20" s="65" t="s">
        <v>7</v>
      </c>
      <c r="F20" s="63" t="s">
        <v>21</v>
      </c>
      <c r="G20" s="66">
        <v>700</v>
      </c>
      <c r="H20" s="67" t="s">
        <v>178</v>
      </c>
      <c r="I20" s="67" t="s">
        <v>184</v>
      </c>
      <c r="K20" s="27" t="s">
        <v>108</v>
      </c>
      <c r="M20" s="27">
        <v>665</v>
      </c>
      <c r="N20" s="27">
        <v>650</v>
      </c>
      <c r="O20" s="27">
        <v>630</v>
      </c>
      <c r="Q20" s="29">
        <v>1015</v>
      </c>
    </row>
    <row r="21" spans="2:19" ht="16.5" customHeight="1">
      <c r="B21" s="63">
        <v>14</v>
      </c>
      <c r="C21" s="63" t="s">
        <v>190</v>
      </c>
      <c r="D21" s="64" t="s">
        <v>191</v>
      </c>
      <c r="E21" s="65" t="s">
        <v>192</v>
      </c>
      <c r="F21" s="63" t="s">
        <v>21</v>
      </c>
      <c r="G21" s="66">
        <v>850</v>
      </c>
      <c r="H21" s="67" t="s">
        <v>188</v>
      </c>
      <c r="I21" s="67" t="s">
        <v>179</v>
      </c>
      <c r="K21" s="27" t="s">
        <v>193</v>
      </c>
      <c r="M21" s="27">
        <v>810</v>
      </c>
      <c r="N21" s="27">
        <v>790</v>
      </c>
      <c r="O21" s="27">
        <v>765</v>
      </c>
      <c r="Q21" s="29">
        <v>1235</v>
      </c>
    </row>
    <row r="22" spans="2:19" ht="16.5" customHeight="1">
      <c r="B22" s="63">
        <v>15</v>
      </c>
      <c r="C22" s="63" t="s">
        <v>30</v>
      </c>
      <c r="D22" s="64" t="s">
        <v>29</v>
      </c>
      <c r="E22" s="65" t="s">
        <v>194</v>
      </c>
      <c r="F22" s="63" t="s">
        <v>21</v>
      </c>
      <c r="G22" s="66">
        <v>700</v>
      </c>
      <c r="H22" s="67" t="s">
        <v>178</v>
      </c>
      <c r="I22" s="67" t="s">
        <v>184</v>
      </c>
      <c r="K22" s="27" t="s">
        <v>110</v>
      </c>
      <c r="M22" s="27">
        <v>665</v>
      </c>
      <c r="N22" s="27">
        <v>650</v>
      </c>
      <c r="O22" s="27">
        <v>630</v>
      </c>
      <c r="Q22" s="29">
        <v>1015</v>
      </c>
    </row>
    <row r="23" spans="2:19" ht="16.5" customHeight="1">
      <c r="B23" s="63">
        <v>16</v>
      </c>
      <c r="C23" s="63" t="s">
        <v>195</v>
      </c>
      <c r="D23" s="67" t="s">
        <v>196</v>
      </c>
      <c r="E23" s="65" t="s">
        <v>197</v>
      </c>
      <c r="F23" s="63" t="s">
        <v>21</v>
      </c>
      <c r="G23" s="66">
        <v>500</v>
      </c>
      <c r="H23" s="67" t="s">
        <v>188</v>
      </c>
      <c r="I23" s="67" t="s">
        <v>184</v>
      </c>
      <c r="K23" s="27" t="s">
        <v>198</v>
      </c>
      <c r="M23" s="27">
        <v>475</v>
      </c>
      <c r="N23" s="27">
        <v>464.99999999999994</v>
      </c>
      <c r="O23" s="27">
        <v>450</v>
      </c>
      <c r="Q23" s="29">
        <v>725</v>
      </c>
    </row>
    <row r="24" spans="2:19" ht="16.5" customHeight="1">
      <c r="B24" s="63">
        <v>17</v>
      </c>
      <c r="C24" s="63" t="s">
        <v>33</v>
      </c>
      <c r="D24" s="64" t="s">
        <v>199</v>
      </c>
      <c r="E24" s="65" t="s">
        <v>200</v>
      </c>
      <c r="F24" s="63" t="s">
        <v>12</v>
      </c>
      <c r="G24" s="66">
        <v>700</v>
      </c>
      <c r="H24" s="67" t="s">
        <v>178</v>
      </c>
      <c r="I24" s="67" t="s">
        <v>184</v>
      </c>
      <c r="K24" s="27" t="s">
        <v>1483</v>
      </c>
      <c r="M24" s="27">
        <v>665</v>
      </c>
      <c r="N24" s="27">
        <v>650</v>
      </c>
      <c r="O24" s="27">
        <v>630</v>
      </c>
      <c r="Q24" s="29">
        <v>1015</v>
      </c>
    </row>
    <row r="25" spans="2:19" ht="16.5" customHeight="1">
      <c r="B25" s="63">
        <v>18</v>
      </c>
      <c r="C25" s="63" t="s">
        <v>201</v>
      </c>
      <c r="D25" s="64" t="s">
        <v>202</v>
      </c>
      <c r="E25" s="65" t="s">
        <v>203</v>
      </c>
      <c r="F25" s="63" t="s">
        <v>12</v>
      </c>
      <c r="G25" s="66">
        <v>850</v>
      </c>
      <c r="H25" s="67"/>
      <c r="I25" s="67"/>
      <c r="K25" s="27" t="s">
        <v>204</v>
      </c>
      <c r="M25" s="27">
        <v>810</v>
      </c>
      <c r="N25" s="27">
        <v>790</v>
      </c>
      <c r="O25" s="27">
        <v>765</v>
      </c>
      <c r="Q25" s="29">
        <v>1235</v>
      </c>
    </row>
    <row r="26" spans="2:19" s="70" customFormat="1" ht="16.5" customHeight="1">
      <c r="B26" s="63">
        <v>19</v>
      </c>
      <c r="C26" s="63" t="s">
        <v>205</v>
      </c>
      <c r="D26" s="64" t="s">
        <v>206</v>
      </c>
      <c r="E26" s="65" t="s">
        <v>207</v>
      </c>
      <c r="F26" s="63" t="s">
        <v>12</v>
      </c>
      <c r="G26" s="66">
        <v>1050</v>
      </c>
      <c r="H26" s="67" t="s">
        <v>188</v>
      </c>
      <c r="I26" s="67" t="s">
        <v>179</v>
      </c>
      <c r="J26" s="26"/>
      <c r="K26" s="27" t="s">
        <v>208</v>
      </c>
      <c r="L26" s="26"/>
      <c r="M26" s="27">
        <v>1000</v>
      </c>
      <c r="N26" s="27">
        <v>980</v>
      </c>
      <c r="O26" s="27">
        <v>950</v>
      </c>
      <c r="P26" s="28"/>
      <c r="Q26" s="29">
        <v>1525</v>
      </c>
      <c r="R26" s="28"/>
      <c r="S26" s="3"/>
    </row>
    <row r="27" spans="2:19" ht="16.5" customHeight="1">
      <c r="B27" s="63">
        <v>20</v>
      </c>
      <c r="C27" s="63" t="s">
        <v>22</v>
      </c>
      <c r="D27" s="67" t="s">
        <v>209</v>
      </c>
      <c r="E27" s="65" t="s">
        <v>210</v>
      </c>
      <c r="F27" s="63" t="s">
        <v>21</v>
      </c>
      <c r="G27" s="66">
        <v>700</v>
      </c>
      <c r="H27" s="67" t="s">
        <v>183</v>
      </c>
      <c r="I27" s="67" t="s">
        <v>184</v>
      </c>
      <c r="K27" s="27" t="s">
        <v>106</v>
      </c>
      <c r="M27" s="27">
        <v>665</v>
      </c>
      <c r="N27" s="27">
        <v>650</v>
      </c>
      <c r="O27" s="27">
        <v>630</v>
      </c>
      <c r="Q27" s="29">
        <v>1015</v>
      </c>
    </row>
    <row r="28" spans="2:19" ht="16.5" customHeight="1">
      <c r="B28" s="63">
        <v>21</v>
      </c>
      <c r="C28" s="63" t="s">
        <v>211</v>
      </c>
      <c r="D28" s="67" t="s">
        <v>212</v>
      </c>
      <c r="E28" s="65" t="s">
        <v>213</v>
      </c>
      <c r="F28" s="63" t="s">
        <v>21</v>
      </c>
      <c r="G28" s="66">
        <v>850</v>
      </c>
      <c r="H28" s="67"/>
      <c r="I28" s="67"/>
      <c r="K28" s="27" t="s">
        <v>214</v>
      </c>
      <c r="M28" s="27">
        <v>810</v>
      </c>
      <c r="N28" s="27">
        <v>790</v>
      </c>
      <c r="O28" s="27">
        <v>765</v>
      </c>
      <c r="Q28" s="29">
        <v>1235</v>
      </c>
    </row>
    <row r="29" spans="2:19" ht="16.5" customHeight="1">
      <c r="B29" s="63">
        <v>22</v>
      </c>
      <c r="C29" s="63" t="s">
        <v>215</v>
      </c>
      <c r="D29" s="67" t="s">
        <v>216</v>
      </c>
      <c r="E29" s="65" t="s">
        <v>217</v>
      </c>
      <c r="F29" s="63" t="s">
        <v>21</v>
      </c>
      <c r="G29" s="69">
        <v>1050</v>
      </c>
      <c r="H29" s="67" t="s">
        <v>188</v>
      </c>
      <c r="I29" s="67" t="s">
        <v>184</v>
      </c>
      <c r="K29" s="208" t="s">
        <v>1563</v>
      </c>
      <c r="M29" s="27">
        <v>1000</v>
      </c>
      <c r="N29" s="27">
        <v>980</v>
      </c>
      <c r="O29" s="27">
        <v>950</v>
      </c>
      <c r="Q29" s="29">
        <v>1525</v>
      </c>
    </row>
    <row r="30" spans="2:19" ht="16.5" customHeight="1">
      <c r="B30" s="63">
        <v>23</v>
      </c>
      <c r="C30" s="63" t="s">
        <v>28</v>
      </c>
      <c r="D30" s="64" t="s">
        <v>27</v>
      </c>
      <c r="E30" s="65" t="s">
        <v>7</v>
      </c>
      <c r="F30" s="63" t="s">
        <v>21</v>
      </c>
      <c r="G30" s="66">
        <v>700</v>
      </c>
      <c r="H30" s="67" t="s">
        <v>178</v>
      </c>
      <c r="I30" s="67" t="s">
        <v>184</v>
      </c>
      <c r="K30" s="27" t="s">
        <v>109</v>
      </c>
      <c r="M30" s="27">
        <v>665</v>
      </c>
      <c r="N30" s="27">
        <v>650</v>
      </c>
      <c r="O30" s="27">
        <v>630</v>
      </c>
      <c r="Q30" s="29">
        <v>1015</v>
      </c>
    </row>
    <row r="31" spans="2:19" ht="16.5" customHeight="1">
      <c r="B31" s="63">
        <v>24</v>
      </c>
      <c r="C31" s="63" t="s">
        <v>32</v>
      </c>
      <c r="D31" s="64" t="s">
        <v>31</v>
      </c>
      <c r="E31" s="65" t="s">
        <v>218</v>
      </c>
      <c r="F31" s="63" t="s">
        <v>21</v>
      </c>
      <c r="G31" s="66">
        <v>700</v>
      </c>
      <c r="H31" s="67" t="s">
        <v>178</v>
      </c>
      <c r="I31" s="67" t="s">
        <v>184</v>
      </c>
      <c r="K31" s="27" t="s">
        <v>111</v>
      </c>
      <c r="M31" s="27">
        <v>665</v>
      </c>
      <c r="N31" s="27">
        <v>650</v>
      </c>
      <c r="O31" s="27">
        <v>630</v>
      </c>
      <c r="Q31" s="29">
        <v>1015</v>
      </c>
    </row>
    <row r="32" spans="2:19" ht="16.5" customHeight="1">
      <c r="B32" s="63">
        <v>25</v>
      </c>
      <c r="C32" s="63" t="s">
        <v>219</v>
      </c>
      <c r="D32" s="67" t="s">
        <v>220</v>
      </c>
      <c r="E32" s="65" t="s">
        <v>221</v>
      </c>
      <c r="F32" s="63" t="s">
        <v>21</v>
      </c>
      <c r="G32" s="69">
        <v>500</v>
      </c>
      <c r="H32" s="67" t="s">
        <v>188</v>
      </c>
      <c r="I32" s="67" t="s">
        <v>184</v>
      </c>
      <c r="K32" s="27" t="s">
        <v>222</v>
      </c>
      <c r="M32" s="27">
        <v>475</v>
      </c>
      <c r="N32" s="27">
        <v>464.99999999999994</v>
      </c>
      <c r="O32" s="27">
        <v>450</v>
      </c>
      <c r="Q32" s="29">
        <v>725</v>
      </c>
    </row>
    <row r="33" spans="1:19" ht="16.5" customHeight="1">
      <c r="B33" s="63">
        <v>26</v>
      </c>
      <c r="C33" s="63" t="s">
        <v>223</v>
      </c>
      <c r="D33" s="64" t="s">
        <v>224</v>
      </c>
      <c r="E33" s="65" t="s">
        <v>225</v>
      </c>
      <c r="F33" s="63" t="s">
        <v>12</v>
      </c>
      <c r="G33" s="66">
        <v>850</v>
      </c>
      <c r="H33" s="67" t="s">
        <v>188</v>
      </c>
      <c r="I33" s="67" t="s">
        <v>179</v>
      </c>
      <c r="K33" s="27" t="s">
        <v>226</v>
      </c>
      <c r="M33" s="27">
        <v>810</v>
      </c>
      <c r="N33" s="27">
        <v>790</v>
      </c>
      <c r="O33" s="27">
        <v>765</v>
      </c>
      <c r="Q33" s="29">
        <v>1235</v>
      </c>
    </row>
    <row r="34" spans="1:19" ht="16.5" customHeight="1">
      <c r="B34" s="63">
        <v>27</v>
      </c>
      <c r="C34" s="63" t="s">
        <v>227</v>
      </c>
      <c r="D34" s="64" t="s">
        <v>228</v>
      </c>
      <c r="E34" s="65" t="s">
        <v>229</v>
      </c>
      <c r="F34" s="63" t="s">
        <v>12</v>
      </c>
      <c r="G34" s="66">
        <v>1050</v>
      </c>
      <c r="H34" s="67" t="s">
        <v>183</v>
      </c>
      <c r="I34" s="67" t="s">
        <v>179</v>
      </c>
      <c r="K34" s="27" t="s">
        <v>230</v>
      </c>
      <c r="M34" s="27">
        <v>1000</v>
      </c>
      <c r="N34" s="27">
        <v>980</v>
      </c>
      <c r="O34" s="27">
        <v>950</v>
      </c>
      <c r="Q34" s="29">
        <v>1525</v>
      </c>
    </row>
    <row r="35" spans="1:19" ht="16.5" customHeight="1">
      <c r="B35" s="63">
        <v>28</v>
      </c>
      <c r="C35" s="63" t="s">
        <v>231</v>
      </c>
      <c r="D35" s="64" t="s">
        <v>232</v>
      </c>
      <c r="E35" s="65" t="s">
        <v>233</v>
      </c>
      <c r="F35" s="63" t="s">
        <v>12</v>
      </c>
      <c r="G35" s="66">
        <v>1250</v>
      </c>
      <c r="H35" s="67" t="s">
        <v>188</v>
      </c>
      <c r="I35" s="67" t="s">
        <v>179</v>
      </c>
      <c r="K35" s="27" t="s">
        <v>1481</v>
      </c>
      <c r="M35" s="27">
        <v>1190</v>
      </c>
      <c r="N35" s="27">
        <v>1165</v>
      </c>
      <c r="O35" s="27">
        <v>1125</v>
      </c>
      <c r="Q35" s="29">
        <v>1815</v>
      </c>
    </row>
    <row r="36" spans="1:19" ht="16.5" customHeight="1">
      <c r="B36" s="63">
        <v>29</v>
      </c>
      <c r="C36" s="63" t="s">
        <v>234</v>
      </c>
      <c r="D36" s="64" t="s">
        <v>235</v>
      </c>
      <c r="E36" s="65" t="s">
        <v>236</v>
      </c>
      <c r="F36" s="63" t="s">
        <v>12</v>
      </c>
      <c r="G36" s="66">
        <v>1500</v>
      </c>
      <c r="H36" s="67" t="s">
        <v>188</v>
      </c>
      <c r="I36" s="67" t="s">
        <v>179</v>
      </c>
      <c r="K36" s="27" t="s">
        <v>1482</v>
      </c>
      <c r="M36" s="27">
        <v>1425</v>
      </c>
      <c r="N36" s="27">
        <v>1395</v>
      </c>
      <c r="O36" s="27">
        <v>1350</v>
      </c>
      <c r="Q36" s="29">
        <v>2175</v>
      </c>
    </row>
    <row r="37" spans="1:19" s="1" customFormat="1" ht="16.5" customHeight="1">
      <c r="A37" s="3"/>
      <c r="B37" s="63">
        <v>30</v>
      </c>
      <c r="C37" s="63" t="s">
        <v>34</v>
      </c>
      <c r="D37" s="71" t="s">
        <v>237</v>
      </c>
      <c r="E37" s="72" t="s">
        <v>238</v>
      </c>
      <c r="F37" s="73" t="s">
        <v>12</v>
      </c>
      <c r="G37" s="74">
        <v>700</v>
      </c>
      <c r="H37" s="71" t="s">
        <v>183</v>
      </c>
      <c r="I37" s="71" t="s">
        <v>184</v>
      </c>
      <c r="J37" s="26"/>
      <c r="K37" s="27" t="s">
        <v>1564</v>
      </c>
      <c r="L37" s="26"/>
      <c r="M37" s="75">
        <v>665</v>
      </c>
      <c r="N37" s="75">
        <v>650</v>
      </c>
      <c r="O37" s="75">
        <v>630</v>
      </c>
      <c r="P37" s="28"/>
      <c r="Q37" s="29">
        <v>1015</v>
      </c>
      <c r="R37" s="28"/>
      <c r="S37" s="3"/>
    </row>
    <row r="38" spans="1:19" s="1" customFormat="1" ht="16.5" customHeight="1">
      <c r="A38" s="3"/>
      <c r="B38" s="63">
        <v>31</v>
      </c>
      <c r="C38" s="63" t="s">
        <v>35</v>
      </c>
      <c r="D38" s="76" t="s">
        <v>239</v>
      </c>
      <c r="E38" s="72" t="s">
        <v>240</v>
      </c>
      <c r="F38" s="73" t="s">
        <v>12</v>
      </c>
      <c r="G38" s="74">
        <v>850</v>
      </c>
      <c r="H38" s="71" t="s">
        <v>183</v>
      </c>
      <c r="I38" s="71" t="s">
        <v>184</v>
      </c>
      <c r="J38" s="26"/>
      <c r="K38" s="27" t="s">
        <v>1565</v>
      </c>
      <c r="L38" s="26"/>
      <c r="M38" s="75">
        <v>810</v>
      </c>
      <c r="N38" s="75">
        <v>790</v>
      </c>
      <c r="O38" s="75">
        <v>765</v>
      </c>
      <c r="P38" s="28"/>
      <c r="Q38" s="29">
        <v>1235</v>
      </c>
      <c r="R38" s="28"/>
      <c r="S38" s="3"/>
    </row>
    <row r="39" spans="1:19" s="1" customFormat="1" ht="16.5" customHeight="1">
      <c r="A39" s="3"/>
      <c r="B39" s="63">
        <v>32</v>
      </c>
      <c r="C39" s="63" t="s">
        <v>37</v>
      </c>
      <c r="D39" s="77" t="s">
        <v>241</v>
      </c>
      <c r="E39" s="78" t="s">
        <v>242</v>
      </c>
      <c r="F39" s="73" t="s">
        <v>12</v>
      </c>
      <c r="G39" s="74">
        <v>1050</v>
      </c>
      <c r="H39" s="71" t="s">
        <v>183</v>
      </c>
      <c r="I39" s="71" t="s">
        <v>184</v>
      </c>
      <c r="J39" s="26"/>
      <c r="K39" s="27" t="s">
        <v>243</v>
      </c>
      <c r="L39" s="26"/>
      <c r="M39" s="75">
        <v>1000</v>
      </c>
      <c r="N39" s="75">
        <v>980</v>
      </c>
      <c r="O39" s="75">
        <v>950</v>
      </c>
      <c r="P39" s="28"/>
      <c r="Q39" s="29">
        <v>1525</v>
      </c>
      <c r="R39" s="28"/>
      <c r="S39" s="3"/>
    </row>
    <row r="40" spans="1:19" s="1" customFormat="1" ht="16.5" customHeight="1">
      <c r="A40" s="3"/>
      <c r="B40" s="63">
        <v>33</v>
      </c>
      <c r="C40" s="63" t="s">
        <v>37</v>
      </c>
      <c r="D40" s="77" t="s">
        <v>244</v>
      </c>
      <c r="E40" s="72" t="s">
        <v>245</v>
      </c>
      <c r="F40" s="73" t="s">
        <v>12</v>
      </c>
      <c r="G40" s="74">
        <v>1050</v>
      </c>
      <c r="H40" s="71" t="s">
        <v>183</v>
      </c>
      <c r="I40" s="71" t="s">
        <v>184</v>
      </c>
      <c r="J40" s="26"/>
      <c r="K40" s="27" t="s">
        <v>243</v>
      </c>
      <c r="L40" s="26"/>
      <c r="M40" s="75">
        <v>1000</v>
      </c>
      <c r="N40" s="75">
        <v>980</v>
      </c>
      <c r="O40" s="75">
        <v>950</v>
      </c>
      <c r="P40" s="28"/>
      <c r="Q40" s="29">
        <v>1525</v>
      </c>
      <c r="R40" s="28"/>
      <c r="S40" s="3"/>
    </row>
    <row r="41" spans="1:19" s="1" customFormat="1" ht="16.5" customHeight="1">
      <c r="A41" s="3"/>
      <c r="B41" s="63">
        <v>34</v>
      </c>
      <c r="C41" s="63" t="s">
        <v>246</v>
      </c>
      <c r="D41" s="77" t="s">
        <v>247</v>
      </c>
      <c r="E41" s="78" t="s">
        <v>248</v>
      </c>
      <c r="F41" s="73" t="s">
        <v>12</v>
      </c>
      <c r="G41" s="74">
        <v>1250</v>
      </c>
      <c r="H41" s="71" t="s">
        <v>183</v>
      </c>
      <c r="I41" s="71" t="s">
        <v>184</v>
      </c>
      <c r="J41" s="26"/>
      <c r="K41" s="27" t="s">
        <v>249</v>
      </c>
      <c r="L41" s="26"/>
      <c r="M41" s="75">
        <v>1190</v>
      </c>
      <c r="N41" s="75">
        <v>1165</v>
      </c>
      <c r="O41" s="75">
        <v>1125</v>
      </c>
      <c r="P41" s="28"/>
      <c r="Q41" s="29">
        <v>1815</v>
      </c>
      <c r="R41" s="28"/>
      <c r="S41" s="3"/>
    </row>
    <row r="42" spans="1:19" s="1" customFormat="1" ht="16.5" customHeight="1">
      <c r="A42" s="3"/>
      <c r="B42" s="63">
        <v>35</v>
      </c>
      <c r="C42" s="63" t="s">
        <v>250</v>
      </c>
      <c r="D42" s="77" t="s">
        <v>251</v>
      </c>
      <c r="E42" s="78" t="s">
        <v>252</v>
      </c>
      <c r="F42" s="73" t="s">
        <v>12</v>
      </c>
      <c r="G42" s="74">
        <v>1500</v>
      </c>
      <c r="H42" s="71" t="s">
        <v>183</v>
      </c>
      <c r="I42" s="71" t="s">
        <v>184</v>
      </c>
      <c r="J42" s="26"/>
      <c r="K42" s="27" t="s">
        <v>253</v>
      </c>
      <c r="L42" s="26"/>
      <c r="M42" s="75">
        <v>1425</v>
      </c>
      <c r="N42" s="75">
        <v>1395</v>
      </c>
      <c r="O42" s="75">
        <v>1350</v>
      </c>
      <c r="P42" s="28"/>
      <c r="Q42" s="29">
        <v>2175</v>
      </c>
      <c r="R42" s="28"/>
      <c r="S42" s="3"/>
    </row>
    <row r="43" spans="1:19" s="1" customFormat="1" ht="16.5" customHeight="1">
      <c r="A43" s="3"/>
      <c r="B43" s="63">
        <v>36</v>
      </c>
      <c r="C43" s="63" t="s">
        <v>246</v>
      </c>
      <c r="D43" s="79" t="s">
        <v>254</v>
      </c>
      <c r="E43" s="80" t="s">
        <v>255</v>
      </c>
      <c r="F43" s="81" t="s">
        <v>12</v>
      </c>
      <c r="G43" s="82">
        <v>1250</v>
      </c>
      <c r="H43" s="83"/>
      <c r="I43" s="83"/>
      <c r="J43" s="26"/>
      <c r="K43" s="27" t="s">
        <v>249</v>
      </c>
      <c r="L43" s="26"/>
      <c r="M43" s="84">
        <v>1190</v>
      </c>
      <c r="N43" s="84">
        <v>1165</v>
      </c>
      <c r="O43" s="84">
        <v>1125</v>
      </c>
      <c r="P43" s="28"/>
      <c r="Q43" s="29">
        <v>1815</v>
      </c>
      <c r="R43" s="28"/>
      <c r="S43" s="3"/>
    </row>
    <row r="44" spans="1:19" s="1" customFormat="1" ht="16.5" customHeight="1">
      <c r="A44" s="3"/>
      <c r="B44" s="63">
        <v>37</v>
      </c>
      <c r="C44" s="63" t="s">
        <v>250</v>
      </c>
      <c r="D44" s="79" t="s">
        <v>256</v>
      </c>
      <c r="E44" s="80" t="s">
        <v>257</v>
      </c>
      <c r="F44" s="81" t="s">
        <v>12</v>
      </c>
      <c r="G44" s="82">
        <v>1500</v>
      </c>
      <c r="H44" s="83"/>
      <c r="I44" s="83"/>
      <c r="J44" s="26"/>
      <c r="K44" s="27" t="s">
        <v>253</v>
      </c>
      <c r="L44" s="26"/>
      <c r="M44" s="84">
        <v>1425</v>
      </c>
      <c r="N44" s="84">
        <v>1395</v>
      </c>
      <c r="O44" s="84">
        <v>1350</v>
      </c>
      <c r="P44" s="28"/>
      <c r="Q44" s="29">
        <v>2175</v>
      </c>
      <c r="R44" s="28"/>
      <c r="S44" s="3"/>
    </row>
    <row r="45" spans="1:19" s="1" customFormat="1" ht="16.5" customHeight="1">
      <c r="A45" s="3"/>
      <c r="B45" s="63">
        <v>38</v>
      </c>
      <c r="C45" s="63" t="s">
        <v>250</v>
      </c>
      <c r="D45" s="85" t="s">
        <v>258</v>
      </c>
      <c r="E45" s="86" t="s">
        <v>259</v>
      </c>
      <c r="F45" s="87" t="s">
        <v>12</v>
      </c>
      <c r="G45" s="88">
        <v>1500</v>
      </c>
      <c r="H45" s="89" t="s">
        <v>183</v>
      </c>
      <c r="I45" s="89" t="s">
        <v>184</v>
      </c>
      <c r="J45" s="26"/>
      <c r="K45" s="27" t="s">
        <v>253</v>
      </c>
      <c r="L45" s="26"/>
      <c r="M45" s="90">
        <v>1425</v>
      </c>
      <c r="N45" s="90">
        <v>1395</v>
      </c>
      <c r="O45" s="90">
        <v>1350</v>
      </c>
      <c r="P45" s="28"/>
      <c r="Q45" s="29">
        <v>2175</v>
      </c>
      <c r="R45" s="28"/>
      <c r="S45" s="3"/>
    </row>
    <row r="46" spans="1:19" s="1" customFormat="1" ht="16.5" customHeight="1">
      <c r="A46" s="3"/>
      <c r="B46" s="63">
        <v>39</v>
      </c>
      <c r="C46" s="63" t="s">
        <v>260</v>
      </c>
      <c r="D46" s="85" t="s">
        <v>261</v>
      </c>
      <c r="E46" s="86" t="s">
        <v>262</v>
      </c>
      <c r="F46" s="87" t="s">
        <v>12</v>
      </c>
      <c r="G46" s="88">
        <v>1750</v>
      </c>
      <c r="H46" s="89" t="s">
        <v>183</v>
      </c>
      <c r="I46" s="89" t="s">
        <v>184</v>
      </c>
      <c r="J46" s="26"/>
      <c r="K46" s="27" t="s">
        <v>263</v>
      </c>
      <c r="L46" s="26"/>
      <c r="M46" s="90">
        <v>1665</v>
      </c>
      <c r="N46" s="90">
        <v>1630</v>
      </c>
      <c r="O46" s="90">
        <v>1575</v>
      </c>
      <c r="P46" s="28"/>
      <c r="Q46" s="29">
        <v>2540</v>
      </c>
      <c r="R46" s="28"/>
      <c r="S46" s="3"/>
    </row>
    <row r="47" spans="1:19" s="1" customFormat="1" ht="16.5" customHeight="1">
      <c r="A47" s="3"/>
      <c r="B47" s="63">
        <v>40</v>
      </c>
      <c r="C47" s="63" t="s">
        <v>264</v>
      </c>
      <c r="D47" s="91" t="s">
        <v>265</v>
      </c>
      <c r="E47" s="92" t="s">
        <v>266</v>
      </c>
      <c r="F47" s="93" t="s">
        <v>12</v>
      </c>
      <c r="G47" s="94">
        <v>2050</v>
      </c>
      <c r="H47" s="67" t="s">
        <v>183</v>
      </c>
      <c r="I47" s="67" t="s">
        <v>184</v>
      </c>
      <c r="J47" s="26"/>
      <c r="K47" s="27" t="s">
        <v>267</v>
      </c>
      <c r="L47" s="26"/>
      <c r="M47" s="27">
        <v>1950</v>
      </c>
      <c r="N47" s="27">
        <v>1910</v>
      </c>
      <c r="O47" s="27">
        <v>1845</v>
      </c>
      <c r="P47" s="28"/>
      <c r="Q47" s="29">
        <v>2975</v>
      </c>
      <c r="R47" s="28"/>
      <c r="S47" s="3"/>
    </row>
    <row r="48" spans="1:19" s="1" customFormat="1" ht="16.5" customHeight="1">
      <c r="A48" s="3"/>
      <c r="B48" s="63">
        <v>41</v>
      </c>
      <c r="C48" s="63" t="s">
        <v>264</v>
      </c>
      <c r="D48" s="64" t="s">
        <v>268</v>
      </c>
      <c r="E48" s="95" t="s">
        <v>269</v>
      </c>
      <c r="F48" s="63" t="s">
        <v>12</v>
      </c>
      <c r="G48" s="69">
        <v>2050</v>
      </c>
      <c r="H48" s="67"/>
      <c r="I48" s="67"/>
      <c r="J48" s="26"/>
      <c r="K48" s="208" t="s">
        <v>267</v>
      </c>
      <c r="L48" s="26"/>
      <c r="M48" s="27">
        <v>1950</v>
      </c>
      <c r="N48" s="27">
        <v>1910</v>
      </c>
      <c r="O48" s="27">
        <v>1845</v>
      </c>
      <c r="P48" s="28"/>
      <c r="Q48" s="29">
        <v>2975</v>
      </c>
      <c r="R48" s="28"/>
      <c r="S48" s="3"/>
    </row>
    <row r="49" spans="1:19" s="1" customFormat="1" ht="16.5" customHeight="1">
      <c r="A49" s="3"/>
      <c r="B49" s="63">
        <v>42</v>
      </c>
      <c r="C49" s="63" t="s">
        <v>271</v>
      </c>
      <c r="D49" s="64" t="s">
        <v>272</v>
      </c>
      <c r="E49" s="95" t="s">
        <v>269</v>
      </c>
      <c r="F49" s="63" t="s">
        <v>12</v>
      </c>
      <c r="G49" s="69">
        <v>2550</v>
      </c>
      <c r="H49" s="67" t="s">
        <v>183</v>
      </c>
      <c r="I49" s="67" t="s">
        <v>184</v>
      </c>
      <c r="J49" s="26"/>
      <c r="K49" s="208" t="s">
        <v>270</v>
      </c>
      <c r="L49" s="26"/>
      <c r="M49" s="27">
        <v>2425</v>
      </c>
      <c r="N49" s="27">
        <v>2375</v>
      </c>
      <c r="O49" s="27">
        <v>2295</v>
      </c>
      <c r="P49" s="28"/>
      <c r="Q49" s="29">
        <v>3700</v>
      </c>
      <c r="R49" s="28"/>
      <c r="S49" s="3"/>
    </row>
    <row r="50" spans="1:19" s="38" customFormat="1" ht="16.5" customHeight="1">
      <c r="B50" s="30" t="s">
        <v>165</v>
      </c>
      <c r="C50" s="30"/>
      <c r="D50" s="30"/>
      <c r="E50" s="31"/>
      <c r="F50" s="32"/>
      <c r="G50" s="33"/>
      <c r="H50" s="34"/>
      <c r="I50" s="34"/>
      <c r="J50" s="35"/>
      <c r="K50" s="27">
        <v>0</v>
      </c>
      <c r="L50" s="35"/>
      <c r="M50" s="27">
        <v>0</v>
      </c>
      <c r="N50" s="27">
        <v>0</v>
      </c>
      <c r="O50" s="27">
        <v>0</v>
      </c>
      <c r="P50" s="39"/>
      <c r="Q50" s="29">
        <v>0</v>
      </c>
      <c r="R50" s="39"/>
      <c r="S50" s="3"/>
    </row>
    <row r="51" spans="1:19" s="38" customFormat="1" ht="16.5" customHeight="1">
      <c r="B51" s="30" t="s">
        <v>166</v>
      </c>
      <c r="C51" s="30"/>
      <c r="D51" s="30"/>
      <c r="E51" s="31"/>
      <c r="F51" s="32"/>
      <c r="G51" s="33"/>
      <c r="H51" s="34"/>
      <c r="I51" s="34"/>
      <c r="J51" s="35"/>
      <c r="K51" s="27">
        <v>0</v>
      </c>
      <c r="L51" s="35"/>
      <c r="M51" s="27">
        <v>0</v>
      </c>
      <c r="N51" s="27">
        <v>0</v>
      </c>
      <c r="O51" s="27">
        <v>0</v>
      </c>
      <c r="P51" s="39"/>
      <c r="Q51" s="29">
        <v>0</v>
      </c>
      <c r="R51" s="39"/>
      <c r="S51" s="3"/>
    </row>
    <row r="52" spans="1:19" s="38" customFormat="1" ht="16.5" customHeight="1">
      <c r="B52" s="41" t="s">
        <v>167</v>
      </c>
      <c r="C52" s="41"/>
      <c r="D52" s="30"/>
      <c r="E52" s="41" t="s">
        <v>168</v>
      </c>
      <c r="F52" s="32"/>
      <c r="G52" s="33"/>
      <c r="H52" s="34"/>
      <c r="I52" s="34"/>
      <c r="J52" s="35"/>
      <c r="K52" s="27">
        <v>0</v>
      </c>
      <c r="L52" s="35"/>
      <c r="M52" s="27">
        <v>0</v>
      </c>
      <c r="N52" s="27">
        <v>0</v>
      </c>
      <c r="O52" s="27">
        <v>0</v>
      </c>
      <c r="P52" s="39"/>
      <c r="Q52" s="29">
        <v>0</v>
      </c>
      <c r="R52" s="39"/>
      <c r="S52" s="3"/>
    </row>
    <row r="53" spans="1:19" s="38" customFormat="1" ht="16.5" customHeight="1">
      <c r="B53" s="41" t="s">
        <v>169</v>
      </c>
      <c r="C53" s="41"/>
      <c r="D53" s="30"/>
      <c r="E53" s="41" t="s">
        <v>170</v>
      </c>
      <c r="F53" s="32"/>
      <c r="G53" s="33"/>
      <c r="H53" s="34"/>
      <c r="I53" s="34"/>
      <c r="J53" s="35"/>
      <c r="K53" s="27">
        <v>0</v>
      </c>
      <c r="L53" s="35"/>
      <c r="M53" s="27">
        <v>0</v>
      </c>
      <c r="N53" s="27">
        <v>0</v>
      </c>
      <c r="O53" s="27">
        <v>0</v>
      </c>
      <c r="P53" s="39"/>
      <c r="Q53" s="29">
        <v>0</v>
      </c>
      <c r="R53" s="39"/>
      <c r="S53" s="3"/>
    </row>
    <row r="54" spans="1:19" s="51" customFormat="1" ht="16.5" customHeight="1">
      <c r="B54" s="43" t="s">
        <v>171</v>
      </c>
      <c r="C54" s="44"/>
      <c r="D54" s="45"/>
      <c r="E54" s="44"/>
      <c r="F54" s="44"/>
      <c r="G54" s="46"/>
      <c r="H54" s="47"/>
      <c r="I54" s="48"/>
      <c r="J54" s="49"/>
      <c r="K54" s="27">
        <v>0</v>
      </c>
      <c r="L54" s="49"/>
      <c r="M54" s="27">
        <v>0</v>
      </c>
      <c r="N54" s="27">
        <v>0</v>
      </c>
      <c r="O54" s="27">
        <v>0</v>
      </c>
      <c r="P54" s="52"/>
      <c r="Q54" s="29">
        <v>0</v>
      </c>
      <c r="R54" s="52"/>
      <c r="S54" s="3"/>
    </row>
    <row r="55" spans="1:19" s="4" customFormat="1" ht="16.5" customHeight="1">
      <c r="B55" s="54" t="s">
        <v>0</v>
      </c>
      <c r="C55" s="54" t="s">
        <v>3</v>
      </c>
      <c r="D55" s="54" t="s">
        <v>1</v>
      </c>
      <c r="E55" s="54" t="s">
        <v>2</v>
      </c>
      <c r="F55" s="55" t="s">
        <v>4</v>
      </c>
      <c r="G55" s="56" t="s">
        <v>5</v>
      </c>
      <c r="H55" s="54" t="s">
        <v>172</v>
      </c>
      <c r="I55" s="54" t="s">
        <v>173</v>
      </c>
      <c r="J55" s="57"/>
      <c r="K55" s="27">
        <v>0</v>
      </c>
      <c r="L55" s="57"/>
      <c r="M55" s="27">
        <v>0</v>
      </c>
      <c r="N55" s="27">
        <v>0</v>
      </c>
      <c r="O55" s="27">
        <v>0</v>
      </c>
      <c r="P55" s="61"/>
      <c r="Q55" s="29">
        <v>0</v>
      </c>
      <c r="R55" s="61"/>
      <c r="S55" s="3"/>
    </row>
    <row r="56" spans="1:19" s="1" customFormat="1" ht="16.5" customHeight="1">
      <c r="A56" s="3"/>
      <c r="B56" s="63">
        <v>43</v>
      </c>
      <c r="C56" s="96" t="s">
        <v>273</v>
      </c>
      <c r="D56" s="64" t="s">
        <v>274</v>
      </c>
      <c r="E56" s="95" t="s">
        <v>275</v>
      </c>
      <c r="F56" s="63" t="s">
        <v>12</v>
      </c>
      <c r="G56" s="66">
        <v>5000</v>
      </c>
      <c r="H56" s="67" t="s">
        <v>183</v>
      </c>
      <c r="I56" s="67" t="s">
        <v>184</v>
      </c>
      <c r="J56" s="26"/>
      <c r="K56" s="27" t="s">
        <v>276</v>
      </c>
      <c r="L56" s="26"/>
      <c r="M56" s="27">
        <v>4750</v>
      </c>
      <c r="N56" s="27">
        <v>4650</v>
      </c>
      <c r="O56" s="27">
        <v>4500</v>
      </c>
      <c r="P56" s="28"/>
      <c r="Q56" s="29">
        <v>7250</v>
      </c>
      <c r="R56" s="28"/>
      <c r="S56" s="3"/>
    </row>
    <row r="57" spans="1:19" s="1" customFormat="1" ht="16.5" customHeight="1">
      <c r="A57" s="3"/>
      <c r="B57" s="63">
        <v>44</v>
      </c>
      <c r="C57" s="97" t="s">
        <v>277</v>
      </c>
      <c r="D57" s="64" t="s">
        <v>36</v>
      </c>
      <c r="E57" s="98" t="s">
        <v>19</v>
      </c>
      <c r="F57" s="63" t="s">
        <v>12</v>
      </c>
      <c r="G57" s="66">
        <v>10000</v>
      </c>
      <c r="H57" s="67" t="s">
        <v>178</v>
      </c>
      <c r="I57" s="67" t="s">
        <v>184</v>
      </c>
      <c r="J57" s="26"/>
      <c r="K57" s="27" t="s">
        <v>1566</v>
      </c>
      <c r="L57" s="26"/>
      <c r="M57" s="27">
        <v>9500</v>
      </c>
      <c r="N57" s="27">
        <v>9300</v>
      </c>
      <c r="O57" s="27">
        <v>9000</v>
      </c>
      <c r="P57" s="28"/>
      <c r="Q57" s="29">
        <v>14500</v>
      </c>
      <c r="R57" s="28"/>
      <c r="S57" s="3"/>
    </row>
    <row r="58" spans="1:19" s="70" customFormat="1" ht="16.5" customHeight="1">
      <c r="B58" s="63">
        <v>45</v>
      </c>
      <c r="C58" s="63" t="s">
        <v>38</v>
      </c>
      <c r="D58" s="64" t="s">
        <v>278</v>
      </c>
      <c r="E58" s="65" t="s">
        <v>279</v>
      </c>
      <c r="F58" s="63" t="s">
        <v>21</v>
      </c>
      <c r="G58" s="69">
        <v>700</v>
      </c>
      <c r="H58" s="67" t="s">
        <v>178</v>
      </c>
      <c r="I58" s="67" t="s">
        <v>184</v>
      </c>
      <c r="J58" s="26"/>
      <c r="K58" s="27" t="s">
        <v>112</v>
      </c>
      <c r="L58" s="26"/>
      <c r="M58" s="27">
        <v>665</v>
      </c>
      <c r="N58" s="27">
        <v>650</v>
      </c>
      <c r="O58" s="27">
        <v>630</v>
      </c>
      <c r="P58" s="28"/>
      <c r="Q58" s="29">
        <v>1015</v>
      </c>
      <c r="R58" s="28"/>
      <c r="S58" s="3"/>
    </row>
    <row r="59" spans="1:19" s="70" customFormat="1" ht="16.5" customHeight="1">
      <c r="B59" s="63">
        <v>46</v>
      </c>
      <c r="C59" s="63" t="s">
        <v>39</v>
      </c>
      <c r="D59" s="64" t="s">
        <v>280</v>
      </c>
      <c r="E59" s="65" t="s">
        <v>281</v>
      </c>
      <c r="F59" s="63" t="s">
        <v>21</v>
      </c>
      <c r="G59" s="69">
        <v>850</v>
      </c>
      <c r="H59" s="67" t="s">
        <v>188</v>
      </c>
      <c r="I59" s="67" t="s">
        <v>184</v>
      </c>
      <c r="J59" s="26"/>
      <c r="K59" s="27" t="s">
        <v>113</v>
      </c>
      <c r="L59" s="26"/>
      <c r="M59" s="27">
        <v>810</v>
      </c>
      <c r="N59" s="27">
        <v>790</v>
      </c>
      <c r="O59" s="27">
        <v>765</v>
      </c>
      <c r="P59" s="28"/>
      <c r="Q59" s="29">
        <v>1235</v>
      </c>
      <c r="R59" s="28"/>
      <c r="S59" s="3"/>
    </row>
    <row r="60" spans="1:19" s="70" customFormat="1" ht="16.5" customHeight="1">
      <c r="B60" s="63">
        <v>47</v>
      </c>
      <c r="C60" s="63" t="s">
        <v>282</v>
      </c>
      <c r="D60" s="64" t="s">
        <v>283</v>
      </c>
      <c r="E60" s="65" t="s">
        <v>284</v>
      </c>
      <c r="F60" s="63" t="s">
        <v>21</v>
      </c>
      <c r="G60" s="69">
        <v>1050</v>
      </c>
      <c r="H60" s="67" t="s">
        <v>188</v>
      </c>
      <c r="I60" s="67" t="s">
        <v>184</v>
      </c>
      <c r="J60" s="26"/>
      <c r="K60" s="27" t="s">
        <v>285</v>
      </c>
      <c r="L60" s="26"/>
      <c r="M60" s="27">
        <v>1000</v>
      </c>
      <c r="N60" s="27">
        <v>980</v>
      </c>
      <c r="O60" s="27">
        <v>950</v>
      </c>
      <c r="P60" s="28"/>
      <c r="Q60" s="29">
        <v>1525</v>
      </c>
      <c r="R60" s="28"/>
      <c r="S60" s="3"/>
    </row>
    <row r="61" spans="1:19" s="70" customFormat="1" ht="16.5" customHeight="1">
      <c r="B61" s="63">
        <v>48</v>
      </c>
      <c r="C61" s="63" t="s">
        <v>282</v>
      </c>
      <c r="D61" s="64" t="s">
        <v>286</v>
      </c>
      <c r="E61" s="65" t="s">
        <v>287</v>
      </c>
      <c r="F61" s="63" t="s">
        <v>12</v>
      </c>
      <c r="G61" s="69">
        <v>1050</v>
      </c>
      <c r="H61" s="67" t="s">
        <v>188</v>
      </c>
      <c r="I61" s="67" t="s">
        <v>179</v>
      </c>
      <c r="J61" s="26"/>
      <c r="K61" s="27" t="s">
        <v>285</v>
      </c>
      <c r="L61" s="26"/>
      <c r="M61" s="27">
        <v>1000</v>
      </c>
      <c r="N61" s="27">
        <v>980</v>
      </c>
      <c r="O61" s="27">
        <v>950</v>
      </c>
      <c r="P61" s="28"/>
      <c r="Q61" s="29">
        <v>1525</v>
      </c>
      <c r="R61" s="28"/>
      <c r="S61" s="3"/>
    </row>
    <row r="62" spans="1:19" s="70" customFormat="1" ht="16.5" customHeight="1">
      <c r="B62" s="63">
        <v>49</v>
      </c>
      <c r="C62" s="63" t="s">
        <v>288</v>
      </c>
      <c r="D62" s="64" t="s">
        <v>289</v>
      </c>
      <c r="E62" s="65" t="s">
        <v>290</v>
      </c>
      <c r="F62" s="63" t="s">
        <v>21</v>
      </c>
      <c r="G62" s="69">
        <v>1250</v>
      </c>
      <c r="H62" s="67" t="s">
        <v>188</v>
      </c>
      <c r="I62" s="67" t="s">
        <v>179</v>
      </c>
      <c r="J62" s="26"/>
      <c r="K62" s="27" t="s">
        <v>291</v>
      </c>
      <c r="L62" s="26"/>
      <c r="M62" s="27">
        <v>1190</v>
      </c>
      <c r="N62" s="27">
        <v>1165</v>
      </c>
      <c r="O62" s="27">
        <v>1125</v>
      </c>
      <c r="P62" s="28"/>
      <c r="Q62" s="29">
        <v>1815</v>
      </c>
      <c r="R62" s="28"/>
      <c r="S62" s="3"/>
    </row>
    <row r="63" spans="1:19" s="70" customFormat="1" ht="16.5" customHeight="1">
      <c r="B63" s="63">
        <v>50</v>
      </c>
      <c r="C63" s="63" t="s">
        <v>292</v>
      </c>
      <c r="D63" s="67" t="s">
        <v>293</v>
      </c>
      <c r="E63" s="65" t="s">
        <v>294</v>
      </c>
      <c r="F63" s="63" t="s">
        <v>21</v>
      </c>
      <c r="G63" s="69">
        <v>1500</v>
      </c>
      <c r="H63" s="67"/>
      <c r="I63" s="67"/>
      <c r="J63" s="26"/>
      <c r="K63" s="27" t="s">
        <v>295</v>
      </c>
      <c r="L63" s="26"/>
      <c r="M63" s="27">
        <v>1425</v>
      </c>
      <c r="N63" s="27">
        <v>1395</v>
      </c>
      <c r="O63" s="27">
        <v>1350</v>
      </c>
      <c r="P63" s="28"/>
      <c r="Q63" s="29">
        <v>2175</v>
      </c>
      <c r="R63" s="28"/>
      <c r="S63" s="3"/>
    </row>
    <row r="64" spans="1:19" s="70" customFormat="1" ht="16.5" customHeight="1">
      <c r="B64" s="63">
        <v>51</v>
      </c>
      <c r="C64" s="63" t="s">
        <v>296</v>
      </c>
      <c r="D64" s="67" t="s">
        <v>297</v>
      </c>
      <c r="E64" s="65" t="s">
        <v>298</v>
      </c>
      <c r="F64" s="63" t="s">
        <v>9</v>
      </c>
      <c r="G64" s="69">
        <v>1750</v>
      </c>
      <c r="H64" s="67" t="s">
        <v>188</v>
      </c>
      <c r="I64" s="67" t="s">
        <v>179</v>
      </c>
      <c r="J64" s="26"/>
      <c r="K64" s="208" t="s">
        <v>1783</v>
      </c>
      <c r="L64" s="26"/>
      <c r="M64" s="27">
        <v>1665</v>
      </c>
      <c r="N64" s="27">
        <v>1630</v>
      </c>
      <c r="O64" s="27">
        <v>1575</v>
      </c>
      <c r="P64" s="28"/>
      <c r="Q64" s="29">
        <v>2540</v>
      </c>
      <c r="R64" s="28"/>
      <c r="S64" s="3"/>
    </row>
    <row r="65" spans="2:19" s="70" customFormat="1" ht="16.5" customHeight="1">
      <c r="B65" s="63">
        <v>52</v>
      </c>
      <c r="C65" s="63" t="s">
        <v>40</v>
      </c>
      <c r="D65" s="67" t="s">
        <v>299</v>
      </c>
      <c r="E65" s="65" t="s">
        <v>300</v>
      </c>
      <c r="F65" s="63" t="s">
        <v>21</v>
      </c>
      <c r="G65" s="69">
        <v>1050</v>
      </c>
      <c r="H65" s="67" t="s">
        <v>183</v>
      </c>
      <c r="I65" s="67" t="s">
        <v>184</v>
      </c>
      <c r="J65" s="26"/>
      <c r="K65" s="27" t="s">
        <v>114</v>
      </c>
      <c r="L65" s="26"/>
      <c r="M65" s="27">
        <v>1000</v>
      </c>
      <c r="N65" s="27">
        <v>980</v>
      </c>
      <c r="O65" s="27">
        <v>950</v>
      </c>
      <c r="P65" s="28"/>
      <c r="Q65" s="29">
        <v>1525</v>
      </c>
      <c r="R65" s="28"/>
      <c r="S65" s="3"/>
    </row>
    <row r="66" spans="2:19" s="70" customFormat="1" ht="16.5" customHeight="1">
      <c r="B66" s="63">
        <v>53</v>
      </c>
      <c r="C66" s="63" t="s">
        <v>42</v>
      </c>
      <c r="D66" s="67" t="s">
        <v>301</v>
      </c>
      <c r="E66" s="175" t="s">
        <v>1484</v>
      </c>
      <c r="F66" s="63" t="s">
        <v>21</v>
      </c>
      <c r="G66" s="69">
        <v>1250</v>
      </c>
      <c r="H66" s="67" t="s">
        <v>183</v>
      </c>
      <c r="I66" s="67" t="s">
        <v>184</v>
      </c>
      <c r="J66" s="26"/>
      <c r="K66" s="27" t="s">
        <v>302</v>
      </c>
      <c r="L66" s="26"/>
      <c r="M66" s="27">
        <v>1190</v>
      </c>
      <c r="N66" s="27">
        <v>1165</v>
      </c>
      <c r="O66" s="27">
        <v>1125</v>
      </c>
      <c r="P66" s="28"/>
      <c r="Q66" s="29">
        <v>1815</v>
      </c>
      <c r="R66" s="28"/>
      <c r="S66" s="3"/>
    </row>
    <row r="67" spans="2:19" s="70" customFormat="1" ht="16.5" customHeight="1">
      <c r="B67" s="63">
        <v>54</v>
      </c>
      <c r="C67" s="63" t="s">
        <v>303</v>
      </c>
      <c r="D67" s="67" t="s">
        <v>304</v>
      </c>
      <c r="E67" s="176" t="s">
        <v>1485</v>
      </c>
      <c r="F67" s="63" t="s">
        <v>21</v>
      </c>
      <c r="G67" s="69">
        <v>1500</v>
      </c>
      <c r="H67" s="67" t="s">
        <v>183</v>
      </c>
      <c r="I67" s="67" t="s">
        <v>184</v>
      </c>
      <c r="J67" s="26"/>
      <c r="K67" s="27" t="s">
        <v>305</v>
      </c>
      <c r="L67" s="26"/>
      <c r="M67" s="27">
        <v>1425</v>
      </c>
      <c r="N67" s="27">
        <v>1395</v>
      </c>
      <c r="O67" s="27">
        <v>1350</v>
      </c>
      <c r="P67" s="28"/>
      <c r="Q67" s="29">
        <v>2175</v>
      </c>
      <c r="R67" s="28"/>
      <c r="S67" s="3"/>
    </row>
    <row r="68" spans="2:19" s="70" customFormat="1" ht="16.5" customHeight="1">
      <c r="B68" s="63">
        <v>55</v>
      </c>
      <c r="C68" s="63" t="s">
        <v>306</v>
      </c>
      <c r="D68" s="67" t="s">
        <v>307</v>
      </c>
      <c r="E68" s="65" t="s">
        <v>308</v>
      </c>
      <c r="F68" s="63" t="s">
        <v>21</v>
      </c>
      <c r="G68" s="69">
        <v>1750</v>
      </c>
      <c r="H68" s="67" t="s">
        <v>183</v>
      </c>
      <c r="I68" s="67" t="s">
        <v>184</v>
      </c>
      <c r="J68" s="26"/>
      <c r="K68" s="27" t="s">
        <v>309</v>
      </c>
      <c r="L68" s="26"/>
      <c r="M68" s="27">
        <v>1665</v>
      </c>
      <c r="N68" s="27">
        <v>1630</v>
      </c>
      <c r="O68" s="27">
        <v>1575</v>
      </c>
      <c r="P68" s="28"/>
      <c r="Q68" s="29">
        <v>2540</v>
      </c>
      <c r="R68" s="28"/>
      <c r="S68" s="3"/>
    </row>
    <row r="69" spans="2:19" s="70" customFormat="1" ht="16.5" customHeight="1">
      <c r="B69" s="63">
        <v>56</v>
      </c>
      <c r="C69" s="63" t="s">
        <v>310</v>
      </c>
      <c r="D69" s="67" t="s">
        <v>311</v>
      </c>
      <c r="E69" s="65" t="s">
        <v>312</v>
      </c>
      <c r="F69" s="63" t="s">
        <v>21</v>
      </c>
      <c r="G69" s="69">
        <v>2550</v>
      </c>
      <c r="H69" s="67" t="s">
        <v>178</v>
      </c>
      <c r="I69" s="67" t="s">
        <v>184</v>
      </c>
      <c r="J69" s="26"/>
      <c r="K69" s="27" t="s">
        <v>313</v>
      </c>
      <c r="L69" s="26"/>
      <c r="M69" s="27">
        <v>2425</v>
      </c>
      <c r="N69" s="27">
        <v>2375</v>
      </c>
      <c r="O69" s="27">
        <v>2295</v>
      </c>
      <c r="P69" s="28"/>
      <c r="Q69" s="29">
        <v>3700</v>
      </c>
      <c r="R69" s="28"/>
      <c r="S69" s="3"/>
    </row>
    <row r="70" spans="2:19" ht="16.5" customHeight="1">
      <c r="B70" s="189"/>
      <c r="C70" s="189" t="s">
        <v>1567</v>
      </c>
      <c r="D70" s="193" t="s">
        <v>1569</v>
      </c>
      <c r="E70" s="191" t="s">
        <v>1570</v>
      </c>
      <c r="F70" s="189" t="s">
        <v>21</v>
      </c>
      <c r="G70" s="192"/>
      <c r="H70" s="100"/>
      <c r="I70" s="100"/>
      <c r="J70" s="27"/>
      <c r="K70" s="194" t="s">
        <v>1568</v>
      </c>
      <c r="L70" s="27"/>
      <c r="O70" s="27"/>
      <c r="P70" s="209"/>
      <c r="Q70" s="210"/>
      <c r="R70" s="209"/>
    </row>
    <row r="71" spans="2:19" s="70" customFormat="1" ht="16.5" customHeight="1">
      <c r="B71" s="63">
        <v>57</v>
      </c>
      <c r="C71" s="63" t="s">
        <v>41</v>
      </c>
      <c r="D71" s="67" t="s">
        <v>314</v>
      </c>
      <c r="E71" s="65" t="s">
        <v>315</v>
      </c>
      <c r="F71" s="63" t="s">
        <v>12</v>
      </c>
      <c r="G71" s="69">
        <v>1750</v>
      </c>
      <c r="H71" s="67" t="s">
        <v>183</v>
      </c>
      <c r="I71" s="67" t="s">
        <v>184</v>
      </c>
      <c r="J71" s="26"/>
      <c r="K71" s="27" t="s">
        <v>115</v>
      </c>
      <c r="L71" s="26"/>
      <c r="M71" s="27">
        <v>1665</v>
      </c>
      <c r="N71" s="27">
        <v>1630</v>
      </c>
      <c r="O71" s="27">
        <v>1575</v>
      </c>
      <c r="P71" s="28"/>
      <c r="Q71" s="29">
        <v>2540</v>
      </c>
      <c r="R71" s="28"/>
      <c r="S71" s="3"/>
    </row>
    <row r="72" spans="2:19" s="70" customFormat="1" ht="16.5" customHeight="1">
      <c r="B72" s="63">
        <v>58</v>
      </c>
      <c r="C72" s="63" t="s">
        <v>316</v>
      </c>
      <c r="D72" s="67" t="s">
        <v>317</v>
      </c>
      <c r="E72" s="65" t="s">
        <v>318</v>
      </c>
      <c r="F72" s="63" t="s">
        <v>21</v>
      </c>
      <c r="G72" s="69">
        <v>2050</v>
      </c>
      <c r="H72" s="67" t="s">
        <v>183</v>
      </c>
      <c r="I72" s="67" t="s">
        <v>184</v>
      </c>
      <c r="J72" s="26"/>
      <c r="K72" s="27" t="s">
        <v>319</v>
      </c>
      <c r="L72" s="26"/>
      <c r="M72" s="27">
        <v>1950</v>
      </c>
      <c r="N72" s="27">
        <v>1910</v>
      </c>
      <c r="O72" s="27">
        <v>1845</v>
      </c>
      <c r="P72" s="28"/>
      <c r="Q72" s="29">
        <v>2975</v>
      </c>
      <c r="R72" s="28"/>
      <c r="S72" s="3"/>
    </row>
    <row r="73" spans="2:19" s="70" customFormat="1" ht="16.5" customHeight="1">
      <c r="B73" s="63">
        <v>59</v>
      </c>
      <c r="C73" s="63" t="s">
        <v>43</v>
      </c>
      <c r="D73" s="67" t="s">
        <v>320</v>
      </c>
      <c r="E73" s="98" t="s">
        <v>321</v>
      </c>
      <c r="F73" s="63" t="s">
        <v>21</v>
      </c>
      <c r="G73" s="69">
        <v>2250</v>
      </c>
      <c r="H73" s="67" t="s">
        <v>183</v>
      </c>
      <c r="I73" s="67" t="s">
        <v>184</v>
      </c>
      <c r="J73" s="26"/>
      <c r="K73" s="27" t="s">
        <v>116</v>
      </c>
      <c r="L73" s="26"/>
      <c r="M73" s="27">
        <v>2140</v>
      </c>
      <c r="N73" s="27">
        <v>2095</v>
      </c>
      <c r="O73" s="27">
        <v>2025</v>
      </c>
      <c r="P73" s="28"/>
      <c r="Q73" s="29">
        <v>3265</v>
      </c>
      <c r="R73" s="28"/>
      <c r="S73" s="3"/>
    </row>
    <row r="74" spans="2:19" s="70" customFormat="1" ht="16.5" customHeight="1">
      <c r="B74" s="63">
        <v>60</v>
      </c>
      <c r="C74" s="63" t="s">
        <v>322</v>
      </c>
      <c r="D74" s="67" t="s">
        <v>323</v>
      </c>
      <c r="E74" s="98" t="s">
        <v>324</v>
      </c>
      <c r="F74" s="63" t="s">
        <v>9</v>
      </c>
      <c r="G74" s="69">
        <v>2550</v>
      </c>
      <c r="H74" s="67" t="s">
        <v>183</v>
      </c>
      <c r="I74" s="67" t="s">
        <v>184</v>
      </c>
      <c r="J74" s="26"/>
      <c r="K74" s="27" t="s">
        <v>325</v>
      </c>
      <c r="L74" s="26"/>
      <c r="M74" s="27">
        <v>2425</v>
      </c>
      <c r="N74" s="27">
        <v>2375</v>
      </c>
      <c r="O74" s="27">
        <v>2295</v>
      </c>
      <c r="P74" s="28"/>
      <c r="Q74" s="29">
        <v>3700</v>
      </c>
      <c r="R74" s="28"/>
      <c r="S74" s="3"/>
    </row>
    <row r="75" spans="2:19" s="70" customFormat="1" ht="16.5" customHeight="1">
      <c r="B75" s="63">
        <v>61</v>
      </c>
      <c r="C75" s="5" t="s">
        <v>1784</v>
      </c>
      <c r="D75" s="67" t="s">
        <v>326</v>
      </c>
      <c r="E75" s="98" t="s">
        <v>327</v>
      </c>
      <c r="F75" s="63" t="s">
        <v>9</v>
      </c>
      <c r="G75" s="69">
        <v>3000</v>
      </c>
      <c r="H75" s="67" t="s">
        <v>183</v>
      </c>
      <c r="I75" s="67" t="s">
        <v>179</v>
      </c>
      <c r="J75" s="26"/>
      <c r="K75" s="27" t="s">
        <v>328</v>
      </c>
      <c r="L75" s="26"/>
      <c r="M75" s="27">
        <v>2850</v>
      </c>
      <c r="N75" s="27">
        <v>2790</v>
      </c>
      <c r="O75" s="27">
        <v>2700</v>
      </c>
      <c r="P75" s="28"/>
      <c r="Q75" s="29">
        <v>4350</v>
      </c>
      <c r="R75" s="28"/>
      <c r="S75" s="3"/>
    </row>
    <row r="76" spans="2:19" ht="16.5" customHeight="1">
      <c r="B76" s="63">
        <v>62</v>
      </c>
      <c r="C76" s="63" t="s">
        <v>46</v>
      </c>
      <c r="D76" s="6" t="s">
        <v>329</v>
      </c>
      <c r="E76" s="7" t="s">
        <v>330</v>
      </c>
      <c r="F76" s="8" t="s">
        <v>21</v>
      </c>
      <c r="G76" s="99">
        <v>2700</v>
      </c>
      <c r="H76" s="100" t="s">
        <v>178</v>
      </c>
      <c r="I76" s="100" t="s">
        <v>179</v>
      </c>
      <c r="K76" s="27" t="s">
        <v>119</v>
      </c>
      <c r="M76" s="27">
        <v>2565</v>
      </c>
      <c r="N76" s="27">
        <v>2515</v>
      </c>
      <c r="O76" s="27">
        <v>2430</v>
      </c>
      <c r="Q76" s="29">
        <v>3915</v>
      </c>
    </row>
    <row r="77" spans="2:19" s="70" customFormat="1" ht="16.5" customHeight="1">
      <c r="B77" s="63">
        <v>63</v>
      </c>
      <c r="C77" s="63" t="s">
        <v>331</v>
      </c>
      <c r="D77" s="64" t="s">
        <v>332</v>
      </c>
      <c r="E77" s="65" t="s">
        <v>333</v>
      </c>
      <c r="F77" s="63" t="s">
        <v>21</v>
      </c>
      <c r="G77" s="69">
        <v>3500</v>
      </c>
      <c r="H77" s="67" t="s">
        <v>188</v>
      </c>
      <c r="I77" s="67" t="s">
        <v>179</v>
      </c>
      <c r="J77" s="26"/>
      <c r="K77" s="27" t="s">
        <v>334</v>
      </c>
      <c r="L77" s="26"/>
      <c r="M77" s="27">
        <v>3325</v>
      </c>
      <c r="N77" s="27">
        <v>3255</v>
      </c>
      <c r="O77" s="27">
        <v>3150</v>
      </c>
      <c r="P77" s="28"/>
      <c r="Q77" s="29">
        <v>5075</v>
      </c>
      <c r="R77" s="28"/>
      <c r="S77" s="3"/>
    </row>
    <row r="78" spans="2:19" ht="16.5" customHeight="1">
      <c r="B78" s="63">
        <v>64</v>
      </c>
      <c r="C78" s="63" t="s">
        <v>335</v>
      </c>
      <c r="D78" s="6" t="s">
        <v>336</v>
      </c>
      <c r="E78" s="100" t="s">
        <v>337</v>
      </c>
      <c r="F78" s="8" t="s">
        <v>12</v>
      </c>
      <c r="G78" s="99">
        <v>2050</v>
      </c>
      <c r="H78" s="100"/>
      <c r="I78" s="100"/>
      <c r="K78" s="27" t="s">
        <v>338</v>
      </c>
      <c r="M78" s="27">
        <v>1950</v>
      </c>
      <c r="N78" s="27">
        <v>1910</v>
      </c>
      <c r="O78" s="27">
        <v>1845</v>
      </c>
      <c r="Q78" s="29">
        <v>2975</v>
      </c>
    </row>
    <row r="79" spans="2:19" s="70" customFormat="1" ht="16.5" customHeight="1">
      <c r="B79" s="63">
        <v>65</v>
      </c>
      <c r="C79" s="63" t="s">
        <v>339</v>
      </c>
      <c r="D79" s="67" t="s">
        <v>340</v>
      </c>
      <c r="E79" s="65" t="s">
        <v>341</v>
      </c>
      <c r="F79" s="63" t="s">
        <v>21</v>
      </c>
      <c r="G79" s="69">
        <v>1050</v>
      </c>
      <c r="H79" s="67" t="s">
        <v>188</v>
      </c>
      <c r="I79" s="67"/>
      <c r="J79" s="26"/>
      <c r="K79" s="27" t="s">
        <v>342</v>
      </c>
      <c r="L79" s="26"/>
      <c r="M79" s="27">
        <v>1000</v>
      </c>
      <c r="N79" s="27">
        <v>980</v>
      </c>
      <c r="O79" s="27">
        <v>950</v>
      </c>
      <c r="P79" s="28"/>
      <c r="Q79" s="29">
        <v>1525</v>
      </c>
      <c r="R79" s="28"/>
      <c r="S79" s="3"/>
    </row>
    <row r="80" spans="2:19" s="70" customFormat="1" ht="16.5" customHeight="1">
      <c r="B80" s="63">
        <v>66</v>
      </c>
      <c r="C80" s="63" t="s">
        <v>92</v>
      </c>
      <c r="D80" s="64" t="s">
        <v>91</v>
      </c>
      <c r="E80" s="65" t="s">
        <v>343</v>
      </c>
      <c r="F80" s="63" t="s">
        <v>21</v>
      </c>
      <c r="G80" s="66">
        <v>500</v>
      </c>
      <c r="H80" s="67" t="s">
        <v>178</v>
      </c>
      <c r="I80" s="67" t="s">
        <v>179</v>
      </c>
      <c r="J80" s="26"/>
      <c r="K80" s="27" t="s">
        <v>137</v>
      </c>
      <c r="L80" s="26"/>
      <c r="M80" s="27">
        <v>475</v>
      </c>
      <c r="N80" s="27">
        <v>464.99999999999994</v>
      </c>
      <c r="O80" s="27">
        <v>450</v>
      </c>
      <c r="P80" s="28"/>
      <c r="Q80" s="29">
        <v>725</v>
      </c>
      <c r="R80" s="28"/>
      <c r="S80" s="3"/>
    </row>
    <row r="81" spans="2:19" s="70" customFormat="1" ht="16.5" customHeight="1">
      <c r="B81" s="63">
        <v>67</v>
      </c>
      <c r="C81" s="63" t="s">
        <v>44</v>
      </c>
      <c r="D81" s="67" t="s">
        <v>344</v>
      </c>
      <c r="E81" s="65" t="s">
        <v>345</v>
      </c>
      <c r="F81" s="63" t="s">
        <v>21</v>
      </c>
      <c r="G81" s="69">
        <v>1750</v>
      </c>
      <c r="H81" s="67" t="s">
        <v>183</v>
      </c>
      <c r="I81" s="67" t="s">
        <v>184</v>
      </c>
      <c r="J81" s="26"/>
      <c r="K81" s="27" t="s">
        <v>117</v>
      </c>
      <c r="L81" s="26"/>
      <c r="M81" s="27">
        <v>1665</v>
      </c>
      <c r="N81" s="27">
        <v>1630</v>
      </c>
      <c r="O81" s="27">
        <v>1575</v>
      </c>
      <c r="P81" s="28"/>
      <c r="Q81" s="29">
        <v>2540</v>
      </c>
      <c r="R81" s="28"/>
      <c r="S81" s="3"/>
    </row>
    <row r="82" spans="2:19" s="70" customFormat="1" ht="16.5" customHeight="1">
      <c r="B82" s="63">
        <v>68</v>
      </c>
      <c r="C82" s="63" t="s">
        <v>45</v>
      </c>
      <c r="D82" s="67" t="s">
        <v>346</v>
      </c>
      <c r="E82" s="65" t="s">
        <v>347</v>
      </c>
      <c r="F82" s="63" t="s">
        <v>21</v>
      </c>
      <c r="G82" s="69">
        <v>1050</v>
      </c>
      <c r="H82" s="67" t="s">
        <v>188</v>
      </c>
      <c r="I82" s="67" t="s">
        <v>184</v>
      </c>
      <c r="J82" s="26"/>
      <c r="K82" s="27" t="s">
        <v>118</v>
      </c>
      <c r="L82" s="26"/>
      <c r="M82" s="27">
        <v>1000</v>
      </c>
      <c r="N82" s="27">
        <v>980</v>
      </c>
      <c r="O82" s="27">
        <v>950</v>
      </c>
      <c r="P82" s="28"/>
      <c r="Q82" s="29">
        <v>1525</v>
      </c>
      <c r="R82" s="28"/>
      <c r="S82" s="3"/>
    </row>
    <row r="83" spans="2:19" s="70" customFormat="1" ht="16.5" customHeight="1">
      <c r="B83" s="63">
        <v>69</v>
      </c>
      <c r="C83" s="63" t="s">
        <v>348</v>
      </c>
      <c r="D83" s="67" t="s">
        <v>349</v>
      </c>
      <c r="E83" s="65" t="s">
        <v>19</v>
      </c>
      <c r="F83" s="63" t="s">
        <v>21</v>
      </c>
      <c r="G83" s="69">
        <v>1500</v>
      </c>
      <c r="H83" s="67" t="s">
        <v>188</v>
      </c>
      <c r="I83" s="67" t="s">
        <v>179</v>
      </c>
      <c r="J83" s="26"/>
      <c r="K83" s="208" t="s">
        <v>1785</v>
      </c>
      <c r="L83" s="26"/>
      <c r="M83" s="27">
        <v>1425</v>
      </c>
      <c r="N83" s="27">
        <v>1395</v>
      </c>
      <c r="O83" s="27">
        <v>1350</v>
      </c>
      <c r="P83" s="28"/>
      <c r="Q83" s="29">
        <v>2175</v>
      </c>
      <c r="R83" s="28"/>
      <c r="S83" s="3"/>
    </row>
    <row r="84" spans="2:19" s="70" customFormat="1" ht="16.5" customHeight="1">
      <c r="B84" s="63">
        <v>70</v>
      </c>
      <c r="C84" s="63" t="s">
        <v>350</v>
      </c>
      <c r="D84" s="67" t="s">
        <v>351</v>
      </c>
      <c r="E84" s="65" t="s">
        <v>19</v>
      </c>
      <c r="F84" s="63" t="s">
        <v>21</v>
      </c>
      <c r="G84" s="69">
        <v>2550</v>
      </c>
      <c r="H84" s="67" t="s">
        <v>178</v>
      </c>
      <c r="I84" s="67" t="s">
        <v>179</v>
      </c>
      <c r="J84" s="26"/>
      <c r="K84" s="27" t="s">
        <v>352</v>
      </c>
      <c r="L84" s="26"/>
      <c r="M84" s="27">
        <v>2425</v>
      </c>
      <c r="N84" s="27">
        <v>2375</v>
      </c>
      <c r="O84" s="27">
        <v>2295</v>
      </c>
      <c r="P84" s="28"/>
      <c r="Q84" s="29">
        <v>3700</v>
      </c>
      <c r="R84" s="28"/>
      <c r="S84" s="3"/>
    </row>
    <row r="85" spans="2:19" ht="16.5" customHeight="1">
      <c r="B85" s="63">
        <v>71</v>
      </c>
      <c r="C85" s="63" t="s">
        <v>47</v>
      </c>
      <c r="D85" s="6" t="s">
        <v>353</v>
      </c>
      <c r="E85" s="7" t="s">
        <v>7</v>
      </c>
      <c r="F85" s="8" t="s">
        <v>21</v>
      </c>
      <c r="G85" s="99">
        <v>2700</v>
      </c>
      <c r="H85" s="100" t="s">
        <v>178</v>
      </c>
      <c r="I85" s="100" t="s">
        <v>179</v>
      </c>
      <c r="K85" s="27" t="s">
        <v>354</v>
      </c>
      <c r="M85" s="27">
        <v>2565</v>
      </c>
      <c r="N85" s="27">
        <v>2515</v>
      </c>
      <c r="O85" s="27">
        <v>2430</v>
      </c>
      <c r="Q85" s="29">
        <v>3915</v>
      </c>
    </row>
    <row r="86" spans="2:19" s="70" customFormat="1" ht="16.5" customHeight="1">
      <c r="B86" s="63">
        <v>72</v>
      </c>
      <c r="C86" s="63" t="s">
        <v>355</v>
      </c>
      <c r="D86" s="64" t="s">
        <v>356</v>
      </c>
      <c r="E86" s="65" t="s">
        <v>357</v>
      </c>
      <c r="F86" s="63" t="s">
        <v>21</v>
      </c>
      <c r="G86" s="69">
        <v>1050</v>
      </c>
      <c r="H86" s="67" t="s">
        <v>178</v>
      </c>
      <c r="I86" s="67" t="s">
        <v>179</v>
      </c>
      <c r="J86" s="26"/>
      <c r="K86" s="27" t="s">
        <v>358</v>
      </c>
      <c r="L86" s="26"/>
      <c r="M86" s="27">
        <v>1000</v>
      </c>
      <c r="N86" s="27">
        <v>980</v>
      </c>
      <c r="O86" s="27">
        <v>950</v>
      </c>
      <c r="P86" s="28"/>
      <c r="Q86" s="29">
        <v>1525</v>
      </c>
      <c r="R86" s="28"/>
      <c r="S86" s="3"/>
    </row>
    <row r="87" spans="2:19" s="70" customFormat="1" ht="16.5" customHeight="1">
      <c r="B87" s="63">
        <v>73</v>
      </c>
      <c r="C87" s="63" t="s">
        <v>359</v>
      </c>
      <c r="D87" s="64" t="s">
        <v>360</v>
      </c>
      <c r="E87" s="65" t="s">
        <v>361</v>
      </c>
      <c r="F87" s="63" t="s">
        <v>21</v>
      </c>
      <c r="G87" s="69">
        <v>850</v>
      </c>
      <c r="H87" s="67"/>
      <c r="I87" s="67"/>
      <c r="J87" s="26"/>
      <c r="K87" s="27" t="s">
        <v>362</v>
      </c>
      <c r="L87" s="26"/>
      <c r="M87" s="27">
        <v>810</v>
      </c>
      <c r="N87" s="27">
        <v>790</v>
      </c>
      <c r="O87" s="27">
        <v>765</v>
      </c>
      <c r="P87" s="28"/>
      <c r="Q87" s="29">
        <v>1235</v>
      </c>
      <c r="R87" s="28"/>
      <c r="S87" s="3"/>
    </row>
    <row r="88" spans="2:19" s="70" customFormat="1" ht="16.5" customHeight="1">
      <c r="B88" s="63">
        <v>74</v>
      </c>
      <c r="C88" s="63" t="s">
        <v>363</v>
      </c>
      <c r="D88" s="64" t="s">
        <v>364</v>
      </c>
      <c r="E88" s="65" t="s">
        <v>365</v>
      </c>
      <c r="F88" s="63" t="s">
        <v>21</v>
      </c>
      <c r="G88" s="66">
        <v>1500</v>
      </c>
      <c r="H88" s="67" t="s">
        <v>188</v>
      </c>
      <c r="I88" s="67" t="s">
        <v>179</v>
      </c>
      <c r="J88" s="26"/>
      <c r="K88" s="27" t="s">
        <v>366</v>
      </c>
      <c r="L88" s="26"/>
      <c r="M88" s="27">
        <v>1425</v>
      </c>
      <c r="N88" s="27">
        <v>1395</v>
      </c>
      <c r="O88" s="27">
        <v>1350</v>
      </c>
      <c r="P88" s="28"/>
      <c r="Q88" s="29">
        <v>2175</v>
      </c>
      <c r="R88" s="28"/>
      <c r="S88" s="3"/>
    </row>
    <row r="89" spans="2:19" s="70" customFormat="1" ht="16.5" customHeight="1">
      <c r="B89" s="63">
        <v>75</v>
      </c>
      <c r="C89" s="63" t="s">
        <v>367</v>
      </c>
      <c r="D89" s="64" t="s">
        <v>368</v>
      </c>
      <c r="E89" s="65" t="s">
        <v>365</v>
      </c>
      <c r="F89" s="63" t="s">
        <v>21</v>
      </c>
      <c r="G89" s="66">
        <v>2050</v>
      </c>
      <c r="H89" s="67" t="s">
        <v>188</v>
      </c>
      <c r="I89" s="67" t="s">
        <v>179</v>
      </c>
      <c r="J89" s="26"/>
      <c r="K89" s="27" t="s">
        <v>369</v>
      </c>
      <c r="L89" s="26"/>
      <c r="M89" s="27">
        <v>1950</v>
      </c>
      <c r="N89" s="27">
        <v>1910</v>
      </c>
      <c r="O89" s="27">
        <v>1845</v>
      </c>
      <c r="P89" s="28"/>
      <c r="Q89" s="29">
        <v>2975</v>
      </c>
      <c r="R89" s="28"/>
      <c r="S89" s="3"/>
    </row>
    <row r="90" spans="2:19" s="70" customFormat="1" ht="16.5" customHeight="1">
      <c r="B90" s="63">
        <v>76</v>
      </c>
      <c r="C90" s="63" t="s">
        <v>99</v>
      </c>
      <c r="D90" s="64" t="s">
        <v>98</v>
      </c>
      <c r="E90" s="65"/>
      <c r="F90" s="63" t="s">
        <v>21</v>
      </c>
      <c r="G90" s="66">
        <v>700</v>
      </c>
      <c r="H90" s="67" t="s">
        <v>178</v>
      </c>
      <c r="I90" s="67" t="s">
        <v>179</v>
      </c>
      <c r="J90" s="26"/>
      <c r="K90" s="27" t="s">
        <v>141</v>
      </c>
      <c r="L90" s="26"/>
      <c r="M90" s="27">
        <v>665</v>
      </c>
      <c r="N90" s="27">
        <v>650</v>
      </c>
      <c r="O90" s="27">
        <v>630</v>
      </c>
      <c r="P90" s="28"/>
      <c r="Q90" s="29">
        <v>1015</v>
      </c>
      <c r="R90" s="28"/>
      <c r="S90" s="3"/>
    </row>
    <row r="91" spans="2:19" s="70" customFormat="1" ht="16.5" customHeight="1">
      <c r="B91" s="63">
        <v>77</v>
      </c>
      <c r="C91" s="63" t="s">
        <v>101</v>
      </c>
      <c r="D91" s="64" t="s">
        <v>100</v>
      </c>
      <c r="E91" s="65"/>
      <c r="F91" s="63" t="s">
        <v>9</v>
      </c>
      <c r="G91" s="66">
        <v>1500</v>
      </c>
      <c r="H91" s="67" t="s">
        <v>178</v>
      </c>
      <c r="I91" s="67" t="s">
        <v>179</v>
      </c>
      <c r="J91" s="26"/>
      <c r="K91" s="27" t="s">
        <v>142</v>
      </c>
      <c r="L91" s="26"/>
      <c r="M91" s="27">
        <v>1425</v>
      </c>
      <c r="N91" s="27">
        <v>1395</v>
      </c>
      <c r="O91" s="27">
        <v>1350</v>
      </c>
      <c r="P91" s="28"/>
      <c r="Q91" s="29">
        <v>2175</v>
      </c>
      <c r="R91" s="28"/>
      <c r="S91" s="3"/>
    </row>
    <row r="92" spans="2:19" s="70" customFormat="1" ht="16.5" customHeight="1">
      <c r="B92" s="63">
        <v>78</v>
      </c>
      <c r="C92" s="63" t="s">
        <v>81</v>
      </c>
      <c r="D92" s="64" t="s">
        <v>370</v>
      </c>
      <c r="E92" s="65" t="s">
        <v>371</v>
      </c>
      <c r="F92" s="63" t="s">
        <v>21</v>
      </c>
      <c r="G92" s="69">
        <v>700</v>
      </c>
      <c r="H92" s="67" t="s">
        <v>178</v>
      </c>
      <c r="I92" s="67" t="s">
        <v>179</v>
      </c>
      <c r="J92" s="26"/>
      <c r="K92" s="27" t="s">
        <v>372</v>
      </c>
      <c r="L92" s="26"/>
      <c r="M92" s="27">
        <v>665</v>
      </c>
      <c r="N92" s="27">
        <v>650</v>
      </c>
      <c r="O92" s="27">
        <v>630</v>
      </c>
      <c r="P92" s="28"/>
      <c r="Q92" s="29">
        <v>1015</v>
      </c>
      <c r="R92" s="28"/>
      <c r="S92" s="3"/>
    </row>
    <row r="93" spans="2:19" s="70" customFormat="1" ht="16.5" customHeight="1">
      <c r="B93" s="63">
        <v>79</v>
      </c>
      <c r="C93" s="63" t="s">
        <v>82</v>
      </c>
      <c r="D93" s="64" t="s">
        <v>373</v>
      </c>
      <c r="E93" s="65" t="s">
        <v>374</v>
      </c>
      <c r="F93" s="63" t="s">
        <v>21</v>
      </c>
      <c r="G93" s="69">
        <v>1050</v>
      </c>
      <c r="H93" s="67" t="s">
        <v>188</v>
      </c>
      <c r="I93" s="67" t="s">
        <v>179</v>
      </c>
      <c r="J93" s="26"/>
      <c r="K93" s="27" t="s">
        <v>375</v>
      </c>
      <c r="L93" s="26"/>
      <c r="M93" s="27">
        <v>1000</v>
      </c>
      <c r="N93" s="27">
        <v>980</v>
      </c>
      <c r="O93" s="27">
        <v>950</v>
      </c>
      <c r="P93" s="28"/>
      <c r="Q93" s="29">
        <v>1525</v>
      </c>
      <c r="R93" s="28"/>
      <c r="S93" s="3"/>
    </row>
    <row r="94" spans="2:19" s="70" customFormat="1" ht="16.5" customHeight="1">
      <c r="B94" s="63">
        <v>80</v>
      </c>
      <c r="C94" s="63" t="s">
        <v>376</v>
      </c>
      <c r="D94" s="64" t="s">
        <v>377</v>
      </c>
      <c r="E94" s="65" t="s">
        <v>378</v>
      </c>
      <c r="F94" s="63" t="s">
        <v>21</v>
      </c>
      <c r="G94" s="69">
        <v>1250</v>
      </c>
      <c r="H94" s="67" t="s">
        <v>188</v>
      </c>
      <c r="I94" s="67" t="s">
        <v>179</v>
      </c>
      <c r="J94" s="26"/>
      <c r="K94" s="27" t="s">
        <v>379</v>
      </c>
      <c r="L94" s="26"/>
      <c r="M94" s="27">
        <v>1190</v>
      </c>
      <c r="N94" s="27">
        <v>1165</v>
      </c>
      <c r="O94" s="27">
        <v>1125</v>
      </c>
      <c r="P94" s="28"/>
      <c r="Q94" s="29">
        <v>1815</v>
      </c>
      <c r="R94" s="28"/>
      <c r="S94" s="3"/>
    </row>
    <row r="95" spans="2:19" s="70" customFormat="1" ht="16.5" customHeight="1">
      <c r="B95" s="63">
        <v>81</v>
      </c>
      <c r="C95" s="5" t="s">
        <v>1786</v>
      </c>
      <c r="D95" s="64" t="s">
        <v>380</v>
      </c>
      <c r="E95" s="65" t="s">
        <v>381</v>
      </c>
      <c r="F95" s="63" t="s">
        <v>21</v>
      </c>
      <c r="G95" s="69">
        <v>1500</v>
      </c>
      <c r="H95" s="67" t="s">
        <v>183</v>
      </c>
      <c r="I95" s="67" t="s">
        <v>179</v>
      </c>
      <c r="J95" s="26"/>
      <c r="K95" s="27" t="s">
        <v>382</v>
      </c>
      <c r="L95" s="26"/>
      <c r="M95" s="27">
        <v>1425</v>
      </c>
      <c r="N95" s="27">
        <v>1395</v>
      </c>
      <c r="O95" s="27">
        <v>1350</v>
      </c>
      <c r="P95" s="28"/>
      <c r="Q95" s="29">
        <v>2175</v>
      </c>
      <c r="R95" s="28"/>
      <c r="S95" s="3"/>
    </row>
    <row r="96" spans="2:19" s="70" customFormat="1" ht="16.5" customHeight="1">
      <c r="B96" s="63">
        <v>82</v>
      </c>
      <c r="C96" s="63" t="s">
        <v>75</v>
      </c>
      <c r="D96" s="64" t="s">
        <v>383</v>
      </c>
      <c r="E96" s="65" t="s">
        <v>384</v>
      </c>
      <c r="F96" s="63" t="s">
        <v>21</v>
      </c>
      <c r="G96" s="69">
        <v>500</v>
      </c>
      <c r="H96" s="67" t="s">
        <v>183</v>
      </c>
      <c r="I96" s="67" t="s">
        <v>179</v>
      </c>
      <c r="J96" s="26"/>
      <c r="K96" s="27" t="s">
        <v>130</v>
      </c>
      <c r="L96" s="26"/>
      <c r="M96" s="27">
        <v>475</v>
      </c>
      <c r="N96" s="27">
        <v>464.99999999999994</v>
      </c>
      <c r="O96" s="27">
        <v>450</v>
      </c>
      <c r="P96" s="28"/>
      <c r="Q96" s="29">
        <v>725</v>
      </c>
      <c r="R96" s="28"/>
      <c r="S96" s="3"/>
    </row>
    <row r="97" spans="2:19" s="70" customFormat="1" ht="16.5" customHeight="1">
      <c r="B97" s="63">
        <v>83</v>
      </c>
      <c r="C97" s="63" t="s">
        <v>76</v>
      </c>
      <c r="D97" s="64" t="s">
        <v>385</v>
      </c>
      <c r="E97" s="65" t="s">
        <v>386</v>
      </c>
      <c r="F97" s="63" t="s">
        <v>21</v>
      </c>
      <c r="G97" s="69">
        <v>700</v>
      </c>
      <c r="H97" s="67" t="s">
        <v>183</v>
      </c>
      <c r="I97" s="67" t="s">
        <v>179</v>
      </c>
      <c r="J97" s="26"/>
      <c r="K97" s="27" t="s">
        <v>131</v>
      </c>
      <c r="L97" s="26"/>
      <c r="M97" s="27">
        <v>665</v>
      </c>
      <c r="N97" s="27">
        <v>650</v>
      </c>
      <c r="O97" s="27">
        <v>630</v>
      </c>
      <c r="P97" s="28"/>
      <c r="Q97" s="29">
        <v>1015</v>
      </c>
      <c r="R97" s="28"/>
      <c r="S97" s="3"/>
    </row>
    <row r="98" spans="2:19" s="70" customFormat="1" ht="16.5" customHeight="1">
      <c r="B98" s="63">
        <v>84</v>
      </c>
      <c r="C98" s="63" t="s">
        <v>93</v>
      </c>
      <c r="D98" s="64" t="s">
        <v>387</v>
      </c>
      <c r="E98" s="65" t="s">
        <v>388</v>
      </c>
      <c r="F98" s="63" t="s">
        <v>12</v>
      </c>
      <c r="G98" s="66">
        <v>500</v>
      </c>
      <c r="H98" s="67" t="s">
        <v>183</v>
      </c>
      <c r="I98" s="67" t="s">
        <v>179</v>
      </c>
      <c r="J98" s="26"/>
      <c r="K98" s="27" t="s">
        <v>138</v>
      </c>
      <c r="L98" s="26"/>
      <c r="M98" s="27">
        <v>475</v>
      </c>
      <c r="N98" s="27">
        <v>464.99999999999994</v>
      </c>
      <c r="O98" s="27">
        <v>450</v>
      </c>
      <c r="P98" s="28"/>
      <c r="Q98" s="29">
        <v>725</v>
      </c>
      <c r="R98" s="28"/>
      <c r="S98" s="3"/>
    </row>
    <row r="99" spans="2:19" s="70" customFormat="1" ht="16.5" customHeight="1">
      <c r="B99" s="63">
        <v>85</v>
      </c>
      <c r="C99" s="63" t="s">
        <v>94</v>
      </c>
      <c r="D99" s="64" t="s">
        <v>389</v>
      </c>
      <c r="E99" s="65" t="s">
        <v>390</v>
      </c>
      <c r="F99" s="63" t="s">
        <v>12</v>
      </c>
      <c r="G99" s="66">
        <v>1050</v>
      </c>
      <c r="H99" s="67" t="s">
        <v>183</v>
      </c>
      <c r="I99" s="67" t="s">
        <v>179</v>
      </c>
      <c r="J99" s="26"/>
      <c r="K99" s="27" t="s">
        <v>139</v>
      </c>
      <c r="L99" s="26"/>
      <c r="M99" s="27">
        <v>1000</v>
      </c>
      <c r="N99" s="27">
        <v>980</v>
      </c>
      <c r="O99" s="27">
        <v>950</v>
      </c>
      <c r="P99" s="28"/>
      <c r="Q99" s="29">
        <v>1525</v>
      </c>
      <c r="R99" s="28"/>
      <c r="S99" s="3"/>
    </row>
    <row r="100" spans="2:19" s="51" customFormat="1" ht="19.8" customHeight="1">
      <c r="B100" s="43" t="s">
        <v>171</v>
      </c>
      <c r="C100" s="44"/>
      <c r="D100" s="45"/>
      <c r="E100" s="44"/>
      <c r="F100" s="44"/>
      <c r="G100" s="46"/>
      <c r="H100" s="47"/>
      <c r="I100" s="48"/>
      <c r="J100" s="49"/>
      <c r="K100" s="27">
        <v>0</v>
      </c>
      <c r="L100" s="49"/>
      <c r="M100" s="27">
        <v>0</v>
      </c>
      <c r="N100" s="27">
        <v>0</v>
      </c>
      <c r="O100" s="27">
        <v>0</v>
      </c>
      <c r="P100" s="52"/>
      <c r="Q100" s="29">
        <v>0</v>
      </c>
      <c r="R100" s="52"/>
      <c r="S100" s="3"/>
    </row>
    <row r="101" spans="2:19" s="4" customFormat="1" ht="16.5" customHeight="1">
      <c r="B101" s="54" t="s">
        <v>0</v>
      </c>
      <c r="C101" s="54" t="s">
        <v>3</v>
      </c>
      <c r="D101" s="54" t="s">
        <v>1</v>
      </c>
      <c r="E101" s="54" t="s">
        <v>2</v>
      </c>
      <c r="F101" s="55" t="s">
        <v>4</v>
      </c>
      <c r="G101" s="56" t="s">
        <v>5</v>
      </c>
      <c r="H101" s="54" t="s">
        <v>172</v>
      </c>
      <c r="I101" s="54" t="s">
        <v>173</v>
      </c>
      <c r="J101" s="57"/>
      <c r="K101" s="27">
        <v>0</v>
      </c>
      <c r="L101" s="57"/>
      <c r="M101" s="27">
        <v>0</v>
      </c>
      <c r="N101" s="27">
        <v>0</v>
      </c>
      <c r="O101" s="27">
        <v>0</v>
      </c>
      <c r="P101" s="61"/>
      <c r="Q101" s="29">
        <v>0</v>
      </c>
      <c r="R101" s="61"/>
      <c r="S101" s="3"/>
    </row>
    <row r="102" spans="2:19" s="70" customFormat="1" ht="16.5" customHeight="1">
      <c r="B102" s="63">
        <v>86</v>
      </c>
      <c r="C102" s="63" t="s">
        <v>51</v>
      </c>
      <c r="D102" s="64" t="s">
        <v>391</v>
      </c>
      <c r="E102" s="65" t="s">
        <v>392</v>
      </c>
      <c r="F102" s="63" t="s">
        <v>50</v>
      </c>
      <c r="G102" s="66">
        <v>1050</v>
      </c>
      <c r="H102" s="67" t="s">
        <v>178</v>
      </c>
      <c r="I102" s="67" t="s">
        <v>184</v>
      </c>
      <c r="J102" s="26"/>
      <c r="K102" s="27" t="s">
        <v>121</v>
      </c>
      <c r="L102" s="26"/>
      <c r="M102" s="27">
        <v>1000</v>
      </c>
      <c r="N102" s="27">
        <v>980</v>
      </c>
      <c r="O102" s="27">
        <v>950</v>
      </c>
      <c r="P102" s="28"/>
      <c r="Q102" s="29">
        <v>1525</v>
      </c>
      <c r="R102" s="28"/>
      <c r="S102" s="3"/>
    </row>
    <row r="103" spans="2:19" s="70" customFormat="1" ht="16.5" customHeight="1">
      <c r="B103" s="63">
        <v>87</v>
      </c>
      <c r="C103" s="63" t="s">
        <v>393</v>
      </c>
      <c r="D103" s="64" t="s">
        <v>394</v>
      </c>
      <c r="E103" s="65" t="s">
        <v>48</v>
      </c>
      <c r="F103" s="63" t="s">
        <v>50</v>
      </c>
      <c r="G103" s="66">
        <v>700</v>
      </c>
      <c r="H103" s="67" t="s">
        <v>178</v>
      </c>
      <c r="I103" s="67" t="s">
        <v>184</v>
      </c>
      <c r="J103" s="26"/>
      <c r="K103" s="27" t="s">
        <v>395</v>
      </c>
      <c r="L103" s="26"/>
      <c r="M103" s="27">
        <v>665</v>
      </c>
      <c r="N103" s="27">
        <v>650</v>
      </c>
      <c r="O103" s="27">
        <v>630</v>
      </c>
      <c r="P103" s="28"/>
      <c r="Q103" s="29">
        <v>1015</v>
      </c>
      <c r="R103" s="28"/>
      <c r="S103" s="3"/>
    </row>
    <row r="104" spans="2:19" s="70" customFormat="1" ht="16.5" customHeight="1">
      <c r="B104" s="63">
        <v>88</v>
      </c>
      <c r="C104" s="63" t="s">
        <v>396</v>
      </c>
      <c r="D104" s="64" t="s">
        <v>397</v>
      </c>
      <c r="E104" s="65" t="s">
        <v>48</v>
      </c>
      <c r="F104" s="63" t="s">
        <v>50</v>
      </c>
      <c r="G104" s="69">
        <v>2050</v>
      </c>
      <c r="H104" s="67" t="s">
        <v>183</v>
      </c>
      <c r="I104" s="67" t="s">
        <v>179</v>
      </c>
      <c r="J104" s="26"/>
      <c r="K104" s="27" t="s">
        <v>398</v>
      </c>
      <c r="L104" s="26"/>
      <c r="M104" s="27">
        <v>1950</v>
      </c>
      <c r="N104" s="27">
        <v>1910</v>
      </c>
      <c r="O104" s="27">
        <v>1845</v>
      </c>
      <c r="P104" s="28"/>
      <c r="Q104" s="29">
        <v>2975</v>
      </c>
      <c r="R104" s="28"/>
      <c r="S104" s="3"/>
    </row>
    <row r="105" spans="2:19" ht="16.5" customHeight="1">
      <c r="B105" s="63">
        <v>89</v>
      </c>
      <c r="C105" s="63" t="s">
        <v>399</v>
      </c>
      <c r="D105" s="6" t="s">
        <v>400</v>
      </c>
      <c r="E105" s="7" t="s">
        <v>401</v>
      </c>
      <c r="F105" s="8" t="s">
        <v>50</v>
      </c>
      <c r="G105" s="99">
        <v>2700</v>
      </c>
      <c r="H105" s="100" t="s">
        <v>188</v>
      </c>
      <c r="I105" s="100" t="s">
        <v>184</v>
      </c>
      <c r="K105" s="27" t="s">
        <v>402</v>
      </c>
      <c r="M105" s="27">
        <v>2565</v>
      </c>
      <c r="N105" s="27">
        <v>2515</v>
      </c>
      <c r="O105" s="27">
        <v>2430</v>
      </c>
      <c r="Q105" s="29">
        <v>3915</v>
      </c>
    </row>
    <row r="106" spans="2:19" ht="16.5" customHeight="1">
      <c r="B106" s="63">
        <v>90</v>
      </c>
      <c r="C106" s="63" t="s">
        <v>403</v>
      </c>
      <c r="D106" s="6" t="s">
        <v>404</v>
      </c>
      <c r="E106" s="7" t="s">
        <v>405</v>
      </c>
      <c r="F106" s="8" t="s">
        <v>50</v>
      </c>
      <c r="G106" s="99">
        <v>1500</v>
      </c>
      <c r="H106" s="100"/>
      <c r="I106" s="100"/>
      <c r="K106" s="27" t="s">
        <v>406</v>
      </c>
      <c r="M106" s="27">
        <v>1425</v>
      </c>
      <c r="N106" s="27">
        <v>1395</v>
      </c>
      <c r="O106" s="27">
        <v>1350</v>
      </c>
      <c r="Q106" s="29">
        <v>2175</v>
      </c>
    </row>
    <row r="107" spans="2:19" ht="16.5" customHeight="1">
      <c r="B107" s="189"/>
      <c r="C107" s="189" t="s">
        <v>1789</v>
      </c>
      <c r="D107" s="190" t="s">
        <v>1540</v>
      </c>
      <c r="E107" s="191" t="s">
        <v>1541</v>
      </c>
      <c r="F107" s="189" t="s">
        <v>50</v>
      </c>
      <c r="G107" s="192">
        <v>3500</v>
      </c>
      <c r="H107" s="193"/>
      <c r="I107" s="193"/>
      <c r="J107" s="194"/>
      <c r="K107" s="194" t="s">
        <v>1542</v>
      </c>
      <c r="L107" s="27"/>
      <c r="O107" s="27"/>
      <c r="P107" s="209"/>
      <c r="Q107" s="210"/>
      <c r="R107" s="209"/>
    </row>
    <row r="108" spans="2:19" ht="16.5" customHeight="1">
      <c r="B108" s="189"/>
      <c r="C108" s="189" t="s">
        <v>1543</v>
      </c>
      <c r="D108" s="190" t="s">
        <v>1544</v>
      </c>
      <c r="E108" s="191" t="s">
        <v>1545</v>
      </c>
      <c r="F108" s="189" t="s">
        <v>50</v>
      </c>
      <c r="G108" s="192">
        <v>2050</v>
      </c>
      <c r="H108" s="193"/>
      <c r="I108" s="193"/>
      <c r="J108" s="194"/>
      <c r="K108" s="194" t="s">
        <v>1546</v>
      </c>
      <c r="L108" s="27"/>
      <c r="O108" s="27"/>
      <c r="P108" s="209"/>
      <c r="Q108" s="210"/>
      <c r="R108" s="209"/>
    </row>
    <row r="109" spans="2:19" ht="16.5" customHeight="1">
      <c r="B109" s="189"/>
      <c r="C109" s="189" t="s">
        <v>1547</v>
      </c>
      <c r="D109" s="190" t="s">
        <v>1548</v>
      </c>
      <c r="E109" s="191" t="s">
        <v>1787</v>
      </c>
      <c r="F109" s="189" t="s">
        <v>50</v>
      </c>
      <c r="G109" s="192">
        <v>1750</v>
      </c>
      <c r="H109" s="193"/>
      <c r="I109" s="193"/>
      <c r="J109" s="194"/>
      <c r="K109" s="194" t="s">
        <v>1549</v>
      </c>
      <c r="L109" s="27"/>
      <c r="O109" s="27"/>
      <c r="P109" s="209"/>
      <c r="Q109" s="210"/>
      <c r="R109" s="209"/>
    </row>
    <row r="110" spans="2:19" s="70" customFormat="1" ht="16.5" customHeight="1">
      <c r="B110" s="63">
        <v>91</v>
      </c>
      <c r="C110" s="63" t="s">
        <v>53</v>
      </c>
      <c r="D110" s="64" t="s">
        <v>52</v>
      </c>
      <c r="E110" s="65" t="s">
        <v>48</v>
      </c>
      <c r="F110" s="63" t="s">
        <v>50</v>
      </c>
      <c r="G110" s="69">
        <v>300</v>
      </c>
      <c r="H110" s="67" t="s">
        <v>178</v>
      </c>
      <c r="I110" s="67" t="s">
        <v>179</v>
      </c>
      <c r="J110" s="26"/>
      <c r="K110" s="27" t="s">
        <v>122</v>
      </c>
      <c r="L110" s="26"/>
      <c r="M110" s="27">
        <v>285</v>
      </c>
      <c r="N110" s="27">
        <v>280</v>
      </c>
      <c r="O110" s="27">
        <v>270</v>
      </c>
      <c r="P110" s="28"/>
      <c r="Q110" s="29">
        <v>435</v>
      </c>
      <c r="R110" s="28"/>
      <c r="S110" s="3"/>
    </row>
    <row r="111" spans="2:19" s="70" customFormat="1" ht="16.5" customHeight="1">
      <c r="B111" s="63">
        <v>92</v>
      </c>
      <c r="C111" s="63" t="s">
        <v>49</v>
      </c>
      <c r="D111" s="64" t="s">
        <v>407</v>
      </c>
      <c r="E111" s="65" t="s">
        <v>408</v>
      </c>
      <c r="F111" s="63" t="s">
        <v>50</v>
      </c>
      <c r="G111" s="69">
        <v>700</v>
      </c>
      <c r="H111" s="67" t="s">
        <v>188</v>
      </c>
      <c r="I111" s="67" t="s">
        <v>184</v>
      </c>
      <c r="J111" s="26"/>
      <c r="K111" s="27" t="s">
        <v>120</v>
      </c>
      <c r="L111" s="26"/>
      <c r="M111" s="27">
        <v>665</v>
      </c>
      <c r="N111" s="27">
        <v>650</v>
      </c>
      <c r="O111" s="27">
        <v>630</v>
      </c>
      <c r="P111" s="28"/>
      <c r="Q111" s="29">
        <v>1015</v>
      </c>
      <c r="R111" s="28"/>
      <c r="S111" s="3"/>
    </row>
    <row r="112" spans="2:19" s="70" customFormat="1" ht="16.5" customHeight="1">
      <c r="B112" s="63">
        <v>93</v>
      </c>
      <c r="C112" s="5" t="s">
        <v>1788</v>
      </c>
      <c r="D112" s="64" t="s">
        <v>409</v>
      </c>
      <c r="E112" s="65" t="s">
        <v>410</v>
      </c>
      <c r="F112" s="63" t="s">
        <v>50</v>
      </c>
      <c r="G112" s="69">
        <v>1050</v>
      </c>
      <c r="H112" s="67" t="s">
        <v>178</v>
      </c>
      <c r="I112" s="67" t="s">
        <v>184</v>
      </c>
      <c r="J112" s="26"/>
      <c r="K112" s="27" t="s">
        <v>411</v>
      </c>
      <c r="L112" s="26"/>
      <c r="M112" s="27">
        <v>1000</v>
      </c>
      <c r="N112" s="27">
        <v>980</v>
      </c>
      <c r="O112" s="27">
        <v>950</v>
      </c>
      <c r="P112" s="28"/>
      <c r="Q112" s="29">
        <v>1525</v>
      </c>
      <c r="R112" s="28"/>
      <c r="S112" s="3"/>
    </row>
    <row r="113" spans="2:19" s="70" customFormat="1" ht="16.5" customHeight="1">
      <c r="B113" s="63">
        <v>94</v>
      </c>
      <c r="C113" s="63" t="s">
        <v>412</v>
      </c>
      <c r="D113" s="64" t="s">
        <v>413</v>
      </c>
      <c r="E113" s="65" t="s">
        <v>414</v>
      </c>
      <c r="F113" s="63" t="s">
        <v>50</v>
      </c>
      <c r="G113" s="69">
        <v>500</v>
      </c>
      <c r="H113" s="67" t="s">
        <v>188</v>
      </c>
      <c r="I113" s="67" t="s">
        <v>184</v>
      </c>
      <c r="J113" s="26"/>
      <c r="K113" s="27" t="s">
        <v>415</v>
      </c>
      <c r="L113" s="26"/>
      <c r="M113" s="27">
        <v>475</v>
      </c>
      <c r="N113" s="27">
        <v>464.99999999999994</v>
      </c>
      <c r="O113" s="27">
        <v>450</v>
      </c>
      <c r="P113" s="28"/>
      <c r="Q113" s="29">
        <v>725</v>
      </c>
      <c r="R113" s="28"/>
      <c r="S113" s="3"/>
    </row>
    <row r="114" spans="2:19" s="70" customFormat="1" ht="16.5" customHeight="1">
      <c r="B114" s="63">
        <v>95</v>
      </c>
      <c r="C114" s="63" t="s">
        <v>56</v>
      </c>
      <c r="D114" s="64" t="s">
        <v>54</v>
      </c>
      <c r="E114" s="65" t="s">
        <v>55</v>
      </c>
      <c r="F114" s="63" t="s">
        <v>50</v>
      </c>
      <c r="G114" s="66">
        <v>1050</v>
      </c>
      <c r="H114" s="67" t="s">
        <v>178</v>
      </c>
      <c r="I114" s="67" t="s">
        <v>179</v>
      </c>
      <c r="J114" s="26"/>
      <c r="K114" s="27" t="s">
        <v>123</v>
      </c>
      <c r="L114" s="26"/>
      <c r="M114" s="27">
        <v>1000</v>
      </c>
      <c r="N114" s="27">
        <v>980</v>
      </c>
      <c r="O114" s="27">
        <v>950</v>
      </c>
      <c r="P114" s="28"/>
      <c r="Q114" s="29">
        <v>1525</v>
      </c>
      <c r="R114" s="28"/>
      <c r="S114" s="3"/>
    </row>
    <row r="115" spans="2:19" s="70" customFormat="1" ht="16.5" customHeight="1">
      <c r="B115" s="63">
        <v>96</v>
      </c>
      <c r="C115" s="63" t="s">
        <v>56</v>
      </c>
      <c r="D115" s="64" t="s">
        <v>57</v>
      </c>
      <c r="E115" s="65" t="s">
        <v>58</v>
      </c>
      <c r="F115" s="63" t="s">
        <v>50</v>
      </c>
      <c r="G115" s="66">
        <v>1050</v>
      </c>
      <c r="H115" s="67" t="s">
        <v>178</v>
      </c>
      <c r="I115" s="67" t="s">
        <v>179</v>
      </c>
      <c r="J115" s="26"/>
      <c r="K115" s="27" t="s">
        <v>123</v>
      </c>
      <c r="L115" s="26"/>
      <c r="M115" s="27">
        <v>1000</v>
      </c>
      <c r="N115" s="27">
        <v>980</v>
      </c>
      <c r="O115" s="27">
        <v>950</v>
      </c>
      <c r="P115" s="28"/>
      <c r="Q115" s="29">
        <v>1525</v>
      </c>
      <c r="R115" s="28"/>
      <c r="S115" s="3"/>
    </row>
    <row r="116" spans="2:19" s="70" customFormat="1" ht="16.5" customHeight="1">
      <c r="B116" s="63">
        <v>97</v>
      </c>
      <c r="C116" s="63" t="s">
        <v>56</v>
      </c>
      <c r="D116" s="64" t="s">
        <v>59</v>
      </c>
      <c r="E116" s="65" t="s">
        <v>60</v>
      </c>
      <c r="F116" s="63" t="s">
        <v>50</v>
      </c>
      <c r="G116" s="66">
        <v>1050</v>
      </c>
      <c r="H116" s="67" t="s">
        <v>178</v>
      </c>
      <c r="I116" s="67" t="s">
        <v>179</v>
      </c>
      <c r="J116" s="26"/>
      <c r="K116" s="27" t="s">
        <v>123</v>
      </c>
      <c r="L116" s="26"/>
      <c r="M116" s="27">
        <v>1000</v>
      </c>
      <c r="N116" s="27">
        <v>980</v>
      </c>
      <c r="O116" s="27">
        <v>950</v>
      </c>
      <c r="P116" s="28"/>
      <c r="Q116" s="29">
        <v>1525</v>
      </c>
      <c r="R116" s="28"/>
      <c r="S116" s="3"/>
    </row>
    <row r="117" spans="2:19" s="70" customFormat="1" ht="16.5" customHeight="1">
      <c r="B117" s="63">
        <v>98</v>
      </c>
      <c r="C117" s="63" t="s">
        <v>63</v>
      </c>
      <c r="D117" s="64" t="s">
        <v>61</v>
      </c>
      <c r="E117" s="65" t="s">
        <v>62</v>
      </c>
      <c r="F117" s="63" t="s">
        <v>50</v>
      </c>
      <c r="G117" s="66">
        <v>2550</v>
      </c>
      <c r="H117" s="67" t="s">
        <v>178</v>
      </c>
      <c r="I117" s="67" t="s">
        <v>179</v>
      </c>
      <c r="J117" s="26"/>
      <c r="K117" s="27" t="s">
        <v>124</v>
      </c>
      <c r="L117" s="26"/>
      <c r="M117" s="27">
        <v>2425</v>
      </c>
      <c r="N117" s="27">
        <v>2375</v>
      </c>
      <c r="O117" s="27">
        <v>2295</v>
      </c>
      <c r="P117" s="28"/>
      <c r="Q117" s="29">
        <v>3700</v>
      </c>
      <c r="R117" s="28"/>
      <c r="S117" s="3"/>
    </row>
    <row r="118" spans="2:19" s="70" customFormat="1" ht="16.5" customHeight="1">
      <c r="B118" s="189"/>
      <c r="C118" s="189" t="s">
        <v>1790</v>
      </c>
      <c r="D118" s="190" t="s">
        <v>1792</v>
      </c>
      <c r="E118" s="191"/>
      <c r="F118" s="189" t="s">
        <v>50</v>
      </c>
      <c r="G118" s="195">
        <v>1500</v>
      </c>
      <c r="H118" s="193"/>
      <c r="I118" s="193"/>
      <c r="J118" s="194"/>
      <c r="K118" s="194" t="s">
        <v>1791</v>
      </c>
      <c r="L118" s="26"/>
      <c r="M118" s="194">
        <f>G118*0.95</f>
        <v>1425</v>
      </c>
      <c r="N118" s="194">
        <f>G118*0.93</f>
        <v>1395</v>
      </c>
      <c r="O118" s="194">
        <f>G118*0.9</f>
        <v>1350</v>
      </c>
      <c r="P118" s="28"/>
      <c r="Q118" s="270">
        <f>G118*1.45</f>
        <v>2175</v>
      </c>
      <c r="R118" s="28"/>
      <c r="S118" s="3"/>
    </row>
    <row r="119" spans="2:19" s="70" customFormat="1" ht="16.5" customHeight="1">
      <c r="B119" s="63">
        <v>99</v>
      </c>
      <c r="C119" s="63" t="s">
        <v>65</v>
      </c>
      <c r="D119" s="64" t="s">
        <v>416</v>
      </c>
      <c r="E119" s="65" t="s">
        <v>64</v>
      </c>
      <c r="F119" s="63" t="s">
        <v>50</v>
      </c>
      <c r="G119" s="66">
        <v>500</v>
      </c>
      <c r="H119" s="67" t="s">
        <v>178</v>
      </c>
      <c r="I119" s="67" t="s">
        <v>179</v>
      </c>
      <c r="J119" s="26"/>
      <c r="K119" s="27" t="s">
        <v>125</v>
      </c>
      <c r="L119" s="26"/>
      <c r="M119" s="27">
        <v>475</v>
      </c>
      <c r="N119" s="27">
        <v>464.99999999999994</v>
      </c>
      <c r="O119" s="27">
        <v>450</v>
      </c>
      <c r="P119" s="28"/>
      <c r="Q119" s="29">
        <v>725</v>
      </c>
      <c r="R119" s="28"/>
      <c r="S119" s="3"/>
    </row>
    <row r="120" spans="2:19" s="70" customFormat="1" ht="16.5" customHeight="1">
      <c r="B120" s="63">
        <v>100</v>
      </c>
      <c r="C120" s="63" t="s">
        <v>67</v>
      </c>
      <c r="D120" s="64" t="s">
        <v>417</v>
      </c>
      <c r="E120" s="65" t="s">
        <v>66</v>
      </c>
      <c r="F120" s="63" t="s">
        <v>50</v>
      </c>
      <c r="G120" s="66">
        <v>700</v>
      </c>
      <c r="H120" s="67" t="s">
        <v>178</v>
      </c>
      <c r="I120" s="67" t="s">
        <v>179</v>
      </c>
      <c r="J120" s="26"/>
      <c r="K120" s="27" t="s">
        <v>126</v>
      </c>
      <c r="L120" s="26"/>
      <c r="M120" s="27">
        <v>665</v>
      </c>
      <c r="N120" s="27">
        <v>650</v>
      </c>
      <c r="O120" s="27">
        <v>630</v>
      </c>
      <c r="P120" s="28"/>
      <c r="Q120" s="29">
        <v>1015</v>
      </c>
      <c r="R120" s="28"/>
      <c r="S120" s="3"/>
    </row>
    <row r="121" spans="2:19" s="70" customFormat="1" ht="16.5" customHeight="1">
      <c r="B121" s="63">
        <v>101</v>
      </c>
      <c r="C121" s="63" t="s">
        <v>70</v>
      </c>
      <c r="D121" s="64" t="s">
        <v>68</v>
      </c>
      <c r="E121" s="65" t="s">
        <v>69</v>
      </c>
      <c r="F121" s="63" t="s">
        <v>50</v>
      </c>
      <c r="G121" s="66">
        <v>500</v>
      </c>
      <c r="H121" s="67" t="s">
        <v>178</v>
      </c>
      <c r="I121" s="67" t="s">
        <v>179</v>
      </c>
      <c r="J121" s="26"/>
      <c r="K121" s="27" t="s">
        <v>127</v>
      </c>
      <c r="L121" s="26"/>
      <c r="M121" s="27">
        <v>475</v>
      </c>
      <c r="N121" s="27">
        <v>464.99999999999994</v>
      </c>
      <c r="O121" s="27">
        <v>450</v>
      </c>
      <c r="P121" s="28"/>
      <c r="Q121" s="29">
        <v>725</v>
      </c>
      <c r="R121" s="28"/>
      <c r="S121" s="3"/>
    </row>
    <row r="122" spans="2:19" s="70" customFormat="1" ht="16.5" customHeight="1">
      <c r="B122" s="63">
        <v>102</v>
      </c>
      <c r="C122" s="63" t="s">
        <v>72</v>
      </c>
      <c r="D122" s="190" t="s">
        <v>1550</v>
      </c>
      <c r="E122" s="191" t="s">
        <v>71</v>
      </c>
      <c r="F122" s="189" t="s">
        <v>50</v>
      </c>
      <c r="G122" s="195">
        <v>1050</v>
      </c>
      <c r="H122" s="67" t="s">
        <v>178</v>
      </c>
      <c r="I122" s="67" t="s">
        <v>179</v>
      </c>
      <c r="J122" s="26"/>
      <c r="K122" s="27" t="s">
        <v>128</v>
      </c>
      <c r="L122" s="26"/>
      <c r="M122" s="27">
        <v>1000</v>
      </c>
      <c r="N122" s="27">
        <v>980</v>
      </c>
      <c r="O122" s="27">
        <v>950</v>
      </c>
      <c r="P122" s="28"/>
      <c r="Q122" s="29">
        <v>1525</v>
      </c>
      <c r="R122" s="28"/>
      <c r="S122" s="3"/>
    </row>
    <row r="123" spans="2:19" s="70" customFormat="1" ht="16.5" customHeight="1">
      <c r="B123" s="63">
        <v>103</v>
      </c>
      <c r="C123" s="63" t="s">
        <v>74</v>
      </c>
      <c r="D123" s="64" t="s">
        <v>73</v>
      </c>
      <c r="E123" s="65"/>
      <c r="F123" s="63" t="s">
        <v>50</v>
      </c>
      <c r="G123" s="66">
        <v>300</v>
      </c>
      <c r="H123" s="67" t="s">
        <v>178</v>
      </c>
      <c r="I123" s="67" t="s">
        <v>179</v>
      </c>
      <c r="J123" s="26"/>
      <c r="K123" s="27" t="s">
        <v>129</v>
      </c>
      <c r="L123" s="26"/>
      <c r="M123" s="27">
        <v>285</v>
      </c>
      <c r="N123" s="27">
        <v>280</v>
      </c>
      <c r="O123" s="27">
        <v>270</v>
      </c>
      <c r="P123" s="28"/>
      <c r="Q123" s="29">
        <v>435</v>
      </c>
      <c r="R123" s="28"/>
      <c r="S123" s="3"/>
    </row>
    <row r="124" spans="2:19" ht="16.5" customHeight="1">
      <c r="B124" s="189"/>
      <c r="C124" s="189" t="s">
        <v>1551</v>
      </c>
      <c r="D124" s="196" t="s">
        <v>1552</v>
      </c>
      <c r="E124" s="191" t="s">
        <v>71</v>
      </c>
      <c r="F124" s="189" t="s">
        <v>50</v>
      </c>
      <c r="G124" s="195">
        <v>1500</v>
      </c>
      <c r="H124" s="193"/>
      <c r="I124" s="193"/>
      <c r="J124" s="194"/>
      <c r="K124" s="194" t="s">
        <v>1553</v>
      </c>
      <c r="L124" s="27"/>
      <c r="M124" s="194">
        <f>G124*0.95</f>
        <v>1425</v>
      </c>
      <c r="N124" s="194">
        <f>G124*0.93</f>
        <v>1395</v>
      </c>
      <c r="O124" s="194">
        <f>G124*0.9</f>
        <v>1350</v>
      </c>
      <c r="Q124" s="270">
        <f>G124*1.45</f>
        <v>2175</v>
      </c>
      <c r="R124" s="209"/>
    </row>
    <row r="125" spans="2:19" ht="16.5" customHeight="1">
      <c r="B125" s="189"/>
      <c r="C125" s="189" t="s">
        <v>1554</v>
      </c>
      <c r="D125" s="197" t="s">
        <v>1555</v>
      </c>
      <c r="E125" s="191" t="s">
        <v>1556</v>
      </c>
      <c r="F125" s="189" t="s">
        <v>50</v>
      </c>
      <c r="G125" s="195">
        <v>7500</v>
      </c>
      <c r="H125" s="193"/>
      <c r="I125" s="193"/>
      <c r="J125" s="194"/>
      <c r="K125" s="194" t="s">
        <v>1557</v>
      </c>
      <c r="L125" s="27"/>
      <c r="M125" s="194">
        <f>G125*0.95</f>
        <v>7125</v>
      </c>
      <c r="N125" s="194">
        <f>G125*0.93</f>
        <v>6975</v>
      </c>
      <c r="O125" s="194">
        <f>G125*0.9</f>
        <v>6750</v>
      </c>
      <c r="Q125" s="270">
        <f>G125*1.45</f>
        <v>10875</v>
      </c>
      <c r="R125" s="209"/>
    </row>
    <row r="126" spans="2:19" s="70" customFormat="1" ht="16.5" customHeight="1">
      <c r="B126" s="63">
        <v>104</v>
      </c>
      <c r="C126" s="63" t="s">
        <v>77</v>
      </c>
      <c r="D126" s="64" t="s">
        <v>418</v>
      </c>
      <c r="E126" s="65" t="s">
        <v>419</v>
      </c>
      <c r="F126" s="63" t="s">
        <v>21</v>
      </c>
      <c r="G126" s="66">
        <v>500</v>
      </c>
      <c r="H126" s="67" t="s">
        <v>178</v>
      </c>
      <c r="I126" s="67" t="s">
        <v>179</v>
      </c>
      <c r="J126" s="26"/>
      <c r="K126" s="27" t="s">
        <v>420</v>
      </c>
      <c r="L126" s="26"/>
      <c r="M126" s="27">
        <v>475</v>
      </c>
      <c r="N126" s="27">
        <v>464.99999999999994</v>
      </c>
      <c r="O126" s="27">
        <v>450</v>
      </c>
      <c r="P126" s="28"/>
      <c r="Q126" s="29">
        <v>725</v>
      </c>
      <c r="R126" s="28"/>
      <c r="S126" s="3"/>
    </row>
    <row r="127" spans="2:19" s="70" customFormat="1" ht="16.5" customHeight="1">
      <c r="B127" s="63">
        <v>105</v>
      </c>
      <c r="C127" s="63" t="s">
        <v>78</v>
      </c>
      <c r="D127" s="64" t="s">
        <v>421</v>
      </c>
      <c r="E127" s="65"/>
      <c r="F127" s="63" t="s">
        <v>21</v>
      </c>
      <c r="G127" s="66">
        <v>700</v>
      </c>
      <c r="H127" s="67" t="s">
        <v>178</v>
      </c>
      <c r="I127" s="67" t="s">
        <v>179</v>
      </c>
      <c r="J127" s="26"/>
      <c r="K127" s="27" t="s">
        <v>422</v>
      </c>
      <c r="L127" s="26"/>
      <c r="M127" s="27">
        <v>665</v>
      </c>
      <c r="N127" s="27">
        <v>650</v>
      </c>
      <c r="O127" s="27">
        <v>630</v>
      </c>
      <c r="P127" s="28"/>
      <c r="Q127" s="29">
        <v>1015</v>
      </c>
      <c r="R127" s="28"/>
      <c r="S127" s="3"/>
    </row>
    <row r="128" spans="2:19" s="70" customFormat="1" ht="16.5" customHeight="1">
      <c r="B128" s="63">
        <v>106</v>
      </c>
      <c r="C128" s="63" t="s">
        <v>423</v>
      </c>
      <c r="D128" s="64" t="s">
        <v>424</v>
      </c>
      <c r="E128" s="65"/>
      <c r="F128" s="63" t="s">
        <v>21</v>
      </c>
      <c r="G128" s="66">
        <v>1050</v>
      </c>
      <c r="H128" s="67" t="s">
        <v>178</v>
      </c>
      <c r="I128" s="67" t="s">
        <v>179</v>
      </c>
      <c r="J128" s="26"/>
      <c r="K128" s="27" t="s">
        <v>425</v>
      </c>
      <c r="L128" s="26"/>
      <c r="M128" s="27">
        <v>1000</v>
      </c>
      <c r="N128" s="27">
        <v>980</v>
      </c>
      <c r="O128" s="27">
        <v>950</v>
      </c>
      <c r="P128" s="28"/>
      <c r="Q128" s="29">
        <v>1525</v>
      </c>
      <c r="R128" s="28"/>
      <c r="S128" s="3"/>
    </row>
    <row r="129" spans="2:19" s="70" customFormat="1" ht="16.5" customHeight="1">
      <c r="B129" s="63">
        <v>107</v>
      </c>
      <c r="C129" s="63" t="s">
        <v>426</v>
      </c>
      <c r="D129" s="64" t="s">
        <v>427</v>
      </c>
      <c r="E129" s="65"/>
      <c r="F129" s="63" t="s">
        <v>50</v>
      </c>
      <c r="G129" s="66">
        <v>1050</v>
      </c>
      <c r="H129" s="67" t="s">
        <v>188</v>
      </c>
      <c r="I129" s="67" t="s">
        <v>179</v>
      </c>
      <c r="J129" s="26"/>
      <c r="K129" s="27" t="s">
        <v>428</v>
      </c>
      <c r="L129" s="26"/>
      <c r="M129" s="27">
        <v>1000</v>
      </c>
      <c r="N129" s="27">
        <v>980</v>
      </c>
      <c r="O129" s="27">
        <v>950</v>
      </c>
      <c r="P129" s="28"/>
      <c r="Q129" s="29">
        <v>1525</v>
      </c>
      <c r="R129" s="28"/>
      <c r="S129" s="3"/>
    </row>
    <row r="130" spans="2:19" s="70" customFormat="1" ht="16.5" customHeight="1">
      <c r="B130" s="63">
        <v>108</v>
      </c>
      <c r="C130" s="63" t="s">
        <v>429</v>
      </c>
      <c r="D130" s="64" t="s">
        <v>430</v>
      </c>
      <c r="E130" s="65"/>
      <c r="F130" s="63" t="s">
        <v>50</v>
      </c>
      <c r="G130" s="66">
        <v>2050</v>
      </c>
      <c r="H130" s="67" t="s">
        <v>188</v>
      </c>
      <c r="I130" s="67" t="s">
        <v>179</v>
      </c>
      <c r="J130" s="26"/>
      <c r="K130" s="27" t="s">
        <v>431</v>
      </c>
      <c r="L130" s="26"/>
      <c r="M130" s="27">
        <v>1950</v>
      </c>
      <c r="N130" s="27">
        <v>1910</v>
      </c>
      <c r="O130" s="27">
        <v>1845</v>
      </c>
      <c r="P130" s="28"/>
      <c r="Q130" s="29">
        <v>2975</v>
      </c>
      <c r="R130" s="28"/>
      <c r="S130" s="3"/>
    </row>
    <row r="131" spans="2:19" s="70" customFormat="1" ht="16.5" customHeight="1">
      <c r="B131" s="63">
        <v>109</v>
      </c>
      <c r="C131" s="63" t="s">
        <v>432</v>
      </c>
      <c r="D131" s="64" t="s">
        <v>433</v>
      </c>
      <c r="E131" s="65" t="s">
        <v>434</v>
      </c>
      <c r="F131" s="63" t="s">
        <v>21</v>
      </c>
      <c r="G131" s="66">
        <v>500</v>
      </c>
      <c r="H131" s="67" t="s">
        <v>188</v>
      </c>
      <c r="I131" s="67" t="s">
        <v>179</v>
      </c>
      <c r="J131" s="26"/>
      <c r="K131" s="27" t="s">
        <v>435</v>
      </c>
      <c r="L131" s="26"/>
      <c r="M131" s="27">
        <v>475</v>
      </c>
      <c r="N131" s="27">
        <v>464.99999999999994</v>
      </c>
      <c r="O131" s="27">
        <v>450</v>
      </c>
      <c r="P131" s="28"/>
      <c r="Q131" s="29">
        <v>725</v>
      </c>
      <c r="R131" s="28"/>
      <c r="S131" s="3"/>
    </row>
    <row r="132" spans="2:19" s="70" customFormat="1" ht="16.5" customHeight="1">
      <c r="B132" s="63">
        <v>110</v>
      </c>
      <c r="C132" s="63" t="s">
        <v>436</v>
      </c>
      <c r="D132" s="64" t="s">
        <v>437</v>
      </c>
      <c r="E132" s="65" t="s">
        <v>438</v>
      </c>
      <c r="F132" s="63" t="s">
        <v>21</v>
      </c>
      <c r="G132" s="66">
        <v>850</v>
      </c>
      <c r="H132" s="67" t="s">
        <v>188</v>
      </c>
      <c r="I132" s="67" t="s">
        <v>179</v>
      </c>
      <c r="J132" s="26"/>
      <c r="K132" s="27" t="s">
        <v>439</v>
      </c>
      <c r="L132" s="26"/>
      <c r="M132" s="27">
        <v>810</v>
      </c>
      <c r="N132" s="27">
        <v>790</v>
      </c>
      <c r="O132" s="27">
        <v>765</v>
      </c>
      <c r="P132" s="28"/>
      <c r="Q132" s="29">
        <v>1235</v>
      </c>
      <c r="R132" s="28"/>
      <c r="S132" s="3"/>
    </row>
    <row r="133" spans="2:19" s="70" customFormat="1" ht="16.5" customHeight="1">
      <c r="B133" s="63">
        <v>111</v>
      </c>
      <c r="C133" s="189" t="s">
        <v>1539</v>
      </c>
      <c r="D133" s="64" t="s">
        <v>97</v>
      </c>
      <c r="E133" s="65"/>
      <c r="F133" s="63" t="s">
        <v>21</v>
      </c>
      <c r="G133" s="66">
        <v>300</v>
      </c>
      <c r="H133" s="67" t="s">
        <v>178</v>
      </c>
      <c r="I133" s="67" t="s">
        <v>179</v>
      </c>
      <c r="J133" s="26"/>
      <c r="K133" s="27" t="s">
        <v>1782</v>
      </c>
      <c r="L133" s="26"/>
      <c r="M133" s="27">
        <v>285</v>
      </c>
      <c r="N133" s="27">
        <v>280</v>
      </c>
      <c r="O133" s="27">
        <v>270</v>
      </c>
      <c r="P133" s="28"/>
      <c r="Q133" s="29">
        <v>435</v>
      </c>
      <c r="R133" s="28"/>
      <c r="S133" s="3"/>
    </row>
    <row r="134" spans="2:19" s="70" customFormat="1" ht="16.5" customHeight="1">
      <c r="B134" s="63">
        <v>112</v>
      </c>
      <c r="C134" s="63" t="s">
        <v>96</v>
      </c>
      <c r="D134" s="64" t="s">
        <v>95</v>
      </c>
      <c r="E134" s="65"/>
      <c r="F134" s="63" t="s">
        <v>21</v>
      </c>
      <c r="G134" s="66">
        <v>500</v>
      </c>
      <c r="H134" s="67" t="s">
        <v>178</v>
      </c>
      <c r="I134" s="67" t="s">
        <v>179</v>
      </c>
      <c r="J134" s="26"/>
      <c r="K134" s="27" t="s">
        <v>140</v>
      </c>
      <c r="L134" s="26"/>
      <c r="M134" s="27">
        <v>475</v>
      </c>
      <c r="N134" s="27">
        <v>464.99999999999994</v>
      </c>
      <c r="O134" s="27">
        <v>450</v>
      </c>
      <c r="P134" s="28"/>
      <c r="Q134" s="29">
        <v>725</v>
      </c>
      <c r="R134" s="28"/>
      <c r="S134" s="3"/>
    </row>
    <row r="135" spans="2:19" s="70" customFormat="1" ht="16.5" customHeight="1">
      <c r="B135" s="63">
        <v>113</v>
      </c>
      <c r="C135" s="63" t="s">
        <v>80</v>
      </c>
      <c r="D135" s="64" t="s">
        <v>79</v>
      </c>
      <c r="E135" s="65"/>
      <c r="F135" s="63" t="s">
        <v>21</v>
      </c>
      <c r="G135" s="66">
        <v>300</v>
      </c>
      <c r="H135" s="67" t="s">
        <v>178</v>
      </c>
      <c r="I135" s="67" t="s">
        <v>179</v>
      </c>
      <c r="J135" s="26"/>
      <c r="K135" s="27" t="s">
        <v>132</v>
      </c>
      <c r="L135" s="26"/>
      <c r="M135" s="27">
        <v>285</v>
      </c>
      <c r="N135" s="27">
        <v>280</v>
      </c>
      <c r="O135" s="27">
        <v>270</v>
      </c>
      <c r="P135" s="28"/>
      <c r="Q135" s="29">
        <v>435</v>
      </c>
      <c r="R135" s="28"/>
      <c r="S135" s="3"/>
    </row>
    <row r="136" spans="2:19" s="70" customFormat="1" ht="16.5" customHeight="1">
      <c r="B136" s="63">
        <v>114</v>
      </c>
      <c r="C136" s="63" t="s">
        <v>84</v>
      </c>
      <c r="D136" s="64" t="s">
        <v>83</v>
      </c>
      <c r="E136" s="65"/>
      <c r="F136" s="63" t="s">
        <v>21</v>
      </c>
      <c r="G136" s="66">
        <v>500</v>
      </c>
      <c r="H136" s="67" t="s">
        <v>178</v>
      </c>
      <c r="I136" s="67" t="s">
        <v>179</v>
      </c>
      <c r="J136" s="26"/>
      <c r="K136" s="27" t="s">
        <v>133</v>
      </c>
      <c r="L136" s="26"/>
      <c r="M136" s="27">
        <v>475</v>
      </c>
      <c r="N136" s="27">
        <v>464.99999999999994</v>
      </c>
      <c r="O136" s="27">
        <v>450</v>
      </c>
      <c r="P136" s="28"/>
      <c r="Q136" s="29">
        <v>725</v>
      </c>
      <c r="R136" s="28"/>
      <c r="S136" s="3"/>
    </row>
    <row r="137" spans="2:19" s="70" customFormat="1" ht="16.5" customHeight="1">
      <c r="B137" s="63">
        <v>115</v>
      </c>
      <c r="C137" s="63" t="s">
        <v>86</v>
      </c>
      <c r="D137" s="64" t="s">
        <v>85</v>
      </c>
      <c r="E137" s="65"/>
      <c r="F137" s="63" t="s">
        <v>21</v>
      </c>
      <c r="G137" s="66">
        <v>700</v>
      </c>
      <c r="H137" s="67" t="s">
        <v>178</v>
      </c>
      <c r="I137" s="67" t="s">
        <v>179</v>
      </c>
      <c r="J137" s="26"/>
      <c r="K137" s="27" t="s">
        <v>134</v>
      </c>
      <c r="L137" s="26"/>
      <c r="M137" s="27">
        <v>665</v>
      </c>
      <c r="N137" s="27">
        <v>650</v>
      </c>
      <c r="O137" s="27">
        <v>630</v>
      </c>
      <c r="P137" s="28"/>
      <c r="Q137" s="29">
        <v>1015</v>
      </c>
      <c r="R137" s="28"/>
      <c r="S137" s="3"/>
    </row>
    <row r="138" spans="2:19" s="70" customFormat="1" ht="16.5" customHeight="1">
      <c r="B138" s="63">
        <v>116</v>
      </c>
      <c r="C138" s="63" t="s">
        <v>88</v>
      </c>
      <c r="D138" s="64" t="s">
        <v>87</v>
      </c>
      <c r="E138" s="65"/>
      <c r="F138" s="63" t="s">
        <v>21</v>
      </c>
      <c r="G138" s="66">
        <v>1050</v>
      </c>
      <c r="H138" s="67" t="s">
        <v>178</v>
      </c>
      <c r="I138" s="67" t="s">
        <v>179</v>
      </c>
      <c r="J138" s="26"/>
      <c r="K138" s="27" t="s">
        <v>135</v>
      </c>
      <c r="L138" s="26"/>
      <c r="M138" s="27">
        <v>1000</v>
      </c>
      <c r="N138" s="27">
        <v>980</v>
      </c>
      <c r="O138" s="27">
        <v>950</v>
      </c>
      <c r="P138" s="28"/>
      <c r="Q138" s="29">
        <v>1525</v>
      </c>
      <c r="R138" s="28"/>
      <c r="S138" s="3"/>
    </row>
    <row r="139" spans="2:19" s="70" customFormat="1" ht="16.5" customHeight="1">
      <c r="B139" s="63">
        <v>117</v>
      </c>
      <c r="C139" s="63" t="s">
        <v>90</v>
      </c>
      <c r="D139" s="64" t="s">
        <v>89</v>
      </c>
      <c r="E139" s="65"/>
      <c r="F139" s="63" t="s">
        <v>21</v>
      </c>
      <c r="G139" s="66">
        <v>2550</v>
      </c>
      <c r="H139" s="67" t="s">
        <v>178</v>
      </c>
      <c r="I139" s="67" t="s">
        <v>179</v>
      </c>
      <c r="J139" s="26"/>
      <c r="K139" s="27" t="s">
        <v>136</v>
      </c>
      <c r="L139" s="26"/>
      <c r="M139" s="27">
        <v>2425</v>
      </c>
      <c r="N139" s="27">
        <v>2375</v>
      </c>
      <c r="O139" s="27">
        <v>2295</v>
      </c>
      <c r="P139" s="28"/>
      <c r="Q139" s="29">
        <v>3700</v>
      </c>
      <c r="R139" s="28"/>
      <c r="S139" s="3"/>
    </row>
    <row r="140" spans="2:19" s="70" customFormat="1" ht="16.5" customHeight="1">
      <c r="B140" s="63">
        <v>118</v>
      </c>
      <c r="C140" s="63" t="s">
        <v>440</v>
      </c>
      <c r="D140" s="64" t="s">
        <v>441</v>
      </c>
      <c r="E140" s="65" t="s">
        <v>442</v>
      </c>
      <c r="F140" s="63" t="s">
        <v>443</v>
      </c>
      <c r="G140" s="69">
        <v>850</v>
      </c>
      <c r="H140" s="67" t="s">
        <v>188</v>
      </c>
      <c r="I140" s="67" t="s">
        <v>184</v>
      </c>
      <c r="J140" s="26"/>
      <c r="K140" s="27" t="s">
        <v>444</v>
      </c>
      <c r="L140" s="26"/>
      <c r="M140" s="27">
        <v>810</v>
      </c>
      <c r="N140" s="27">
        <v>790</v>
      </c>
      <c r="O140" s="27">
        <v>765</v>
      </c>
      <c r="P140" s="28"/>
      <c r="Q140" s="29">
        <v>1235</v>
      </c>
      <c r="R140" s="28"/>
      <c r="S140" s="3"/>
    </row>
    <row r="141" spans="2:19" s="70" customFormat="1" ht="16.5" customHeight="1">
      <c r="B141" s="63">
        <v>119</v>
      </c>
      <c r="C141" s="63" t="s">
        <v>445</v>
      </c>
      <c r="D141" s="198" t="s">
        <v>1559</v>
      </c>
      <c r="E141" s="65" t="s">
        <v>446</v>
      </c>
      <c r="F141" s="63" t="s">
        <v>443</v>
      </c>
      <c r="G141" s="69">
        <v>1050</v>
      </c>
      <c r="H141" s="67" t="s">
        <v>188</v>
      </c>
      <c r="I141" s="67" t="s">
        <v>184</v>
      </c>
      <c r="J141" s="26"/>
      <c r="K141" s="84" t="s">
        <v>447</v>
      </c>
      <c r="L141" s="26"/>
      <c r="M141" s="27">
        <v>1000</v>
      </c>
      <c r="N141" s="27">
        <v>980</v>
      </c>
      <c r="O141" s="27">
        <v>950</v>
      </c>
      <c r="P141" s="28"/>
      <c r="Q141" s="29">
        <v>1525</v>
      </c>
      <c r="R141" s="28"/>
      <c r="S141" s="3"/>
    </row>
    <row r="142" spans="2:19" ht="16.5" customHeight="1">
      <c r="B142" s="63">
        <v>120</v>
      </c>
      <c r="C142" s="63" t="s">
        <v>448</v>
      </c>
      <c r="D142" s="198" t="s">
        <v>451</v>
      </c>
      <c r="E142" s="65" t="s">
        <v>446</v>
      </c>
      <c r="F142" s="63" t="s">
        <v>443</v>
      </c>
      <c r="G142" s="69">
        <v>1250</v>
      </c>
      <c r="H142" s="67" t="s">
        <v>188</v>
      </c>
      <c r="I142" s="67" t="s">
        <v>184</v>
      </c>
      <c r="K142" s="84" t="s">
        <v>449</v>
      </c>
      <c r="M142" s="27">
        <v>1190</v>
      </c>
      <c r="N142" s="27">
        <v>1165</v>
      </c>
      <c r="O142" s="27">
        <v>1125</v>
      </c>
      <c r="Q142" s="29">
        <v>1815</v>
      </c>
    </row>
    <row r="143" spans="2:19" ht="16.5" customHeight="1">
      <c r="B143" s="63">
        <v>121</v>
      </c>
      <c r="C143" s="63" t="s">
        <v>450</v>
      </c>
      <c r="D143" s="198" t="s">
        <v>1558</v>
      </c>
      <c r="E143" s="65" t="s">
        <v>446</v>
      </c>
      <c r="F143" s="63" t="s">
        <v>443</v>
      </c>
      <c r="G143" s="69">
        <v>1500</v>
      </c>
      <c r="H143" s="67" t="s">
        <v>188</v>
      </c>
      <c r="I143" s="67" t="s">
        <v>184</v>
      </c>
      <c r="K143" s="84" t="s">
        <v>452</v>
      </c>
      <c r="M143" s="27">
        <v>1425</v>
      </c>
      <c r="N143" s="27">
        <v>1395</v>
      </c>
      <c r="O143" s="27">
        <v>1350</v>
      </c>
      <c r="Q143" s="29">
        <v>2175</v>
      </c>
    </row>
    <row r="144" spans="2:19" ht="16.5" customHeight="1">
      <c r="B144" s="63">
        <v>122</v>
      </c>
      <c r="C144" s="63" t="s">
        <v>453</v>
      </c>
      <c r="D144" s="91" t="s">
        <v>454</v>
      </c>
      <c r="E144" s="101" t="s">
        <v>455</v>
      </c>
      <c r="F144" s="93"/>
      <c r="G144" s="102">
        <v>600</v>
      </c>
      <c r="H144" s="103"/>
      <c r="I144" s="103"/>
      <c r="J144" s="104"/>
      <c r="K144" s="27" t="s">
        <v>456</v>
      </c>
      <c r="L144" s="104"/>
      <c r="M144" s="105">
        <v>590</v>
      </c>
      <c r="N144" s="105">
        <v>580</v>
      </c>
      <c r="O144" s="105">
        <v>570</v>
      </c>
      <c r="Q144" s="29">
        <v>870</v>
      </c>
    </row>
    <row r="145" spans="2:17" ht="16.5" customHeight="1">
      <c r="B145" s="63">
        <v>123</v>
      </c>
      <c r="C145" s="63" t="s">
        <v>457</v>
      </c>
      <c r="D145" s="91" t="s">
        <v>458</v>
      </c>
      <c r="E145" s="101" t="s">
        <v>459</v>
      </c>
      <c r="F145" s="93"/>
      <c r="G145" s="102">
        <v>1050</v>
      </c>
      <c r="H145" s="103"/>
      <c r="I145" s="103"/>
      <c r="J145" s="104"/>
      <c r="K145" s="27" t="s">
        <v>460</v>
      </c>
      <c r="L145" s="104"/>
      <c r="M145" s="105">
        <v>1000</v>
      </c>
      <c r="N145" s="105">
        <v>980</v>
      </c>
      <c r="O145" s="105">
        <v>950</v>
      </c>
      <c r="Q145" s="29">
        <v>1525</v>
      </c>
    </row>
    <row r="146" spans="2:17" ht="16.5" customHeight="1">
      <c r="B146" s="63">
        <v>124</v>
      </c>
      <c r="C146" s="63" t="s">
        <v>461</v>
      </c>
      <c r="D146" s="91" t="s">
        <v>462</v>
      </c>
      <c r="E146" s="101" t="s">
        <v>463</v>
      </c>
      <c r="F146" s="93"/>
      <c r="G146" s="102">
        <v>850</v>
      </c>
      <c r="H146" s="103"/>
      <c r="I146" s="103"/>
      <c r="J146" s="104"/>
      <c r="K146" s="27" t="s">
        <v>464</v>
      </c>
      <c r="L146" s="104"/>
      <c r="M146" s="105">
        <v>810</v>
      </c>
      <c r="N146" s="105">
        <v>790</v>
      </c>
      <c r="O146" s="105">
        <v>765</v>
      </c>
      <c r="Q146" s="29">
        <v>1235</v>
      </c>
    </row>
    <row r="147" spans="2:17" ht="16.5" customHeight="1">
      <c r="B147" s="63">
        <v>125</v>
      </c>
      <c r="C147" s="63" t="s">
        <v>465</v>
      </c>
      <c r="D147" s="91" t="s">
        <v>462</v>
      </c>
      <c r="E147" s="101" t="s">
        <v>466</v>
      </c>
      <c r="F147" s="93"/>
      <c r="G147" s="102">
        <v>1050</v>
      </c>
      <c r="H147" s="103"/>
      <c r="I147" s="103"/>
      <c r="J147" s="104"/>
      <c r="K147" s="27" t="s">
        <v>467</v>
      </c>
      <c r="L147" s="104"/>
      <c r="M147" s="105">
        <v>1000</v>
      </c>
      <c r="N147" s="105">
        <v>980</v>
      </c>
      <c r="O147" s="105">
        <v>950</v>
      </c>
      <c r="Q147" s="29">
        <v>1525</v>
      </c>
    </row>
    <row r="148" spans="2:17" ht="16.5" customHeight="1">
      <c r="B148" s="63">
        <v>126</v>
      </c>
      <c r="C148" s="63" t="s">
        <v>468</v>
      </c>
      <c r="D148" s="91" t="s">
        <v>462</v>
      </c>
      <c r="E148" s="101" t="s">
        <v>466</v>
      </c>
      <c r="F148" s="93"/>
      <c r="G148" s="102">
        <v>1250</v>
      </c>
      <c r="H148" s="103"/>
      <c r="I148" s="103"/>
      <c r="J148" s="104"/>
      <c r="K148" s="27" t="s">
        <v>469</v>
      </c>
      <c r="L148" s="104"/>
      <c r="M148" s="105">
        <v>1190</v>
      </c>
      <c r="N148" s="105">
        <v>1165</v>
      </c>
      <c r="O148" s="105">
        <v>1125</v>
      </c>
      <c r="Q148" s="29">
        <v>1815</v>
      </c>
    </row>
    <row r="149" spans="2:17" ht="16.5" customHeight="1">
      <c r="B149" s="63">
        <v>127</v>
      </c>
      <c r="C149" s="63" t="s">
        <v>470</v>
      </c>
      <c r="D149" s="91" t="s">
        <v>462</v>
      </c>
      <c r="E149" s="101" t="s">
        <v>466</v>
      </c>
      <c r="F149" s="93"/>
      <c r="G149" s="102">
        <v>1500</v>
      </c>
      <c r="H149" s="103"/>
      <c r="I149" s="103"/>
      <c r="J149" s="104"/>
      <c r="K149" s="27" t="s">
        <v>471</v>
      </c>
      <c r="L149" s="104"/>
      <c r="M149" s="105">
        <v>1425</v>
      </c>
      <c r="N149" s="105">
        <v>1395</v>
      </c>
      <c r="O149" s="105">
        <v>1350</v>
      </c>
      <c r="Q149" s="29">
        <v>2175</v>
      </c>
    </row>
    <row r="152" spans="2:17">
      <c r="M152" s="27" t="s">
        <v>472</v>
      </c>
    </row>
    <row r="155" spans="2:17">
      <c r="K155" s="27">
        <f>1050*1.2</f>
        <v>1260</v>
      </c>
    </row>
    <row r="162" spans="5:5">
      <c r="E162" s="2">
        <f>2700*1.2</f>
        <v>3240</v>
      </c>
    </row>
  </sheetData>
  <phoneticPr fontId="32" type="noConversion"/>
  <pageMargins left="0" right="0" top="0.75" bottom="0.75" header="0.3" footer="0.3"/>
  <pageSetup paperSize="9" scale="90" orientation="portrait" r:id="rId1"/>
  <headerFooter>
    <oddFooter>&amp;RPage&amp;P/3</oddFooter>
  </headerFooter>
  <rowBreaks count="2" manualBreakCount="2">
    <brk id="49" min="1" max="10" man="1"/>
    <brk id="99" min="1" max="10" man="1"/>
  </rowBreaks>
  <colBreaks count="1" manualBreakCount="1">
    <brk id="7" max="147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35E03-C1F2-457B-9550-66E3C95C89EE}">
  <sheetPr>
    <tabColor theme="1"/>
  </sheetPr>
  <dimension ref="A1:T55"/>
  <sheetViews>
    <sheetView tabSelected="1" view="pageBreakPreview" topLeftCell="A28" zoomScaleNormal="100" zoomScaleSheetLayoutView="100" workbookViewId="0">
      <selection activeCell="B16" sqref="B16:D16"/>
    </sheetView>
  </sheetViews>
  <sheetFormatPr baseColWidth="10" defaultColWidth="8.88671875" defaultRowHeight="13.8"/>
  <cols>
    <col min="1" max="1" width="2" style="271" customWidth="1"/>
    <col min="2" max="2" width="5.5546875" style="271" customWidth="1"/>
    <col min="3" max="3" width="7.5546875" style="315" customWidth="1"/>
    <col min="4" max="4" width="28.33203125" style="271" customWidth="1"/>
    <col min="5" max="5" width="41.77734375" style="308" customWidth="1"/>
    <col min="6" max="6" width="8.21875" style="298" hidden="1" customWidth="1"/>
    <col min="7" max="7" width="6.77734375" style="309" customWidth="1"/>
    <col min="8" max="8" width="11.77734375" style="271" hidden="1" customWidth="1"/>
    <col min="9" max="9" width="10" style="271" hidden="1" customWidth="1"/>
    <col min="10" max="10" width="3.6640625" style="272" hidden="1" customWidth="1"/>
    <col min="11" max="11" width="32.44140625" style="273" hidden="1" customWidth="1"/>
    <col min="12" max="12" width="3.77734375" style="272" hidden="1" customWidth="1"/>
    <col min="13" max="14" width="6.21875" style="273" customWidth="1"/>
    <col min="15" max="15" width="6.21875" style="271" customWidth="1"/>
    <col min="16" max="16" width="6.21875" style="274" hidden="1" customWidth="1"/>
    <col min="17" max="17" width="6.77734375" style="275" customWidth="1"/>
    <col min="18" max="18" width="3.5546875" style="274" customWidth="1"/>
    <col min="19" max="16384" width="8.88671875" style="271"/>
  </cols>
  <sheetData>
    <row r="1" spans="1:20" s="278" customFormat="1" ht="16.5" customHeight="1">
      <c r="B1" s="343" t="s">
        <v>165</v>
      </c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279"/>
      <c r="S1" s="271"/>
    </row>
    <row r="2" spans="1:20" s="278" customFormat="1" ht="16.5" customHeight="1">
      <c r="B2" s="343" t="s">
        <v>166</v>
      </c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279"/>
      <c r="S2" s="271"/>
    </row>
    <row r="3" spans="1:20" s="278" customFormat="1" ht="16.5" customHeight="1">
      <c r="B3" s="344" t="s">
        <v>167</v>
      </c>
      <c r="C3" s="344"/>
      <c r="D3" s="344"/>
      <c r="E3" s="336" t="s">
        <v>168</v>
      </c>
      <c r="F3" s="276"/>
      <c r="G3" s="345">
        <v>0</v>
      </c>
      <c r="H3" s="345"/>
      <c r="I3" s="345"/>
      <c r="J3" s="345"/>
      <c r="K3" s="345"/>
      <c r="L3" s="345"/>
      <c r="M3" s="345"/>
      <c r="N3" s="345"/>
      <c r="O3" s="345"/>
      <c r="P3" s="345"/>
      <c r="Q3" s="345"/>
      <c r="R3" s="279"/>
      <c r="S3" s="271"/>
    </row>
    <row r="4" spans="1:20" s="278" customFormat="1" ht="16.5" customHeight="1">
      <c r="B4" s="344" t="s">
        <v>169</v>
      </c>
      <c r="C4" s="344"/>
      <c r="D4" s="344"/>
      <c r="E4" s="336" t="s">
        <v>170</v>
      </c>
      <c r="F4" s="276"/>
      <c r="G4" s="346">
        <v>0</v>
      </c>
      <c r="H4" s="346"/>
      <c r="I4" s="346"/>
      <c r="J4" s="346"/>
      <c r="K4" s="346"/>
      <c r="L4" s="346"/>
      <c r="M4" s="346"/>
      <c r="N4" s="346"/>
      <c r="O4" s="346"/>
      <c r="P4" s="346"/>
      <c r="Q4" s="346"/>
      <c r="R4" s="279"/>
      <c r="S4" s="271"/>
    </row>
    <row r="5" spans="1:20" s="280" customFormat="1" ht="19.8" customHeight="1">
      <c r="B5" s="342" t="s">
        <v>1571</v>
      </c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281"/>
    </row>
    <row r="6" spans="1:20" s="289" customFormat="1" ht="16.5" customHeight="1">
      <c r="B6" s="282" t="s">
        <v>0</v>
      </c>
      <c r="C6" s="310" t="s">
        <v>3</v>
      </c>
      <c r="D6" s="282" t="s">
        <v>1</v>
      </c>
      <c r="E6" s="282" t="s">
        <v>2</v>
      </c>
      <c r="F6" s="283" t="s">
        <v>4</v>
      </c>
      <c r="G6" s="284" t="s">
        <v>5</v>
      </c>
      <c r="H6" s="282" t="s">
        <v>172</v>
      </c>
      <c r="I6" s="282" t="s">
        <v>173</v>
      </c>
      <c r="J6" s="285"/>
      <c r="K6" s="286" t="s">
        <v>174</v>
      </c>
      <c r="L6" s="285"/>
      <c r="M6" s="337" t="s">
        <v>1794</v>
      </c>
      <c r="N6" s="337" t="s">
        <v>1795</v>
      </c>
      <c r="O6" s="338" t="s">
        <v>1796</v>
      </c>
      <c r="P6" s="339"/>
      <c r="Q6" s="340" t="s">
        <v>175</v>
      </c>
      <c r="R6" s="287"/>
      <c r="S6" s="288" t="s">
        <v>176</v>
      </c>
      <c r="T6" s="288" t="s">
        <v>177</v>
      </c>
    </row>
    <row r="7" spans="1:20" ht="16.5" customHeight="1">
      <c r="B7" s="290">
        <v>1</v>
      </c>
      <c r="C7" s="311" t="s">
        <v>8</v>
      </c>
      <c r="D7" s="291" t="s">
        <v>6</v>
      </c>
      <c r="E7" s="292" t="s">
        <v>7</v>
      </c>
      <c r="F7" s="290" t="s">
        <v>9</v>
      </c>
      <c r="G7" s="293">
        <v>500</v>
      </c>
      <c r="H7" s="294" t="s">
        <v>178</v>
      </c>
      <c r="I7" s="294" t="s">
        <v>179</v>
      </c>
      <c r="K7" s="273" t="s">
        <v>103</v>
      </c>
      <c r="M7" s="317">
        <v>475</v>
      </c>
      <c r="N7" s="317">
        <v>464.99999999999994</v>
      </c>
      <c r="O7" s="317">
        <v>450</v>
      </c>
      <c r="P7" s="318"/>
      <c r="Q7" s="319">
        <v>725</v>
      </c>
    </row>
    <row r="8" spans="1:20" ht="16.5" customHeight="1">
      <c r="B8" s="290">
        <v>2</v>
      </c>
      <c r="C8" s="311" t="s">
        <v>8</v>
      </c>
      <c r="D8" s="291" t="s">
        <v>11</v>
      </c>
      <c r="E8" s="292" t="s">
        <v>7</v>
      </c>
      <c r="F8" s="290" t="s">
        <v>12</v>
      </c>
      <c r="G8" s="293">
        <v>500</v>
      </c>
      <c r="H8" s="294" t="s">
        <v>178</v>
      </c>
      <c r="I8" s="294" t="s">
        <v>179</v>
      </c>
      <c r="K8" s="273" t="s">
        <v>103</v>
      </c>
      <c r="M8" s="317">
        <v>475</v>
      </c>
      <c r="N8" s="317">
        <v>464.99999999999994</v>
      </c>
      <c r="O8" s="317">
        <v>450</v>
      </c>
      <c r="P8" s="318"/>
      <c r="Q8" s="319">
        <v>725</v>
      </c>
    </row>
    <row r="9" spans="1:20" ht="16.5" customHeight="1">
      <c r="B9" s="290">
        <v>3</v>
      </c>
      <c r="C9" s="311" t="s">
        <v>8</v>
      </c>
      <c r="D9" s="291" t="s">
        <v>13</v>
      </c>
      <c r="E9" s="292" t="s">
        <v>7</v>
      </c>
      <c r="F9" s="290" t="s">
        <v>12</v>
      </c>
      <c r="G9" s="293">
        <v>500</v>
      </c>
      <c r="H9" s="294" t="s">
        <v>178</v>
      </c>
      <c r="I9" s="294" t="s">
        <v>179</v>
      </c>
      <c r="K9" s="273" t="s">
        <v>103</v>
      </c>
      <c r="M9" s="317">
        <v>475</v>
      </c>
      <c r="N9" s="317">
        <v>464.99999999999994</v>
      </c>
      <c r="O9" s="317">
        <v>450</v>
      </c>
      <c r="P9" s="318"/>
      <c r="Q9" s="319">
        <v>725</v>
      </c>
    </row>
    <row r="10" spans="1:20" ht="16.5" customHeight="1">
      <c r="B10" s="290">
        <v>4</v>
      </c>
      <c r="C10" s="311" t="s">
        <v>8</v>
      </c>
      <c r="D10" s="291" t="s">
        <v>10</v>
      </c>
      <c r="E10" s="292" t="s">
        <v>7</v>
      </c>
      <c r="F10" s="290" t="s">
        <v>12</v>
      </c>
      <c r="G10" s="293">
        <v>500</v>
      </c>
      <c r="H10" s="294" t="s">
        <v>178</v>
      </c>
      <c r="I10" s="294" t="s">
        <v>179</v>
      </c>
      <c r="K10" s="273" t="s">
        <v>103</v>
      </c>
      <c r="M10" s="317">
        <v>475</v>
      </c>
      <c r="N10" s="317">
        <v>464.99999999999994</v>
      </c>
      <c r="O10" s="317">
        <v>450</v>
      </c>
      <c r="P10" s="318"/>
      <c r="Q10" s="319">
        <v>725</v>
      </c>
    </row>
    <row r="11" spans="1:20" s="298" customFormat="1" ht="16.5" customHeight="1">
      <c r="A11" s="271"/>
      <c r="B11" s="290">
        <v>42</v>
      </c>
      <c r="C11" s="311" t="s">
        <v>271</v>
      </c>
      <c r="D11" s="291" t="s">
        <v>272</v>
      </c>
      <c r="E11" s="299" t="s">
        <v>269</v>
      </c>
      <c r="F11" s="290" t="s">
        <v>12</v>
      </c>
      <c r="G11" s="295">
        <v>2550</v>
      </c>
      <c r="H11" s="294" t="s">
        <v>183</v>
      </c>
      <c r="I11" s="294" t="s">
        <v>184</v>
      </c>
      <c r="J11" s="272"/>
      <c r="K11" s="297" t="s">
        <v>270</v>
      </c>
      <c r="L11" s="272"/>
      <c r="M11" s="317">
        <v>2425</v>
      </c>
      <c r="N11" s="317">
        <v>2375</v>
      </c>
      <c r="O11" s="317">
        <v>2295</v>
      </c>
      <c r="P11" s="318"/>
      <c r="Q11" s="319">
        <v>3700</v>
      </c>
      <c r="R11" s="274"/>
      <c r="S11" s="271"/>
    </row>
    <row r="12" spans="1:20" s="298" customFormat="1" ht="16.5" customHeight="1">
      <c r="A12" s="271"/>
      <c r="B12" s="290">
        <v>43</v>
      </c>
      <c r="C12" s="312" t="s">
        <v>273</v>
      </c>
      <c r="D12" s="291" t="s">
        <v>274</v>
      </c>
      <c r="E12" s="299" t="s">
        <v>275</v>
      </c>
      <c r="F12" s="290" t="s">
        <v>12</v>
      </c>
      <c r="G12" s="293">
        <v>5000</v>
      </c>
      <c r="H12" s="294" t="s">
        <v>183</v>
      </c>
      <c r="I12" s="294" t="s">
        <v>184</v>
      </c>
      <c r="J12" s="272"/>
      <c r="K12" s="273" t="s">
        <v>276</v>
      </c>
      <c r="L12" s="272"/>
      <c r="M12" s="317">
        <v>4750</v>
      </c>
      <c r="N12" s="317">
        <v>4650</v>
      </c>
      <c r="O12" s="317">
        <v>4500</v>
      </c>
      <c r="P12" s="318"/>
      <c r="Q12" s="319">
        <v>7250</v>
      </c>
      <c r="R12" s="274"/>
      <c r="S12" s="271"/>
    </row>
    <row r="13" spans="1:20" s="298" customFormat="1" ht="16.5" customHeight="1">
      <c r="A13" s="271"/>
      <c r="B13" s="290">
        <v>44</v>
      </c>
      <c r="C13" s="313" t="s">
        <v>277</v>
      </c>
      <c r="D13" s="291" t="s">
        <v>36</v>
      </c>
      <c r="E13" s="300" t="s">
        <v>19</v>
      </c>
      <c r="F13" s="290" t="s">
        <v>12</v>
      </c>
      <c r="G13" s="293">
        <v>10000</v>
      </c>
      <c r="H13" s="294" t="s">
        <v>178</v>
      </c>
      <c r="I13" s="294" t="s">
        <v>184</v>
      </c>
      <c r="J13" s="272"/>
      <c r="K13" s="273" t="s">
        <v>1566</v>
      </c>
      <c r="L13" s="272"/>
      <c r="M13" s="317">
        <v>9500</v>
      </c>
      <c r="N13" s="317">
        <v>9300</v>
      </c>
      <c r="O13" s="317">
        <v>9000</v>
      </c>
      <c r="P13" s="318"/>
      <c r="Q13" s="319">
        <v>14500</v>
      </c>
      <c r="R13" s="274"/>
      <c r="S13" s="271"/>
    </row>
    <row r="14" spans="1:20" s="278" customFormat="1" ht="16.5" customHeight="1">
      <c r="B14" s="343" t="s">
        <v>165</v>
      </c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43"/>
      <c r="Q14" s="343"/>
      <c r="R14" s="279"/>
      <c r="S14" s="271"/>
    </row>
    <row r="15" spans="1:20" s="278" customFormat="1" ht="16.5" customHeight="1">
      <c r="B15" s="343" t="s">
        <v>166</v>
      </c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3"/>
      <c r="O15" s="343"/>
      <c r="P15" s="343"/>
      <c r="Q15" s="343"/>
      <c r="R15" s="279"/>
      <c r="S15" s="271"/>
    </row>
    <row r="16" spans="1:20" s="278" customFormat="1" ht="16.5" customHeight="1">
      <c r="B16" s="344" t="s">
        <v>167</v>
      </c>
      <c r="C16" s="344"/>
      <c r="D16" s="344"/>
      <c r="E16" s="336" t="s">
        <v>168</v>
      </c>
      <c r="F16" s="276"/>
      <c r="G16" s="345">
        <v>0</v>
      </c>
      <c r="H16" s="345"/>
      <c r="I16" s="345"/>
      <c r="J16" s="345"/>
      <c r="K16" s="345"/>
      <c r="L16" s="345"/>
      <c r="M16" s="345"/>
      <c r="N16" s="345"/>
      <c r="O16" s="345"/>
      <c r="P16" s="345"/>
      <c r="Q16" s="345"/>
      <c r="R16" s="279"/>
      <c r="S16" s="271"/>
    </row>
    <row r="17" spans="2:19" s="278" customFormat="1" ht="16.5" customHeight="1">
      <c r="B17" s="348" t="s">
        <v>169</v>
      </c>
      <c r="C17" s="348"/>
      <c r="D17" s="348"/>
      <c r="E17" s="336" t="s">
        <v>170</v>
      </c>
      <c r="F17" s="276"/>
      <c r="G17" s="347">
        <v>0</v>
      </c>
      <c r="H17" s="347"/>
      <c r="I17" s="347"/>
      <c r="J17" s="347"/>
      <c r="K17" s="347"/>
      <c r="L17" s="347"/>
      <c r="M17" s="347"/>
      <c r="N17" s="347"/>
      <c r="O17" s="347"/>
      <c r="P17" s="347"/>
      <c r="Q17" s="347"/>
      <c r="R17" s="279"/>
      <c r="S17" s="271"/>
    </row>
    <row r="18" spans="2:19" s="280" customFormat="1" ht="16.5" customHeight="1">
      <c r="B18" s="342" t="s">
        <v>1571</v>
      </c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2"/>
      <c r="Q18" s="342"/>
      <c r="R18" s="281"/>
      <c r="S18" s="271"/>
    </row>
    <row r="19" spans="2:19" s="289" customFormat="1" ht="16.5" customHeight="1">
      <c r="B19" s="282" t="s">
        <v>0</v>
      </c>
      <c r="C19" s="310" t="s">
        <v>3</v>
      </c>
      <c r="D19" s="282" t="s">
        <v>1</v>
      </c>
      <c r="E19" s="282" t="s">
        <v>2</v>
      </c>
      <c r="F19" s="283" t="s">
        <v>4</v>
      </c>
      <c r="G19" s="284" t="s">
        <v>5</v>
      </c>
      <c r="H19" s="282" t="s">
        <v>172</v>
      </c>
      <c r="I19" s="282" t="s">
        <v>173</v>
      </c>
      <c r="J19" s="285"/>
      <c r="K19" s="273">
        <v>0</v>
      </c>
      <c r="L19" s="285"/>
      <c r="M19" s="337" t="s">
        <v>1794</v>
      </c>
      <c r="N19" s="337" t="s">
        <v>1795</v>
      </c>
      <c r="O19" s="338" t="s">
        <v>1796</v>
      </c>
      <c r="P19" s="339"/>
      <c r="Q19" s="340" t="s">
        <v>175</v>
      </c>
      <c r="R19" s="287"/>
      <c r="S19" s="271"/>
    </row>
    <row r="20" spans="2:19" s="296" customFormat="1" ht="16.5" customHeight="1">
      <c r="B20" s="290">
        <v>45</v>
      </c>
      <c r="C20" s="311" t="s">
        <v>38</v>
      </c>
      <c r="D20" s="291" t="s">
        <v>278</v>
      </c>
      <c r="E20" s="292" t="s">
        <v>1793</v>
      </c>
      <c r="F20" s="290" t="s">
        <v>21</v>
      </c>
      <c r="G20" s="295">
        <v>700</v>
      </c>
      <c r="H20" s="294" t="s">
        <v>178</v>
      </c>
      <c r="I20" s="294" t="s">
        <v>184</v>
      </c>
      <c r="J20" s="272"/>
      <c r="K20" s="273" t="s">
        <v>112</v>
      </c>
      <c r="L20" s="272"/>
      <c r="M20" s="317">
        <v>665</v>
      </c>
      <c r="N20" s="317">
        <v>650</v>
      </c>
      <c r="O20" s="317">
        <v>630</v>
      </c>
      <c r="P20" s="318"/>
      <c r="Q20" s="319">
        <v>1015</v>
      </c>
      <c r="R20" s="274"/>
      <c r="S20" s="271"/>
    </row>
    <row r="21" spans="2:19" s="296" customFormat="1" ht="16.5" customHeight="1">
      <c r="B21" s="290">
        <v>46</v>
      </c>
      <c r="C21" s="311" t="s">
        <v>39</v>
      </c>
      <c r="D21" s="291" t="s">
        <v>280</v>
      </c>
      <c r="E21" s="292" t="s">
        <v>281</v>
      </c>
      <c r="F21" s="290" t="s">
        <v>21</v>
      </c>
      <c r="G21" s="295">
        <v>850</v>
      </c>
      <c r="H21" s="294" t="s">
        <v>188</v>
      </c>
      <c r="I21" s="294" t="s">
        <v>184</v>
      </c>
      <c r="J21" s="272"/>
      <c r="K21" s="273" t="s">
        <v>113</v>
      </c>
      <c r="L21" s="272"/>
      <c r="M21" s="317">
        <v>810</v>
      </c>
      <c r="N21" s="317">
        <v>790</v>
      </c>
      <c r="O21" s="317">
        <v>765</v>
      </c>
      <c r="P21" s="318"/>
      <c r="Q21" s="319">
        <v>1235</v>
      </c>
      <c r="R21" s="274"/>
      <c r="S21" s="271"/>
    </row>
    <row r="22" spans="2:19" s="296" customFormat="1" ht="16.5" customHeight="1">
      <c r="B22" s="290">
        <v>47</v>
      </c>
      <c r="C22" s="311" t="s">
        <v>282</v>
      </c>
      <c r="D22" s="291" t="s">
        <v>283</v>
      </c>
      <c r="E22" s="292" t="s">
        <v>284</v>
      </c>
      <c r="F22" s="290" t="s">
        <v>21</v>
      </c>
      <c r="G22" s="295">
        <v>1050</v>
      </c>
      <c r="H22" s="294" t="s">
        <v>188</v>
      </c>
      <c r="I22" s="294" t="s">
        <v>184</v>
      </c>
      <c r="J22" s="272"/>
      <c r="K22" s="273" t="s">
        <v>285</v>
      </c>
      <c r="L22" s="272"/>
      <c r="M22" s="317">
        <v>1000</v>
      </c>
      <c r="N22" s="317">
        <v>980</v>
      </c>
      <c r="O22" s="317">
        <v>950</v>
      </c>
      <c r="P22" s="318"/>
      <c r="Q22" s="319">
        <v>1525</v>
      </c>
      <c r="R22" s="274"/>
      <c r="S22" s="271"/>
    </row>
    <row r="23" spans="2:19" s="296" customFormat="1" ht="16.5" customHeight="1">
      <c r="B23" s="290">
        <v>48</v>
      </c>
      <c r="C23" s="311" t="s">
        <v>282</v>
      </c>
      <c r="D23" s="291" t="s">
        <v>286</v>
      </c>
      <c r="E23" s="292" t="s">
        <v>287</v>
      </c>
      <c r="F23" s="290" t="s">
        <v>12</v>
      </c>
      <c r="G23" s="295">
        <v>1050</v>
      </c>
      <c r="H23" s="294" t="s">
        <v>188</v>
      </c>
      <c r="I23" s="294" t="s">
        <v>179</v>
      </c>
      <c r="J23" s="272"/>
      <c r="K23" s="273" t="s">
        <v>285</v>
      </c>
      <c r="L23" s="272"/>
      <c r="M23" s="317">
        <v>1000</v>
      </c>
      <c r="N23" s="317">
        <v>980</v>
      </c>
      <c r="O23" s="317">
        <v>950</v>
      </c>
      <c r="P23" s="318"/>
      <c r="Q23" s="319">
        <v>1525</v>
      </c>
      <c r="R23" s="274"/>
      <c r="S23" s="271"/>
    </row>
    <row r="24" spans="2:19" s="296" customFormat="1" ht="16.5" customHeight="1">
      <c r="B24" s="290">
        <v>49</v>
      </c>
      <c r="C24" s="311" t="s">
        <v>288</v>
      </c>
      <c r="D24" s="291" t="s">
        <v>289</v>
      </c>
      <c r="E24" s="292" t="s">
        <v>290</v>
      </c>
      <c r="F24" s="290" t="s">
        <v>21</v>
      </c>
      <c r="G24" s="295">
        <v>1250</v>
      </c>
      <c r="H24" s="294" t="s">
        <v>188</v>
      </c>
      <c r="I24" s="294" t="s">
        <v>179</v>
      </c>
      <c r="J24" s="272"/>
      <c r="K24" s="273" t="s">
        <v>291</v>
      </c>
      <c r="L24" s="272"/>
      <c r="M24" s="317">
        <v>1190</v>
      </c>
      <c r="N24" s="317">
        <v>1165</v>
      </c>
      <c r="O24" s="317">
        <v>1125</v>
      </c>
      <c r="P24" s="318"/>
      <c r="Q24" s="319">
        <v>1815</v>
      </c>
      <c r="R24" s="274"/>
      <c r="S24" s="271"/>
    </row>
    <row r="25" spans="2:19" s="296" customFormat="1" ht="16.5" customHeight="1">
      <c r="B25" s="290">
        <v>88</v>
      </c>
      <c r="C25" s="311" t="s">
        <v>393</v>
      </c>
      <c r="D25" s="291" t="s">
        <v>394</v>
      </c>
      <c r="E25" s="292" t="s">
        <v>48</v>
      </c>
      <c r="F25" s="290" t="s">
        <v>50</v>
      </c>
      <c r="G25" s="293">
        <v>700</v>
      </c>
      <c r="H25" s="294" t="s">
        <v>178</v>
      </c>
      <c r="I25" s="294" t="s">
        <v>184</v>
      </c>
      <c r="J25" s="341"/>
      <c r="K25" s="317" t="s">
        <v>395</v>
      </c>
      <c r="L25" s="341"/>
      <c r="M25" s="317">
        <v>665</v>
      </c>
      <c r="N25" s="317">
        <v>650</v>
      </c>
      <c r="O25" s="317">
        <v>630</v>
      </c>
      <c r="P25" s="318"/>
      <c r="Q25" s="319">
        <v>1015</v>
      </c>
      <c r="R25" s="274"/>
      <c r="S25" s="271"/>
    </row>
    <row r="26" spans="2:19" s="296" customFormat="1" ht="16.5" customHeight="1">
      <c r="B26" s="290">
        <v>89</v>
      </c>
      <c r="C26" s="311" t="s">
        <v>396</v>
      </c>
      <c r="D26" s="291" t="s">
        <v>397</v>
      </c>
      <c r="E26" s="292" t="s">
        <v>48</v>
      </c>
      <c r="F26" s="290" t="s">
        <v>50</v>
      </c>
      <c r="G26" s="295">
        <v>2050</v>
      </c>
      <c r="H26" s="294" t="s">
        <v>183</v>
      </c>
      <c r="I26" s="294" t="s">
        <v>179</v>
      </c>
      <c r="J26" s="341"/>
      <c r="K26" s="317" t="s">
        <v>398</v>
      </c>
      <c r="L26" s="341"/>
      <c r="M26" s="317">
        <v>1950</v>
      </c>
      <c r="N26" s="317">
        <v>1910</v>
      </c>
      <c r="O26" s="317">
        <v>1845</v>
      </c>
      <c r="P26" s="318"/>
      <c r="Q26" s="319">
        <v>2975</v>
      </c>
      <c r="R26" s="274"/>
      <c r="S26" s="271"/>
    </row>
    <row r="27" spans="2:19" s="278" customFormat="1" ht="16.5" customHeight="1">
      <c r="B27" s="343" t="s">
        <v>165</v>
      </c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279"/>
      <c r="S27" s="271"/>
    </row>
    <row r="28" spans="2:19" s="278" customFormat="1" ht="16.5" customHeight="1">
      <c r="B28" s="343" t="s">
        <v>166</v>
      </c>
      <c r="C28" s="343"/>
      <c r="D28" s="343"/>
      <c r="E28" s="343"/>
      <c r="F28" s="343"/>
      <c r="G28" s="343"/>
      <c r="H28" s="343"/>
      <c r="I28" s="343"/>
      <c r="J28" s="343"/>
      <c r="K28" s="343"/>
      <c r="L28" s="343"/>
      <c r="M28" s="343"/>
      <c r="N28" s="343"/>
      <c r="O28" s="343"/>
      <c r="P28" s="343"/>
      <c r="Q28" s="343"/>
      <c r="R28" s="279"/>
      <c r="S28" s="271"/>
    </row>
    <row r="29" spans="2:19" s="278" customFormat="1" ht="16.5" customHeight="1">
      <c r="B29" s="344" t="s">
        <v>167</v>
      </c>
      <c r="C29" s="344"/>
      <c r="D29" s="344"/>
      <c r="E29" s="336" t="s">
        <v>168</v>
      </c>
      <c r="F29" s="276"/>
      <c r="G29" s="345">
        <v>0</v>
      </c>
      <c r="H29" s="345"/>
      <c r="I29" s="345"/>
      <c r="J29" s="345"/>
      <c r="K29" s="345"/>
      <c r="L29" s="345"/>
      <c r="M29" s="345"/>
      <c r="N29" s="345"/>
      <c r="O29" s="345"/>
      <c r="P29" s="345"/>
      <c r="Q29" s="345"/>
      <c r="R29" s="279"/>
      <c r="S29" s="271"/>
    </row>
    <row r="30" spans="2:19" s="278" customFormat="1" ht="16.5" customHeight="1">
      <c r="B30" s="348" t="s">
        <v>169</v>
      </c>
      <c r="C30" s="348"/>
      <c r="D30" s="348"/>
      <c r="E30" s="336" t="s">
        <v>170</v>
      </c>
      <c r="F30" s="276"/>
      <c r="G30" s="347">
        <v>0</v>
      </c>
      <c r="H30" s="347"/>
      <c r="I30" s="347"/>
      <c r="J30" s="347"/>
      <c r="K30" s="347"/>
      <c r="L30" s="347"/>
      <c r="M30" s="347"/>
      <c r="N30" s="347"/>
      <c r="O30" s="347"/>
      <c r="P30" s="347"/>
      <c r="Q30" s="347"/>
      <c r="R30" s="279"/>
      <c r="S30" s="271"/>
    </row>
    <row r="31" spans="2:19" s="280" customFormat="1" ht="19.8" customHeight="1">
      <c r="B31" s="342" t="s">
        <v>1571</v>
      </c>
      <c r="C31" s="342"/>
      <c r="D31" s="342"/>
      <c r="E31" s="342"/>
      <c r="F31" s="342"/>
      <c r="G31" s="342"/>
      <c r="H31" s="342"/>
      <c r="I31" s="342"/>
      <c r="J31" s="342"/>
      <c r="K31" s="342"/>
      <c r="L31" s="342"/>
      <c r="M31" s="342"/>
      <c r="N31" s="342"/>
      <c r="O31" s="342"/>
      <c r="P31" s="342"/>
      <c r="Q31" s="342"/>
      <c r="R31" s="281"/>
      <c r="S31" s="271"/>
    </row>
    <row r="32" spans="2:19" s="289" customFormat="1" ht="16.5" customHeight="1">
      <c r="B32" s="282" t="s">
        <v>0</v>
      </c>
      <c r="C32" s="310" t="s">
        <v>3</v>
      </c>
      <c r="D32" s="282" t="s">
        <v>1</v>
      </c>
      <c r="E32" s="282" t="s">
        <v>2</v>
      </c>
      <c r="F32" s="283" t="s">
        <v>4</v>
      </c>
      <c r="G32" s="284" t="s">
        <v>5</v>
      </c>
      <c r="H32" s="282" t="s">
        <v>172</v>
      </c>
      <c r="I32" s="282" t="s">
        <v>173</v>
      </c>
      <c r="J32" s="285"/>
      <c r="K32" s="273">
        <v>0</v>
      </c>
      <c r="L32" s="285"/>
      <c r="M32" s="337" t="s">
        <v>1794</v>
      </c>
      <c r="N32" s="337" t="s">
        <v>1795</v>
      </c>
      <c r="O32" s="338" t="s">
        <v>1796</v>
      </c>
      <c r="P32" s="339"/>
      <c r="Q32" s="340" t="s">
        <v>175</v>
      </c>
      <c r="R32" s="287"/>
      <c r="S32" s="271"/>
    </row>
    <row r="33" spans="2:18" ht="16.5" customHeight="1">
      <c r="B33" s="290">
        <v>90</v>
      </c>
      <c r="C33" s="311" t="s">
        <v>399</v>
      </c>
      <c r="D33" s="304" t="s">
        <v>400</v>
      </c>
      <c r="E33" s="305" t="s">
        <v>401</v>
      </c>
      <c r="F33" s="306" t="s">
        <v>50</v>
      </c>
      <c r="G33" s="307">
        <v>2700</v>
      </c>
      <c r="H33" s="301" t="s">
        <v>188</v>
      </c>
      <c r="I33" s="301" t="s">
        <v>184</v>
      </c>
      <c r="K33" s="273" t="s">
        <v>402</v>
      </c>
      <c r="M33" s="317">
        <v>2565</v>
      </c>
      <c r="N33" s="317">
        <v>2515</v>
      </c>
      <c r="O33" s="317">
        <v>2430</v>
      </c>
      <c r="P33" s="318"/>
      <c r="Q33" s="319">
        <v>3915</v>
      </c>
    </row>
    <row r="34" spans="2:18" ht="16.5" customHeight="1">
      <c r="B34" s="290">
        <v>91</v>
      </c>
      <c r="C34" s="311" t="s">
        <v>403</v>
      </c>
      <c r="D34" s="304" t="s">
        <v>404</v>
      </c>
      <c r="E34" s="305" t="s">
        <v>405</v>
      </c>
      <c r="F34" s="306" t="s">
        <v>50</v>
      </c>
      <c r="G34" s="307">
        <v>1500</v>
      </c>
      <c r="H34" s="301"/>
      <c r="I34" s="301"/>
      <c r="K34" s="273" t="s">
        <v>406</v>
      </c>
      <c r="M34" s="317">
        <v>1425</v>
      </c>
      <c r="N34" s="317">
        <v>1395</v>
      </c>
      <c r="O34" s="317">
        <v>1350</v>
      </c>
      <c r="P34" s="318"/>
      <c r="Q34" s="319">
        <v>2175</v>
      </c>
    </row>
    <row r="35" spans="2:18" ht="16.5" customHeight="1">
      <c r="B35" s="290">
        <v>92</v>
      </c>
      <c r="C35" s="314" t="s">
        <v>1789</v>
      </c>
      <c r="D35" s="320" t="s">
        <v>1540</v>
      </c>
      <c r="E35" s="321" t="s">
        <v>1541</v>
      </c>
      <c r="F35" s="303" t="s">
        <v>50</v>
      </c>
      <c r="G35" s="322">
        <v>3500</v>
      </c>
      <c r="H35" s="323"/>
      <c r="I35" s="323"/>
      <c r="J35" s="297"/>
      <c r="K35" s="297" t="s">
        <v>1542</v>
      </c>
      <c r="L35" s="297"/>
      <c r="M35" s="324">
        <f>G35*0.95</f>
        <v>3325</v>
      </c>
      <c r="N35" s="324">
        <f>+G35*0.93</f>
        <v>3255</v>
      </c>
      <c r="O35" s="324">
        <f>G35*0.9</f>
        <v>3150</v>
      </c>
      <c r="P35" s="325"/>
      <c r="Q35" s="326">
        <f>+G35*1.45</f>
        <v>5075</v>
      </c>
      <c r="R35" s="302"/>
    </row>
    <row r="36" spans="2:18" ht="16.5" customHeight="1">
      <c r="B36" s="290">
        <v>93</v>
      </c>
      <c r="C36" s="314" t="s">
        <v>1543</v>
      </c>
      <c r="D36" s="320" t="s">
        <v>1544</v>
      </c>
      <c r="E36" s="321" t="s">
        <v>1545</v>
      </c>
      <c r="F36" s="303" t="s">
        <v>50</v>
      </c>
      <c r="G36" s="322">
        <v>2050</v>
      </c>
      <c r="H36" s="323"/>
      <c r="I36" s="323"/>
      <c r="J36" s="297"/>
      <c r="K36" s="297" t="s">
        <v>1546</v>
      </c>
      <c r="L36" s="297"/>
      <c r="M36" s="324">
        <f t="shared" ref="M36" si="0">G36*0.95</f>
        <v>1947.5</v>
      </c>
      <c r="N36" s="324">
        <f t="shared" ref="N36" si="1">+G36*0.93</f>
        <v>1906.5</v>
      </c>
      <c r="O36" s="324">
        <f t="shared" ref="O36" si="2">G36*0.9</f>
        <v>1845</v>
      </c>
      <c r="P36" s="325"/>
      <c r="Q36" s="326">
        <f t="shared" ref="Q36" si="3">+G36*1.45</f>
        <v>2972.5</v>
      </c>
      <c r="R36" s="302"/>
    </row>
    <row r="37" spans="2:18" ht="16.5" customHeight="1">
      <c r="B37" s="327">
        <v>129</v>
      </c>
      <c r="C37" s="328" t="s">
        <v>453</v>
      </c>
      <c r="D37" s="330" t="s">
        <v>454</v>
      </c>
      <c r="E37" s="331" t="s">
        <v>455</v>
      </c>
      <c r="F37" s="327"/>
      <c r="G37" s="332">
        <v>600</v>
      </c>
      <c r="H37" s="333"/>
      <c r="I37" s="333"/>
      <c r="J37" s="277"/>
      <c r="K37" s="277" t="s">
        <v>456</v>
      </c>
      <c r="L37" s="277"/>
      <c r="M37" s="334">
        <v>590</v>
      </c>
      <c r="N37" s="334">
        <v>580</v>
      </c>
      <c r="O37" s="334">
        <v>570</v>
      </c>
      <c r="P37" s="329"/>
      <c r="Q37" s="335">
        <v>870</v>
      </c>
    </row>
    <row r="38" spans="2:18" s="274" customFormat="1" ht="16.5" customHeight="1">
      <c r="B38" s="327">
        <v>130</v>
      </c>
      <c r="C38" s="328" t="s">
        <v>457</v>
      </c>
      <c r="D38" s="330" t="s">
        <v>458</v>
      </c>
      <c r="E38" s="331" t="s">
        <v>459</v>
      </c>
      <c r="F38" s="327"/>
      <c r="G38" s="332">
        <v>1050</v>
      </c>
      <c r="H38" s="333"/>
      <c r="I38" s="333"/>
      <c r="J38" s="277"/>
      <c r="K38" s="277" t="s">
        <v>460</v>
      </c>
      <c r="L38" s="277"/>
      <c r="M38" s="334">
        <v>1000</v>
      </c>
      <c r="N38" s="334">
        <v>980</v>
      </c>
      <c r="O38" s="334">
        <v>950</v>
      </c>
      <c r="P38" s="329"/>
      <c r="Q38" s="335">
        <v>1525</v>
      </c>
    </row>
    <row r="39" spans="2:18" s="274" customFormat="1" ht="16.5" customHeight="1">
      <c r="B39" s="327">
        <v>131</v>
      </c>
      <c r="C39" s="328" t="s">
        <v>461</v>
      </c>
      <c r="D39" s="330" t="s">
        <v>462</v>
      </c>
      <c r="E39" s="331" t="s">
        <v>463</v>
      </c>
      <c r="F39" s="327"/>
      <c r="G39" s="332">
        <v>850</v>
      </c>
      <c r="H39" s="333"/>
      <c r="I39" s="333"/>
      <c r="J39" s="277"/>
      <c r="K39" s="277" t="s">
        <v>464</v>
      </c>
      <c r="L39" s="277"/>
      <c r="M39" s="334">
        <v>810</v>
      </c>
      <c r="N39" s="334">
        <v>790</v>
      </c>
      <c r="O39" s="334">
        <v>765</v>
      </c>
      <c r="P39" s="329"/>
      <c r="Q39" s="335">
        <v>1235</v>
      </c>
    </row>
    <row r="40" spans="2:18" s="274" customFormat="1" ht="16.5" customHeight="1">
      <c r="B40" s="327">
        <v>132</v>
      </c>
      <c r="C40" s="328" t="s">
        <v>465</v>
      </c>
      <c r="D40" s="330" t="s">
        <v>462</v>
      </c>
      <c r="E40" s="331" t="s">
        <v>466</v>
      </c>
      <c r="F40" s="327"/>
      <c r="G40" s="332">
        <v>1050</v>
      </c>
      <c r="H40" s="333"/>
      <c r="I40" s="333"/>
      <c r="J40" s="277"/>
      <c r="K40" s="277" t="s">
        <v>467</v>
      </c>
      <c r="L40" s="277"/>
      <c r="M40" s="334">
        <v>1000</v>
      </c>
      <c r="N40" s="334">
        <v>980</v>
      </c>
      <c r="O40" s="334">
        <v>950</v>
      </c>
      <c r="P40" s="329"/>
      <c r="Q40" s="335">
        <v>1525</v>
      </c>
    </row>
    <row r="41" spans="2:18" s="274" customFormat="1" ht="16.5" customHeight="1">
      <c r="B41" s="327">
        <v>133</v>
      </c>
      <c r="C41" s="328" t="s">
        <v>468</v>
      </c>
      <c r="D41" s="330" t="s">
        <v>462</v>
      </c>
      <c r="E41" s="331" t="s">
        <v>466</v>
      </c>
      <c r="F41" s="327"/>
      <c r="G41" s="332">
        <v>1250</v>
      </c>
      <c r="H41" s="333"/>
      <c r="I41" s="333"/>
      <c r="J41" s="277"/>
      <c r="K41" s="277" t="s">
        <v>469</v>
      </c>
      <c r="L41" s="277"/>
      <c r="M41" s="334">
        <v>1190</v>
      </c>
      <c r="N41" s="334">
        <v>1165</v>
      </c>
      <c r="O41" s="334">
        <v>1125</v>
      </c>
      <c r="P41" s="329"/>
      <c r="Q41" s="335">
        <v>1815</v>
      </c>
    </row>
    <row r="42" spans="2:18" s="274" customFormat="1" ht="16.5" customHeight="1">
      <c r="B42" s="327">
        <v>134</v>
      </c>
      <c r="C42" s="328" t="s">
        <v>470</v>
      </c>
      <c r="D42" s="330" t="s">
        <v>462</v>
      </c>
      <c r="E42" s="331" t="s">
        <v>466</v>
      </c>
      <c r="F42" s="327"/>
      <c r="G42" s="332">
        <v>1500</v>
      </c>
      <c r="H42" s="333"/>
      <c r="I42" s="333"/>
      <c r="J42" s="277"/>
      <c r="K42" s="277" t="s">
        <v>471</v>
      </c>
      <c r="L42" s="277"/>
      <c r="M42" s="334">
        <v>1425</v>
      </c>
      <c r="N42" s="334">
        <v>1395</v>
      </c>
      <c r="O42" s="334">
        <v>1350</v>
      </c>
      <c r="P42" s="329"/>
      <c r="Q42" s="335">
        <v>2175</v>
      </c>
    </row>
    <row r="45" spans="2:18" s="274" customFormat="1">
      <c r="B45" s="271"/>
      <c r="C45" s="315"/>
      <c r="D45" s="271"/>
      <c r="E45" s="308"/>
      <c r="F45" s="298"/>
      <c r="G45" s="309"/>
      <c r="H45" s="271"/>
      <c r="I45" s="271"/>
      <c r="J45" s="272"/>
      <c r="K45" s="273"/>
      <c r="L45" s="272"/>
      <c r="M45" s="273" t="s">
        <v>472</v>
      </c>
      <c r="N45" s="273"/>
      <c r="O45" s="271"/>
      <c r="Q45" s="275"/>
    </row>
    <row r="48" spans="2:18" s="274" customFormat="1">
      <c r="B48" s="271"/>
      <c r="C48" s="315"/>
      <c r="D48" s="271"/>
      <c r="E48" s="308"/>
      <c r="F48" s="298"/>
      <c r="G48" s="309"/>
      <c r="H48" s="271"/>
      <c r="I48" s="271"/>
      <c r="J48" s="272"/>
      <c r="K48" s="273">
        <f>1050*1.2</f>
        <v>1260</v>
      </c>
      <c r="L48" s="272"/>
      <c r="M48" s="273"/>
      <c r="N48" s="273"/>
      <c r="O48" s="271"/>
      <c r="Q48" s="275"/>
    </row>
    <row r="55" spans="3:18" s="298" customFormat="1">
      <c r="C55" s="316"/>
      <c r="E55" s="308"/>
      <c r="G55" s="309"/>
      <c r="H55" s="271"/>
      <c r="I55" s="271"/>
      <c r="J55" s="272"/>
      <c r="K55" s="273"/>
      <c r="L55" s="272"/>
      <c r="M55" s="273"/>
      <c r="N55" s="273"/>
      <c r="O55" s="271"/>
      <c r="P55" s="274"/>
      <c r="Q55" s="275"/>
      <c r="R55" s="274"/>
    </row>
  </sheetData>
  <autoFilter ref="B1:Q42" xr:uid="{22335E03-C1F2-457B-9550-66E3C95C89EE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21">
    <mergeCell ref="B31:Q31"/>
    <mergeCell ref="B18:Q18"/>
    <mergeCell ref="B14:Q14"/>
    <mergeCell ref="B15:Q15"/>
    <mergeCell ref="G16:Q16"/>
    <mergeCell ref="G17:Q17"/>
    <mergeCell ref="B16:D16"/>
    <mergeCell ref="B17:D17"/>
    <mergeCell ref="B30:D30"/>
    <mergeCell ref="G30:Q30"/>
    <mergeCell ref="B1:Q1"/>
    <mergeCell ref="B2:Q2"/>
    <mergeCell ref="B3:D3"/>
    <mergeCell ref="G3:Q3"/>
    <mergeCell ref="B4:D4"/>
    <mergeCell ref="G4:Q4"/>
    <mergeCell ref="B5:Q5"/>
    <mergeCell ref="B27:Q27"/>
    <mergeCell ref="B28:Q28"/>
    <mergeCell ref="B29:D29"/>
    <mergeCell ref="G29:Q29"/>
  </mergeCells>
  <pageMargins left="0" right="0" top="0.75" bottom="0.75" header="0.3" footer="0.3"/>
  <pageSetup paperSize="9" scale="85" orientation="portrait" r:id="rId1"/>
  <headerFooter>
    <oddFooter>&amp;RPage&amp;P/3</oddFooter>
  </headerFooter>
  <rowBreaks count="3" manualBreakCount="3">
    <brk id="13" min="1" max="16" man="1"/>
    <brk id="26" min="1" max="16" man="1"/>
    <brk id="42" min="1" max="8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18FF8-248C-49CE-BBD5-F86EBF638CDA}">
  <sheetPr>
    <tabColor theme="1"/>
    <outlinePr summaryBelow="0" summaryRight="0"/>
  </sheetPr>
  <dimension ref="A1:P384"/>
  <sheetViews>
    <sheetView zoomScaleNormal="100" workbookViewId="0">
      <pane xSplit="4" ySplit="2" topLeftCell="L103" activePane="bottomRight" state="frozen"/>
      <selection pane="topRight" activeCell="E1" sqref="E1"/>
      <selection pane="bottomLeft" activeCell="A2" sqref="A2"/>
      <selection pane="bottomRight" activeCell="L109" sqref="L109"/>
    </sheetView>
  </sheetViews>
  <sheetFormatPr baseColWidth="10" defaultColWidth="14.44140625" defaultRowHeight="15.75" customHeight="1"/>
  <cols>
    <col min="1" max="1" width="12.77734375" style="123" customWidth="1"/>
    <col min="2" max="2" width="12.5546875" style="110" customWidth="1"/>
    <col min="3" max="4" width="21.5546875" style="110" customWidth="1"/>
    <col min="5" max="5" width="23.21875" style="234" customWidth="1"/>
    <col min="6" max="6" width="25" style="110" customWidth="1"/>
    <col min="7" max="7" width="20" style="110" customWidth="1"/>
    <col min="8" max="8" width="15.5546875" style="110" customWidth="1"/>
    <col min="9" max="9" width="23.21875" style="110" customWidth="1"/>
    <col min="10" max="12" width="21.5546875" style="110" customWidth="1"/>
    <col min="13" max="13" width="21.5546875" style="223" customWidth="1"/>
    <col min="14" max="20" width="21.5546875" style="110" customWidth="1"/>
    <col min="21" max="16384" width="14.44140625" style="110"/>
  </cols>
  <sheetData>
    <row r="1" spans="1:13" s="182" customFormat="1" ht="15.75" customHeight="1">
      <c r="A1" s="180" t="s">
        <v>1486</v>
      </c>
      <c r="B1" s="181">
        <v>45357</v>
      </c>
      <c r="E1" s="230"/>
      <c r="M1" s="219"/>
    </row>
    <row r="2" spans="1:13" ht="21.6" customHeight="1">
      <c r="A2" s="107" t="s">
        <v>473</v>
      </c>
      <c r="B2" s="108" t="s">
        <v>474</v>
      </c>
      <c r="C2" s="108" t="s">
        <v>475</v>
      </c>
      <c r="D2" s="108" t="s">
        <v>476</v>
      </c>
      <c r="E2" s="231"/>
      <c r="F2" s="108" t="s">
        <v>477</v>
      </c>
      <c r="G2" s="108" t="s">
        <v>478</v>
      </c>
      <c r="H2" s="108" t="s">
        <v>479</v>
      </c>
      <c r="I2" s="108" t="s">
        <v>480</v>
      </c>
      <c r="J2" s="108" t="s">
        <v>481</v>
      </c>
      <c r="K2" s="108" t="s">
        <v>482</v>
      </c>
      <c r="L2" s="109" t="s">
        <v>1463</v>
      </c>
      <c r="M2" s="220" t="s">
        <v>483</v>
      </c>
    </row>
    <row r="3" spans="1:13" ht="15" customHeight="1">
      <c r="A3" s="111">
        <v>44399</v>
      </c>
      <c r="B3" s="112" t="s">
        <v>484</v>
      </c>
      <c r="C3" s="112" t="s">
        <v>485</v>
      </c>
      <c r="D3" s="112" t="s">
        <v>486</v>
      </c>
      <c r="E3" s="232" t="str">
        <f>CONCATENATE(C3," ",D3)</f>
        <v>AHOUNOU KEKE MELENE</v>
      </c>
      <c r="F3" s="112" t="s">
        <v>487</v>
      </c>
      <c r="G3" s="112">
        <v>97977947</v>
      </c>
      <c r="H3" s="112"/>
      <c r="I3" s="112"/>
      <c r="J3" s="112" t="s">
        <v>488</v>
      </c>
      <c r="K3" s="112" t="s">
        <v>489</v>
      </c>
      <c r="L3" s="113" t="s">
        <v>1738</v>
      </c>
      <c r="M3" s="217"/>
    </row>
    <row r="4" spans="1:13" ht="15" customHeight="1">
      <c r="A4" s="111">
        <v>44400.607316724534</v>
      </c>
      <c r="B4" s="112" t="s">
        <v>490</v>
      </c>
      <c r="C4" s="112" t="s">
        <v>491</v>
      </c>
      <c r="D4" s="112" t="s">
        <v>492</v>
      </c>
      <c r="E4" s="232" t="s">
        <v>493</v>
      </c>
      <c r="F4" s="114"/>
      <c r="G4" s="112">
        <v>97909028</v>
      </c>
      <c r="H4" s="112">
        <v>99818283</v>
      </c>
      <c r="I4" s="112" t="s">
        <v>494</v>
      </c>
      <c r="J4" s="112" t="s">
        <v>495</v>
      </c>
      <c r="K4" s="112"/>
      <c r="L4" s="113" t="s">
        <v>1479</v>
      </c>
      <c r="M4" s="221"/>
    </row>
    <row r="5" spans="1:13" ht="15" customHeight="1">
      <c r="A5" s="111">
        <v>44400.625789479163</v>
      </c>
      <c r="B5" s="112" t="s">
        <v>496</v>
      </c>
      <c r="C5" s="112" t="s">
        <v>497</v>
      </c>
      <c r="D5" s="112" t="s">
        <v>498</v>
      </c>
      <c r="E5" s="232" t="s">
        <v>499</v>
      </c>
      <c r="F5" s="112" t="s">
        <v>487</v>
      </c>
      <c r="G5" s="112">
        <v>97260188</v>
      </c>
      <c r="H5" s="114"/>
      <c r="I5" s="114"/>
      <c r="J5" s="112" t="s">
        <v>500</v>
      </c>
      <c r="K5" s="112"/>
      <c r="L5" s="113" t="s">
        <v>1738</v>
      </c>
      <c r="M5" s="221"/>
    </row>
    <row r="6" spans="1:13" ht="15" customHeight="1">
      <c r="A6" s="111">
        <v>44400.627178483795</v>
      </c>
      <c r="B6" s="112" t="s">
        <v>501</v>
      </c>
      <c r="C6" s="112" t="s">
        <v>502</v>
      </c>
      <c r="D6" s="112" t="s">
        <v>503</v>
      </c>
      <c r="E6" s="232" t="s">
        <v>504</v>
      </c>
      <c r="F6" s="114"/>
      <c r="G6" s="112">
        <v>95405616</v>
      </c>
      <c r="H6" s="112">
        <v>97884114</v>
      </c>
      <c r="I6" s="114"/>
      <c r="J6" s="112" t="s">
        <v>488</v>
      </c>
      <c r="K6" s="112"/>
      <c r="L6" s="113" t="s">
        <v>1738</v>
      </c>
      <c r="M6" s="221"/>
    </row>
    <row r="7" spans="1:13" ht="15" customHeight="1">
      <c r="A7" s="111">
        <v>44400.629403217594</v>
      </c>
      <c r="B7" s="112" t="s">
        <v>505</v>
      </c>
      <c r="C7" s="112" t="s">
        <v>506</v>
      </c>
      <c r="D7" s="112" t="s">
        <v>507</v>
      </c>
      <c r="E7" s="232" t="s">
        <v>508</v>
      </c>
      <c r="F7" s="114"/>
      <c r="G7" s="112">
        <v>96580435</v>
      </c>
      <c r="H7" s="114"/>
      <c r="I7" s="112" t="s">
        <v>509</v>
      </c>
      <c r="J7" s="112" t="s">
        <v>488</v>
      </c>
      <c r="K7" s="112"/>
      <c r="L7" s="113" t="s">
        <v>1738</v>
      </c>
      <c r="M7" s="221"/>
    </row>
    <row r="8" spans="1:13" ht="15" customHeight="1">
      <c r="A8" s="111">
        <v>44400.630590763889</v>
      </c>
      <c r="B8" s="112" t="s">
        <v>510</v>
      </c>
      <c r="C8" s="112" t="s">
        <v>511</v>
      </c>
      <c r="D8" s="112" t="s">
        <v>512</v>
      </c>
      <c r="E8" s="232" t="s">
        <v>513</v>
      </c>
      <c r="F8" s="114"/>
      <c r="G8" s="112">
        <v>97430546</v>
      </c>
      <c r="H8" s="114"/>
      <c r="I8" s="114"/>
      <c r="J8" s="112" t="s">
        <v>514</v>
      </c>
      <c r="K8" s="112"/>
      <c r="L8" s="113" t="s">
        <v>1479</v>
      </c>
      <c r="M8" s="221"/>
    </row>
    <row r="9" spans="1:13" ht="15" customHeight="1">
      <c r="A9" s="111">
        <v>44400.631411875002</v>
      </c>
      <c r="B9" s="112" t="s">
        <v>515</v>
      </c>
      <c r="C9" s="112" t="s">
        <v>516</v>
      </c>
      <c r="D9" s="112" t="s">
        <v>517</v>
      </c>
      <c r="E9" s="232" t="s">
        <v>518</v>
      </c>
      <c r="F9" s="114"/>
      <c r="G9" s="112">
        <v>66353071</v>
      </c>
      <c r="H9" s="114"/>
      <c r="I9" s="114"/>
      <c r="J9" s="112" t="s">
        <v>519</v>
      </c>
      <c r="K9" s="112"/>
      <c r="L9" s="113" t="s">
        <v>1738</v>
      </c>
      <c r="M9" s="221"/>
    </row>
    <row r="10" spans="1:13" ht="15" customHeight="1">
      <c r="A10" s="111">
        <v>44400.632916354167</v>
      </c>
      <c r="B10" s="112" t="s">
        <v>520</v>
      </c>
      <c r="C10" s="112" t="s">
        <v>521</v>
      </c>
      <c r="D10" s="112" t="s">
        <v>522</v>
      </c>
      <c r="E10" s="232" t="s">
        <v>523</v>
      </c>
      <c r="F10" s="112" t="s">
        <v>524</v>
      </c>
      <c r="G10" s="112">
        <v>97978957</v>
      </c>
      <c r="H10" s="114"/>
      <c r="I10" s="114"/>
      <c r="J10" s="112" t="s">
        <v>713</v>
      </c>
      <c r="K10" s="112" t="s">
        <v>1735</v>
      </c>
      <c r="L10" s="113" t="s">
        <v>1738</v>
      </c>
      <c r="M10" s="221"/>
    </row>
    <row r="11" spans="1:13" ht="15" customHeight="1">
      <c r="A11" s="111">
        <v>44400.637106192131</v>
      </c>
      <c r="B11" s="112" t="s">
        <v>525</v>
      </c>
      <c r="C11" s="112" t="s">
        <v>526</v>
      </c>
      <c r="D11" s="112" t="s">
        <v>527</v>
      </c>
      <c r="E11" s="232" t="s">
        <v>528</v>
      </c>
      <c r="F11" s="114"/>
      <c r="G11" s="112">
        <v>95199195</v>
      </c>
      <c r="H11" s="114"/>
      <c r="I11" s="114"/>
      <c r="J11" s="112" t="s">
        <v>488</v>
      </c>
      <c r="K11" s="112"/>
      <c r="L11" s="113" t="s">
        <v>1738</v>
      </c>
      <c r="M11" s="221"/>
    </row>
    <row r="12" spans="1:13" ht="15" customHeight="1">
      <c r="A12" s="111">
        <v>44400.662227581022</v>
      </c>
      <c r="B12" s="112" t="s">
        <v>529</v>
      </c>
      <c r="C12" s="112" t="s">
        <v>530</v>
      </c>
      <c r="D12" s="112" t="s">
        <v>531</v>
      </c>
      <c r="E12" s="232" t="s">
        <v>532</v>
      </c>
      <c r="F12" s="114"/>
      <c r="G12" s="112">
        <v>96116668</v>
      </c>
      <c r="H12" s="114"/>
      <c r="I12" s="114"/>
      <c r="J12" s="112" t="s">
        <v>533</v>
      </c>
      <c r="K12" s="112"/>
      <c r="L12" s="113" t="s">
        <v>1479</v>
      </c>
      <c r="M12" s="221"/>
    </row>
    <row r="13" spans="1:13" ht="15" customHeight="1">
      <c r="A13" s="111">
        <v>44401.592421157402</v>
      </c>
      <c r="B13" s="112" t="s">
        <v>534</v>
      </c>
      <c r="C13" s="112" t="s">
        <v>535</v>
      </c>
      <c r="D13" s="112" t="s">
        <v>536</v>
      </c>
      <c r="E13" s="232" t="s">
        <v>537</v>
      </c>
      <c r="F13" s="112" t="s">
        <v>538</v>
      </c>
      <c r="G13" s="112">
        <v>96479042</v>
      </c>
      <c r="H13" s="114"/>
      <c r="I13" s="114"/>
      <c r="J13" s="112" t="s">
        <v>488</v>
      </c>
      <c r="K13" s="112"/>
      <c r="L13" s="113" t="s">
        <v>1479</v>
      </c>
      <c r="M13" s="221"/>
    </row>
    <row r="14" spans="1:13" ht="15" customHeight="1">
      <c r="A14" s="111">
        <v>44403.477982870369</v>
      </c>
      <c r="B14" s="112" t="s">
        <v>539</v>
      </c>
      <c r="C14" s="112" t="s">
        <v>540</v>
      </c>
      <c r="D14" s="112" t="s">
        <v>541</v>
      </c>
      <c r="E14" s="232" t="s">
        <v>542</v>
      </c>
      <c r="F14" s="112" t="s">
        <v>504</v>
      </c>
      <c r="G14" s="112">
        <v>97696042</v>
      </c>
      <c r="H14" s="112">
        <v>95853696</v>
      </c>
      <c r="I14" s="114"/>
      <c r="J14" s="112" t="s">
        <v>543</v>
      </c>
      <c r="K14" s="112"/>
      <c r="L14" s="113" t="s">
        <v>1479</v>
      </c>
      <c r="M14" s="221"/>
    </row>
    <row r="15" spans="1:13" ht="15" customHeight="1">
      <c r="A15" s="111">
        <v>44405.380117662033</v>
      </c>
      <c r="B15" s="112" t="s">
        <v>544</v>
      </c>
      <c r="C15" s="112" t="s">
        <v>545</v>
      </c>
      <c r="D15" s="112" t="s">
        <v>546</v>
      </c>
      <c r="E15" s="232" t="s">
        <v>547</v>
      </c>
      <c r="F15" s="114"/>
      <c r="G15" s="112">
        <v>97531777</v>
      </c>
      <c r="H15" s="114"/>
      <c r="I15" s="114"/>
      <c r="J15" s="112" t="s">
        <v>548</v>
      </c>
      <c r="K15" s="112" t="s">
        <v>1199</v>
      </c>
      <c r="L15" s="113" t="s">
        <v>1479</v>
      </c>
      <c r="M15" s="221"/>
    </row>
    <row r="16" spans="1:13" ht="15" customHeight="1">
      <c r="A16" s="111">
        <v>44405.505570462963</v>
      </c>
      <c r="B16" s="112" t="s">
        <v>549</v>
      </c>
      <c r="C16" s="112" t="s">
        <v>550</v>
      </c>
      <c r="D16" s="112" t="s">
        <v>551</v>
      </c>
      <c r="E16" s="232" t="s">
        <v>552</v>
      </c>
      <c r="F16" s="114"/>
      <c r="G16" s="112">
        <v>96714571</v>
      </c>
      <c r="H16" s="114"/>
      <c r="I16" s="114"/>
      <c r="J16" s="112" t="s">
        <v>488</v>
      </c>
      <c r="K16" s="112" t="s">
        <v>1495</v>
      </c>
      <c r="L16" s="113" t="s">
        <v>1479</v>
      </c>
      <c r="M16" s="221"/>
    </row>
    <row r="17" spans="1:16" ht="15" customHeight="1">
      <c r="A17" s="111">
        <v>44407.44507347222</v>
      </c>
      <c r="B17" s="112" t="s">
        <v>553</v>
      </c>
      <c r="C17" s="112" t="s">
        <v>554</v>
      </c>
      <c r="D17" s="112" t="s">
        <v>555</v>
      </c>
      <c r="E17" s="232" t="s">
        <v>556</v>
      </c>
      <c r="F17" s="112" t="s">
        <v>547</v>
      </c>
      <c r="G17" s="218"/>
      <c r="H17" s="114"/>
      <c r="I17" s="114"/>
      <c r="J17" s="112" t="s">
        <v>557</v>
      </c>
      <c r="K17" s="112"/>
      <c r="L17" s="113" t="s">
        <v>1479</v>
      </c>
      <c r="M17" s="221"/>
    </row>
    <row r="18" spans="1:16" ht="15" customHeight="1">
      <c r="A18" s="211">
        <v>44407.760292592589</v>
      </c>
      <c r="B18" s="212" t="s">
        <v>558</v>
      </c>
      <c r="C18" s="212" t="s">
        <v>559</v>
      </c>
      <c r="D18" s="212" t="s">
        <v>560</v>
      </c>
      <c r="E18" s="232" t="s">
        <v>561</v>
      </c>
      <c r="F18" s="212" t="s">
        <v>562</v>
      </c>
      <c r="G18" s="212">
        <v>97978950</v>
      </c>
      <c r="H18" s="214"/>
      <c r="I18" s="214"/>
      <c r="J18" s="212" t="s">
        <v>563</v>
      </c>
      <c r="K18" s="212" t="s">
        <v>1737</v>
      </c>
      <c r="L18" s="215" t="s">
        <v>1738</v>
      </c>
      <c r="M18" s="222"/>
    </row>
    <row r="19" spans="1:16" ht="15" customHeight="1">
      <c r="A19" s="211">
        <v>44407.778019537036</v>
      </c>
      <c r="B19" s="212" t="s">
        <v>564</v>
      </c>
      <c r="C19" s="212" t="s">
        <v>565</v>
      </c>
      <c r="D19" s="212" t="s">
        <v>566</v>
      </c>
      <c r="E19" s="232" t="s">
        <v>567</v>
      </c>
      <c r="F19" s="212" t="s">
        <v>504</v>
      </c>
      <c r="G19" s="212">
        <v>97768873</v>
      </c>
      <c r="H19" s="214"/>
      <c r="I19" s="214"/>
      <c r="J19" s="212" t="s">
        <v>500</v>
      </c>
      <c r="K19" s="212"/>
      <c r="L19" s="215" t="s">
        <v>1479</v>
      </c>
      <c r="M19" s="222"/>
    </row>
    <row r="20" spans="1:16" ht="15" customHeight="1">
      <c r="A20" s="211">
        <v>44408.339601898144</v>
      </c>
      <c r="B20" s="212" t="s">
        <v>568</v>
      </c>
      <c r="C20" s="212" t="s">
        <v>569</v>
      </c>
      <c r="D20" s="212" t="s">
        <v>570</v>
      </c>
      <c r="E20" s="232" t="s">
        <v>571</v>
      </c>
      <c r="F20" s="212" t="s">
        <v>562</v>
      </c>
      <c r="G20" s="212">
        <v>97970717</v>
      </c>
      <c r="H20" s="214"/>
      <c r="I20" s="214"/>
      <c r="J20" s="212" t="s">
        <v>572</v>
      </c>
      <c r="K20" s="212"/>
      <c r="L20" s="215" t="s">
        <v>1738</v>
      </c>
      <c r="M20" s="222" t="s">
        <v>577</v>
      </c>
    </row>
    <row r="21" spans="1:16" ht="15" customHeight="1">
      <c r="A21" s="211">
        <v>44408.420576122684</v>
      </c>
      <c r="B21" s="212" t="s">
        <v>573</v>
      </c>
      <c r="C21" s="212" t="s">
        <v>574</v>
      </c>
      <c r="D21" s="212" t="s">
        <v>566</v>
      </c>
      <c r="E21" s="232" t="s">
        <v>575</v>
      </c>
      <c r="F21" s="212" t="s">
        <v>504</v>
      </c>
      <c r="G21" s="212">
        <v>97119742</v>
      </c>
      <c r="H21" s="214"/>
      <c r="I21" s="214"/>
      <c r="J21" s="212" t="s">
        <v>576</v>
      </c>
      <c r="K21" s="212"/>
      <c r="L21" s="215" t="s">
        <v>1738</v>
      </c>
    </row>
    <row r="22" spans="1:16" ht="15" customHeight="1">
      <c r="A22" s="211">
        <v>44408.538189421291</v>
      </c>
      <c r="B22" s="212" t="s">
        <v>578</v>
      </c>
      <c r="C22" s="212" t="s">
        <v>579</v>
      </c>
      <c r="D22" s="212" t="s">
        <v>580</v>
      </c>
      <c r="E22" s="232" t="s">
        <v>581</v>
      </c>
      <c r="F22" s="214"/>
      <c r="G22" s="212">
        <v>66779033</v>
      </c>
      <c r="H22" s="214"/>
      <c r="I22" s="214"/>
      <c r="J22" s="212" t="s">
        <v>582</v>
      </c>
      <c r="K22" s="212"/>
      <c r="L22" s="215" t="s">
        <v>1479</v>
      </c>
      <c r="M22" s="222"/>
    </row>
    <row r="23" spans="1:16" s="183" customFormat="1" ht="15" customHeight="1">
      <c r="A23" s="211">
        <v>44410.714981319441</v>
      </c>
      <c r="B23" s="212" t="s">
        <v>583</v>
      </c>
      <c r="C23" s="212" t="s">
        <v>584</v>
      </c>
      <c r="D23" s="212" t="s">
        <v>585</v>
      </c>
      <c r="E23" s="232" t="s">
        <v>586</v>
      </c>
      <c r="F23" s="212" t="s">
        <v>504</v>
      </c>
      <c r="G23" s="213"/>
      <c r="H23" s="214"/>
      <c r="I23" s="214"/>
      <c r="J23" s="212" t="s">
        <v>587</v>
      </c>
      <c r="K23" s="212"/>
      <c r="L23" s="215" t="s">
        <v>1479</v>
      </c>
      <c r="M23" s="222"/>
      <c r="N23" s="110"/>
      <c r="O23" s="110"/>
      <c r="P23" s="110"/>
    </row>
    <row r="24" spans="1:16" s="183" customFormat="1" ht="15" customHeight="1">
      <c r="A24" s="211">
        <v>44410.719223541666</v>
      </c>
      <c r="B24" s="212" t="s">
        <v>588</v>
      </c>
      <c r="C24" s="212" t="s">
        <v>589</v>
      </c>
      <c r="D24" s="212" t="s">
        <v>584</v>
      </c>
      <c r="E24" s="232" t="s">
        <v>590</v>
      </c>
      <c r="F24" s="212" t="s">
        <v>504</v>
      </c>
      <c r="G24" s="213"/>
      <c r="H24" s="214"/>
      <c r="I24" s="214"/>
      <c r="J24" s="212" t="s">
        <v>587</v>
      </c>
      <c r="K24" s="212"/>
      <c r="L24" s="215" t="s">
        <v>1479</v>
      </c>
      <c r="M24" s="222"/>
      <c r="N24" s="110"/>
      <c r="O24" s="110"/>
      <c r="P24" s="110"/>
    </row>
    <row r="25" spans="1:16" s="183" customFormat="1" ht="15" customHeight="1">
      <c r="A25" s="211">
        <v>44410.741383761575</v>
      </c>
      <c r="B25" s="212" t="s">
        <v>591</v>
      </c>
      <c r="C25" s="212" t="s">
        <v>592</v>
      </c>
      <c r="D25" s="212" t="s">
        <v>593</v>
      </c>
      <c r="E25" s="232" t="s">
        <v>594</v>
      </c>
      <c r="F25" s="212" t="s">
        <v>504</v>
      </c>
      <c r="G25" s="213"/>
      <c r="H25" s="214"/>
      <c r="I25" s="214"/>
      <c r="J25" s="212" t="s">
        <v>587</v>
      </c>
      <c r="K25" s="212"/>
      <c r="L25" s="215" t="s">
        <v>1479</v>
      </c>
      <c r="M25" s="222"/>
      <c r="N25" s="110"/>
      <c r="O25" s="110"/>
      <c r="P25" s="110"/>
    </row>
    <row r="26" spans="1:16" ht="15" customHeight="1">
      <c r="A26" s="111">
        <v>44411.395353611108</v>
      </c>
      <c r="B26" s="112" t="s">
        <v>595</v>
      </c>
      <c r="C26" s="112" t="s">
        <v>596</v>
      </c>
      <c r="D26" s="112" t="s">
        <v>597</v>
      </c>
      <c r="E26" s="232" t="s">
        <v>598</v>
      </c>
      <c r="F26" s="112" t="s">
        <v>599</v>
      </c>
      <c r="G26" s="112">
        <v>62909378</v>
      </c>
      <c r="H26" s="114"/>
      <c r="I26" s="114"/>
      <c r="J26" s="112" t="s">
        <v>600</v>
      </c>
      <c r="K26" s="112"/>
      <c r="L26" s="215" t="s">
        <v>1479</v>
      </c>
      <c r="M26" s="221"/>
    </row>
    <row r="27" spans="1:16" ht="15" customHeight="1">
      <c r="A27" s="111">
        <v>44411.42044987269</v>
      </c>
      <c r="B27" s="112" t="s">
        <v>601</v>
      </c>
      <c r="C27" s="112" t="s">
        <v>602</v>
      </c>
      <c r="D27" s="112" t="s">
        <v>603</v>
      </c>
      <c r="E27" s="232" t="s">
        <v>604</v>
      </c>
      <c r="F27" s="112" t="s">
        <v>562</v>
      </c>
      <c r="G27" s="112">
        <v>97286866</v>
      </c>
      <c r="H27" s="114"/>
      <c r="I27" s="114"/>
      <c r="J27" s="112" t="s">
        <v>949</v>
      </c>
      <c r="K27" s="112" t="s">
        <v>1199</v>
      </c>
      <c r="L27" s="113" t="s">
        <v>1738</v>
      </c>
      <c r="M27" s="221" t="s">
        <v>609</v>
      </c>
    </row>
    <row r="28" spans="1:16" ht="15" customHeight="1">
      <c r="A28" s="111">
        <v>44411.446198854166</v>
      </c>
      <c r="B28" s="112" t="s">
        <v>605</v>
      </c>
      <c r="C28" s="112" t="s">
        <v>606</v>
      </c>
      <c r="D28" s="112" t="s">
        <v>607</v>
      </c>
      <c r="E28" s="232" t="s">
        <v>608</v>
      </c>
      <c r="F28" s="112" t="s">
        <v>504</v>
      </c>
      <c r="G28" s="112">
        <v>97486293</v>
      </c>
      <c r="H28" s="112">
        <v>95124457</v>
      </c>
      <c r="I28" s="114"/>
      <c r="J28" s="112" t="s">
        <v>587</v>
      </c>
      <c r="K28" s="112"/>
      <c r="L28" s="113" t="s">
        <v>1479</v>
      </c>
      <c r="M28" s="221"/>
    </row>
    <row r="29" spans="1:16" ht="15" customHeight="1">
      <c r="A29" s="111">
        <v>44413.569403483794</v>
      </c>
      <c r="B29" s="112" t="s">
        <v>610</v>
      </c>
      <c r="C29" s="112" t="s">
        <v>611</v>
      </c>
      <c r="D29" s="112" t="s">
        <v>612</v>
      </c>
      <c r="E29" s="232" t="s">
        <v>613</v>
      </c>
      <c r="F29" s="114"/>
      <c r="G29" s="112">
        <v>67531408</v>
      </c>
      <c r="H29" s="114"/>
      <c r="I29" s="114"/>
      <c r="J29" s="112" t="s">
        <v>500</v>
      </c>
      <c r="K29" s="112"/>
      <c r="L29" s="113" t="s">
        <v>1738</v>
      </c>
      <c r="M29" s="221"/>
    </row>
    <row r="30" spans="1:16" ht="15" customHeight="1">
      <c r="A30" s="111">
        <v>44414.749130879631</v>
      </c>
      <c r="B30" s="115" t="s">
        <v>614</v>
      </c>
      <c r="C30" s="112" t="s">
        <v>615</v>
      </c>
      <c r="D30" s="112" t="s">
        <v>616</v>
      </c>
      <c r="E30" s="232" t="s">
        <v>617</v>
      </c>
      <c r="F30" s="112" t="s">
        <v>547</v>
      </c>
      <c r="G30" s="112">
        <v>67525188</v>
      </c>
      <c r="H30" s="114"/>
      <c r="I30" s="114"/>
      <c r="J30" s="112" t="s">
        <v>618</v>
      </c>
      <c r="K30" s="112"/>
      <c r="L30" s="113" t="s">
        <v>1479</v>
      </c>
      <c r="M30" s="221"/>
    </row>
    <row r="31" spans="1:16" ht="15" customHeight="1">
      <c r="A31" s="111">
        <v>44415.665729965272</v>
      </c>
      <c r="B31" s="115" t="s">
        <v>619</v>
      </c>
      <c r="C31" s="112" t="s">
        <v>620</v>
      </c>
      <c r="D31" s="112" t="s">
        <v>621</v>
      </c>
      <c r="E31" s="232" t="s">
        <v>622</v>
      </c>
      <c r="F31" s="112" t="s">
        <v>623</v>
      </c>
      <c r="G31" s="112">
        <v>95764450</v>
      </c>
      <c r="H31" s="114"/>
      <c r="I31" s="114"/>
      <c r="J31" s="112" t="s">
        <v>533</v>
      </c>
      <c r="K31" s="112" t="s">
        <v>624</v>
      </c>
      <c r="L31" s="113" t="s">
        <v>1738</v>
      </c>
      <c r="M31" s="221"/>
    </row>
    <row r="32" spans="1:16" ht="15" customHeight="1">
      <c r="A32" s="111">
        <v>44417.574409363428</v>
      </c>
      <c r="B32" s="115" t="s">
        <v>629</v>
      </c>
      <c r="C32" s="112" t="s">
        <v>630</v>
      </c>
      <c r="D32" s="112" t="s">
        <v>631</v>
      </c>
      <c r="E32" s="232" t="s">
        <v>632</v>
      </c>
      <c r="F32" s="114"/>
      <c r="G32" s="112">
        <v>66313360</v>
      </c>
      <c r="H32" s="114"/>
      <c r="I32" s="114"/>
      <c r="J32" s="112" t="s">
        <v>633</v>
      </c>
      <c r="K32" s="112"/>
      <c r="L32" s="113" t="s">
        <v>1479</v>
      </c>
      <c r="M32" s="221"/>
    </row>
    <row r="33" spans="1:16" ht="15" customHeight="1">
      <c r="A33" s="225">
        <v>44417.570022083339</v>
      </c>
      <c r="B33" s="226" t="s">
        <v>625</v>
      </c>
      <c r="C33" s="227" t="s">
        <v>626</v>
      </c>
      <c r="D33" s="227" t="s">
        <v>627</v>
      </c>
      <c r="E33" s="232" t="s">
        <v>628</v>
      </c>
      <c r="F33" s="227" t="s">
        <v>504</v>
      </c>
      <c r="G33" s="227">
        <v>61781018</v>
      </c>
      <c r="H33" s="119"/>
      <c r="I33" s="119"/>
      <c r="J33" s="227" t="s">
        <v>1740</v>
      </c>
      <c r="K33" s="227"/>
      <c r="L33" s="228" t="s">
        <v>1738</v>
      </c>
      <c r="M33" s="229" t="s">
        <v>1741</v>
      </c>
    </row>
    <row r="34" spans="1:16" ht="15" customHeight="1">
      <c r="A34" s="111">
        <v>44419.640727754631</v>
      </c>
      <c r="B34" s="115" t="s">
        <v>634</v>
      </c>
      <c r="C34" s="112" t="s">
        <v>635</v>
      </c>
      <c r="D34" s="112" t="s">
        <v>636</v>
      </c>
      <c r="E34" s="232" t="s">
        <v>637</v>
      </c>
      <c r="F34" s="112" t="s">
        <v>504</v>
      </c>
      <c r="G34" s="112">
        <v>95066058</v>
      </c>
      <c r="H34" s="114"/>
      <c r="I34" s="114"/>
      <c r="J34" s="112" t="s">
        <v>638</v>
      </c>
      <c r="K34" s="112"/>
      <c r="L34" s="113" t="s">
        <v>1479</v>
      </c>
      <c r="M34" s="221"/>
    </row>
    <row r="35" spans="1:16" ht="15" customHeight="1">
      <c r="A35" s="111">
        <v>44421.6759475</v>
      </c>
      <c r="B35" s="115" t="s">
        <v>639</v>
      </c>
      <c r="C35" s="112" t="s">
        <v>1422</v>
      </c>
      <c r="D35" s="112" t="s">
        <v>640</v>
      </c>
      <c r="E35" s="232" t="s">
        <v>641</v>
      </c>
      <c r="F35" s="114"/>
      <c r="G35" s="112">
        <v>96476947</v>
      </c>
      <c r="H35" s="114"/>
      <c r="I35" s="114"/>
      <c r="J35" s="112" t="s">
        <v>500</v>
      </c>
      <c r="K35" s="112"/>
      <c r="L35" s="113" t="s">
        <v>1479</v>
      </c>
      <c r="M35" s="221"/>
    </row>
    <row r="36" spans="1:16" ht="15" customHeight="1">
      <c r="A36" s="111">
        <v>44421.679318495371</v>
      </c>
      <c r="B36" s="115" t="s">
        <v>642</v>
      </c>
      <c r="C36" s="112" t="s">
        <v>643</v>
      </c>
      <c r="D36" s="112" t="s">
        <v>644</v>
      </c>
      <c r="E36" s="232" t="s">
        <v>645</v>
      </c>
      <c r="F36" s="114"/>
      <c r="G36" s="112">
        <v>95219354</v>
      </c>
      <c r="H36" s="114"/>
      <c r="I36" s="114"/>
      <c r="J36" s="112" t="s">
        <v>646</v>
      </c>
      <c r="K36" s="112"/>
      <c r="L36" s="113" t="s">
        <v>1479</v>
      </c>
      <c r="M36" s="221"/>
    </row>
    <row r="37" spans="1:16" ht="15" customHeight="1">
      <c r="A37" s="111">
        <v>44422.354279224535</v>
      </c>
      <c r="B37" s="115" t="s">
        <v>647</v>
      </c>
      <c r="C37" s="112" t="s">
        <v>648</v>
      </c>
      <c r="D37" s="112" t="s">
        <v>649</v>
      </c>
      <c r="E37" s="232" t="s">
        <v>650</v>
      </c>
      <c r="F37" s="112" t="s">
        <v>499</v>
      </c>
      <c r="G37" s="112">
        <v>95405355</v>
      </c>
      <c r="H37" s="112">
        <v>97882263</v>
      </c>
      <c r="I37" s="114"/>
      <c r="J37" s="112" t="s">
        <v>651</v>
      </c>
      <c r="K37" s="112"/>
      <c r="L37" s="113" t="s">
        <v>1479</v>
      </c>
      <c r="M37" s="221"/>
    </row>
    <row r="38" spans="1:16" ht="15" customHeight="1">
      <c r="A38" s="111">
        <v>44422.535172268515</v>
      </c>
      <c r="B38" s="115" t="s">
        <v>652</v>
      </c>
      <c r="C38" s="112" t="s">
        <v>653</v>
      </c>
      <c r="D38" s="112" t="s">
        <v>654</v>
      </c>
      <c r="E38" s="232" t="s">
        <v>655</v>
      </c>
      <c r="F38" s="112" t="s">
        <v>562</v>
      </c>
      <c r="G38" s="112">
        <v>95369854</v>
      </c>
      <c r="H38" s="114"/>
      <c r="I38" s="114"/>
      <c r="J38" s="112" t="s">
        <v>656</v>
      </c>
      <c r="K38" s="112"/>
      <c r="L38" s="113" t="s">
        <v>1479</v>
      </c>
      <c r="M38" s="221"/>
    </row>
    <row r="39" spans="1:16" ht="15" customHeight="1">
      <c r="A39" s="111">
        <v>44426.498739236107</v>
      </c>
      <c r="B39" s="112" t="s">
        <v>657</v>
      </c>
      <c r="C39" s="112" t="s">
        <v>658</v>
      </c>
      <c r="D39" s="112" t="s">
        <v>659</v>
      </c>
      <c r="E39" s="232" t="s">
        <v>660</v>
      </c>
      <c r="F39" s="112" t="s">
        <v>661</v>
      </c>
      <c r="G39" s="112">
        <v>97287442</v>
      </c>
      <c r="H39" s="114"/>
      <c r="I39" s="114"/>
      <c r="J39" s="112" t="s">
        <v>662</v>
      </c>
      <c r="K39" s="112"/>
      <c r="L39" s="113" t="s">
        <v>1479</v>
      </c>
      <c r="M39" s="221"/>
    </row>
    <row r="40" spans="1:16" ht="15" customHeight="1">
      <c r="A40" s="111">
        <v>44427.675787523149</v>
      </c>
      <c r="B40" s="112" t="s">
        <v>663</v>
      </c>
      <c r="C40" s="112" t="s">
        <v>664</v>
      </c>
      <c r="D40" s="112" t="s">
        <v>665</v>
      </c>
      <c r="E40" s="232" t="s">
        <v>666</v>
      </c>
      <c r="F40" s="112" t="s">
        <v>562</v>
      </c>
      <c r="G40" s="112">
        <v>66885679</v>
      </c>
      <c r="H40" s="114"/>
      <c r="I40" s="114"/>
      <c r="J40" s="112" t="s">
        <v>488</v>
      </c>
      <c r="K40" s="112"/>
      <c r="L40" s="113" t="s">
        <v>1479</v>
      </c>
      <c r="M40" s="221"/>
    </row>
    <row r="41" spans="1:16" ht="15" customHeight="1">
      <c r="A41" s="111">
        <v>44428.733960925922</v>
      </c>
      <c r="B41" s="112" t="s">
        <v>667</v>
      </c>
      <c r="C41" s="112" t="s">
        <v>668</v>
      </c>
      <c r="D41" s="112" t="s">
        <v>669</v>
      </c>
      <c r="E41" s="232" t="s">
        <v>670</v>
      </c>
      <c r="F41" s="114"/>
      <c r="G41" s="112">
        <v>97447494</v>
      </c>
      <c r="H41" s="114"/>
      <c r="I41" s="114"/>
      <c r="J41" s="112" t="s">
        <v>500</v>
      </c>
      <c r="K41" s="112"/>
      <c r="L41" s="113" t="s">
        <v>1479</v>
      </c>
      <c r="M41" s="221"/>
    </row>
    <row r="42" spans="1:16" ht="15" customHeight="1">
      <c r="A42" s="111">
        <v>44431.404827858802</v>
      </c>
      <c r="B42" s="112" t="s">
        <v>671</v>
      </c>
      <c r="C42" s="112" t="s">
        <v>672</v>
      </c>
      <c r="D42" s="112" t="s">
        <v>673</v>
      </c>
      <c r="E42" s="232" t="s">
        <v>674</v>
      </c>
      <c r="F42" s="112" t="s">
        <v>513</v>
      </c>
      <c r="G42" s="116"/>
      <c r="H42" s="114"/>
      <c r="I42" s="114"/>
      <c r="J42" s="112" t="s">
        <v>500</v>
      </c>
      <c r="K42" s="112"/>
      <c r="L42" s="113" t="s">
        <v>1479</v>
      </c>
      <c r="M42" s="221"/>
    </row>
    <row r="43" spans="1:16" s="183" customFormat="1" ht="15" customHeight="1">
      <c r="A43" s="211">
        <v>44431.419673692129</v>
      </c>
      <c r="B43" s="212" t="s">
        <v>675</v>
      </c>
      <c r="C43" s="212" t="s">
        <v>676</v>
      </c>
      <c r="D43" s="212" t="s">
        <v>677</v>
      </c>
      <c r="E43" s="232" t="s">
        <v>678</v>
      </c>
      <c r="F43" s="212" t="s">
        <v>513</v>
      </c>
      <c r="G43" s="216"/>
      <c r="H43" s="214"/>
      <c r="I43" s="214"/>
      <c r="J43" s="212" t="s">
        <v>500</v>
      </c>
      <c r="K43" s="212"/>
      <c r="L43" s="113" t="s">
        <v>1479</v>
      </c>
      <c r="M43" s="222"/>
      <c r="N43" s="110"/>
      <c r="O43" s="110"/>
      <c r="P43" s="110"/>
    </row>
    <row r="44" spans="1:16" s="183" customFormat="1" ht="15" customHeight="1">
      <c r="A44" s="211">
        <v>44431.425789664354</v>
      </c>
      <c r="B44" s="212" t="s">
        <v>679</v>
      </c>
      <c r="C44" s="212" t="s">
        <v>672</v>
      </c>
      <c r="D44" s="212" t="s">
        <v>680</v>
      </c>
      <c r="E44" s="232" t="s">
        <v>681</v>
      </c>
      <c r="F44" s="212" t="s">
        <v>513</v>
      </c>
      <c r="G44" s="216"/>
      <c r="H44" s="214"/>
      <c r="I44" s="214"/>
      <c r="J44" s="212" t="s">
        <v>500</v>
      </c>
      <c r="K44" s="212"/>
      <c r="L44" s="113" t="s">
        <v>1479</v>
      </c>
      <c r="M44" s="222"/>
      <c r="N44" s="110"/>
      <c r="O44" s="110"/>
      <c r="P44" s="110"/>
    </row>
    <row r="45" spans="1:16" ht="15" customHeight="1">
      <c r="A45" s="111">
        <v>44432.748074618052</v>
      </c>
      <c r="B45" s="112" t="s">
        <v>682</v>
      </c>
      <c r="C45" s="112" t="s">
        <v>683</v>
      </c>
      <c r="D45" s="112" t="s">
        <v>684</v>
      </c>
      <c r="E45" s="232" t="s">
        <v>685</v>
      </c>
      <c r="F45" s="112" t="s">
        <v>661</v>
      </c>
      <c r="G45" s="112">
        <v>97375727</v>
      </c>
      <c r="H45" s="114"/>
      <c r="I45" s="114"/>
      <c r="J45" s="112" t="s">
        <v>686</v>
      </c>
      <c r="K45" s="112"/>
      <c r="L45" s="113" t="s">
        <v>1479</v>
      </c>
      <c r="M45" s="221"/>
    </row>
    <row r="46" spans="1:16" ht="15" customHeight="1">
      <c r="A46" s="111">
        <v>44433.614750613429</v>
      </c>
      <c r="B46" s="112" t="s">
        <v>687</v>
      </c>
      <c r="C46" s="112" t="s">
        <v>688</v>
      </c>
      <c r="D46" s="112" t="s">
        <v>689</v>
      </c>
      <c r="E46" s="232" t="s">
        <v>690</v>
      </c>
      <c r="F46" s="112" t="s">
        <v>499</v>
      </c>
      <c r="G46" s="112">
        <v>97797797</v>
      </c>
      <c r="H46" s="114"/>
      <c r="I46" s="114"/>
      <c r="J46" s="112" t="s">
        <v>500</v>
      </c>
      <c r="K46" s="112"/>
      <c r="L46" s="113" t="s">
        <v>1738</v>
      </c>
      <c r="M46" s="221" t="s">
        <v>691</v>
      </c>
    </row>
    <row r="47" spans="1:16" ht="15" customHeight="1">
      <c r="A47" s="111">
        <v>44433.615927962965</v>
      </c>
      <c r="B47" s="112" t="s">
        <v>692</v>
      </c>
      <c r="C47" s="112" t="s">
        <v>693</v>
      </c>
      <c r="D47" s="112" t="s">
        <v>694</v>
      </c>
      <c r="E47" s="232" t="s">
        <v>695</v>
      </c>
      <c r="F47" s="112" t="s">
        <v>499</v>
      </c>
      <c r="G47" s="112">
        <v>97034671</v>
      </c>
      <c r="H47" s="114"/>
      <c r="I47" s="114"/>
      <c r="J47" s="112" t="s">
        <v>500</v>
      </c>
      <c r="K47" s="112"/>
      <c r="L47" s="113" t="s">
        <v>1479</v>
      </c>
      <c r="M47" s="221"/>
    </row>
    <row r="48" spans="1:16" ht="15" customHeight="1">
      <c r="A48" s="111">
        <v>44434.464118865741</v>
      </c>
      <c r="B48" s="112" t="s">
        <v>696</v>
      </c>
      <c r="C48" s="112" t="s">
        <v>697</v>
      </c>
      <c r="D48" s="112" t="s">
        <v>648</v>
      </c>
      <c r="E48" s="232" t="s">
        <v>698</v>
      </c>
      <c r="F48" s="112" t="s">
        <v>650</v>
      </c>
      <c r="G48" s="112">
        <v>67257633</v>
      </c>
      <c r="H48" s="112">
        <v>97882263</v>
      </c>
      <c r="I48" s="114"/>
      <c r="J48" s="112" t="s">
        <v>651</v>
      </c>
      <c r="K48" s="112"/>
      <c r="L48" s="113" t="s">
        <v>1479</v>
      </c>
      <c r="M48" s="221"/>
    </row>
    <row r="49" spans="1:13" ht="15" customHeight="1">
      <c r="A49" s="111">
        <v>44434.632972928244</v>
      </c>
      <c r="B49" s="112" t="s">
        <v>699</v>
      </c>
      <c r="C49" s="112" t="s">
        <v>502</v>
      </c>
      <c r="D49" s="112" t="s">
        <v>700</v>
      </c>
      <c r="E49" s="232" t="s">
        <v>701</v>
      </c>
      <c r="F49" s="112" t="s">
        <v>562</v>
      </c>
      <c r="G49" s="112">
        <v>95952151</v>
      </c>
      <c r="H49" s="114"/>
      <c r="I49" s="114"/>
      <c r="J49" s="112" t="s">
        <v>702</v>
      </c>
      <c r="K49" s="112"/>
      <c r="L49" s="113" t="s">
        <v>1479</v>
      </c>
      <c r="M49" s="221"/>
    </row>
    <row r="50" spans="1:13" ht="15" customHeight="1">
      <c r="A50" s="111">
        <v>44447.392011342592</v>
      </c>
      <c r="B50" s="112" t="s">
        <v>703</v>
      </c>
      <c r="C50" s="112" t="s">
        <v>704</v>
      </c>
      <c r="D50" s="112" t="s">
        <v>705</v>
      </c>
      <c r="E50" s="232" t="s">
        <v>706</v>
      </c>
      <c r="F50" s="112" t="s">
        <v>562</v>
      </c>
      <c r="G50" s="112">
        <v>97977956</v>
      </c>
      <c r="H50" s="114"/>
      <c r="I50" s="114"/>
      <c r="J50" s="112" t="s">
        <v>707</v>
      </c>
      <c r="K50" s="112" t="s">
        <v>708</v>
      </c>
      <c r="L50" s="113" t="s">
        <v>1738</v>
      </c>
      <c r="M50" s="221"/>
    </row>
    <row r="51" spans="1:13" ht="15" customHeight="1">
      <c r="A51" s="111">
        <v>44436.394201388888</v>
      </c>
      <c r="B51" s="112" t="s">
        <v>709</v>
      </c>
      <c r="C51" s="112" t="s">
        <v>710</v>
      </c>
      <c r="D51" s="112" t="s">
        <v>711</v>
      </c>
      <c r="E51" s="232" t="s">
        <v>712</v>
      </c>
      <c r="F51" s="112" t="s">
        <v>599</v>
      </c>
      <c r="G51" s="112">
        <v>66394661</v>
      </c>
      <c r="H51" s="114"/>
      <c r="I51" s="114"/>
      <c r="J51" s="112" t="s">
        <v>713</v>
      </c>
      <c r="K51" s="112"/>
      <c r="L51" s="113" t="s">
        <v>1479</v>
      </c>
      <c r="M51" s="221"/>
    </row>
    <row r="52" spans="1:13" ht="15" customHeight="1">
      <c r="A52" s="111">
        <v>44436.394201388888</v>
      </c>
      <c r="B52" s="112" t="s">
        <v>714</v>
      </c>
      <c r="C52" s="112" t="s">
        <v>715</v>
      </c>
      <c r="D52" s="112" t="s">
        <v>716</v>
      </c>
      <c r="E52" s="232" t="s">
        <v>717</v>
      </c>
      <c r="F52" s="112" t="s">
        <v>1572</v>
      </c>
      <c r="G52" s="112">
        <v>66054984</v>
      </c>
      <c r="H52" s="114"/>
      <c r="I52" s="114"/>
      <c r="J52" s="112" t="s">
        <v>713</v>
      </c>
      <c r="K52" s="112"/>
      <c r="L52" s="113" t="s">
        <v>1479</v>
      </c>
      <c r="M52" s="221"/>
    </row>
    <row r="53" spans="1:13" ht="15" customHeight="1">
      <c r="A53" s="111">
        <v>44439.407627314817</v>
      </c>
      <c r="B53" s="112" t="s">
        <v>719</v>
      </c>
      <c r="C53" s="112" t="s">
        <v>720</v>
      </c>
      <c r="D53" s="112" t="s">
        <v>721</v>
      </c>
      <c r="E53" s="232" t="s">
        <v>722</v>
      </c>
      <c r="F53" s="112" t="s">
        <v>102</v>
      </c>
      <c r="G53" s="112">
        <v>66393914</v>
      </c>
      <c r="H53" s="114"/>
      <c r="I53" s="114"/>
      <c r="J53" s="112" t="s">
        <v>723</v>
      </c>
      <c r="K53" s="112"/>
      <c r="L53" s="113" t="s">
        <v>1479</v>
      </c>
      <c r="M53" s="221" t="s">
        <v>724</v>
      </c>
    </row>
    <row r="54" spans="1:13" ht="15" customHeight="1">
      <c r="A54" s="111">
        <v>44205.408472222225</v>
      </c>
      <c r="B54" s="112" t="s">
        <v>725</v>
      </c>
      <c r="C54" s="112" t="s">
        <v>726</v>
      </c>
      <c r="D54" s="112" t="s">
        <v>727</v>
      </c>
      <c r="E54" s="232" t="s">
        <v>728</v>
      </c>
      <c r="F54" s="112" t="s">
        <v>508</v>
      </c>
      <c r="G54" s="112">
        <v>97027612</v>
      </c>
      <c r="H54" s="114"/>
      <c r="I54" s="114"/>
      <c r="J54" s="112" t="s">
        <v>729</v>
      </c>
      <c r="K54" s="112"/>
      <c r="L54" s="113" t="s">
        <v>1479</v>
      </c>
      <c r="M54" s="221"/>
    </row>
    <row r="55" spans="1:13" ht="15" customHeight="1">
      <c r="A55" s="111">
        <v>44236.413761574076</v>
      </c>
      <c r="B55" s="112" t="s">
        <v>730</v>
      </c>
      <c r="C55" s="112" t="s">
        <v>731</v>
      </c>
      <c r="D55" s="112" t="s">
        <v>732</v>
      </c>
      <c r="E55" s="232" t="s">
        <v>733</v>
      </c>
      <c r="F55" s="112" t="s">
        <v>518</v>
      </c>
      <c r="G55" s="112">
        <v>96624233</v>
      </c>
      <c r="H55" s="114"/>
      <c r="I55" s="114"/>
      <c r="J55" s="112" t="s">
        <v>734</v>
      </c>
      <c r="K55" s="112"/>
      <c r="L55" s="113" t="s">
        <v>1479</v>
      </c>
      <c r="M55" s="221"/>
    </row>
    <row r="56" spans="1:13" ht="15" customHeight="1">
      <c r="A56" s="111">
        <v>44264.416550925926</v>
      </c>
      <c r="B56" s="112" t="s">
        <v>735</v>
      </c>
      <c r="C56" s="112" t="s">
        <v>736</v>
      </c>
      <c r="D56" s="112" t="s">
        <v>737</v>
      </c>
      <c r="E56" s="232" t="s">
        <v>738</v>
      </c>
      <c r="F56" s="112" t="s">
        <v>508</v>
      </c>
      <c r="G56" s="112">
        <v>97473867</v>
      </c>
      <c r="H56" s="114"/>
      <c r="I56" s="114"/>
      <c r="J56" s="112" t="s">
        <v>500</v>
      </c>
      <c r="K56" s="112"/>
      <c r="L56" s="113" t="s">
        <v>1479</v>
      </c>
      <c r="M56" s="221"/>
    </row>
    <row r="57" spans="1:13" ht="15" customHeight="1">
      <c r="A57" s="111">
        <v>44264.418032407404</v>
      </c>
      <c r="B57" s="112" t="s">
        <v>739</v>
      </c>
      <c r="C57" s="112" t="s">
        <v>740</v>
      </c>
      <c r="D57" s="112" t="s">
        <v>741</v>
      </c>
      <c r="E57" s="232" t="s">
        <v>742</v>
      </c>
      <c r="F57" s="112" t="s">
        <v>661</v>
      </c>
      <c r="G57" s="112">
        <v>96816402</v>
      </c>
      <c r="H57" s="114"/>
      <c r="I57" s="114"/>
      <c r="J57" s="112" t="s">
        <v>500</v>
      </c>
      <c r="K57" s="112"/>
      <c r="L57" s="113" t="s">
        <v>1738</v>
      </c>
      <c r="M57" s="221"/>
    </row>
    <row r="58" spans="1:13" ht="15" customHeight="1">
      <c r="A58" s="111">
        <v>44417.419166666667</v>
      </c>
      <c r="B58" s="112" t="s">
        <v>743</v>
      </c>
      <c r="C58" s="112" t="s">
        <v>744</v>
      </c>
      <c r="D58" s="112" t="s">
        <v>745</v>
      </c>
      <c r="E58" s="232" t="s">
        <v>746</v>
      </c>
      <c r="F58" s="112" t="s">
        <v>499</v>
      </c>
      <c r="G58" s="112">
        <v>66198261</v>
      </c>
      <c r="H58" s="114"/>
      <c r="I58" s="114"/>
      <c r="J58" s="112" t="s">
        <v>747</v>
      </c>
      <c r="K58" s="112"/>
      <c r="L58" s="113" t="s">
        <v>1479</v>
      </c>
      <c r="M58" s="221"/>
    </row>
    <row r="59" spans="1:13" ht="15" customHeight="1">
      <c r="A59" s="111">
        <v>44447.443935046293</v>
      </c>
      <c r="B59" s="112" t="s">
        <v>748</v>
      </c>
      <c r="C59" s="112" t="s">
        <v>749</v>
      </c>
      <c r="D59" s="112" t="s">
        <v>750</v>
      </c>
      <c r="E59" s="232" t="s">
        <v>751</v>
      </c>
      <c r="F59" s="112" t="s">
        <v>504</v>
      </c>
      <c r="G59" s="112">
        <v>95954355</v>
      </c>
      <c r="H59" s="114"/>
      <c r="I59" s="114"/>
      <c r="J59" s="112" t="s">
        <v>752</v>
      </c>
      <c r="K59" s="112" t="s">
        <v>753</v>
      </c>
      <c r="L59" s="113" t="s">
        <v>1738</v>
      </c>
      <c r="M59" s="221" t="s">
        <v>754</v>
      </c>
    </row>
    <row r="60" spans="1:13" ht="15" customHeight="1">
      <c r="A60" s="111">
        <v>44455.544174976851</v>
      </c>
      <c r="B60" s="112" t="s">
        <v>755</v>
      </c>
      <c r="C60" s="112" t="s">
        <v>756</v>
      </c>
      <c r="D60" s="112" t="s">
        <v>757</v>
      </c>
      <c r="E60" s="232" t="s">
        <v>758</v>
      </c>
      <c r="F60" s="112" t="s">
        <v>759</v>
      </c>
      <c r="G60" s="112">
        <v>96436235</v>
      </c>
      <c r="H60" s="114"/>
      <c r="I60" s="114"/>
      <c r="J60" s="112" t="s">
        <v>760</v>
      </c>
      <c r="K60" s="112"/>
      <c r="L60" s="113" t="s">
        <v>1479</v>
      </c>
      <c r="M60" s="221" t="s">
        <v>761</v>
      </c>
    </row>
    <row r="61" spans="1:13" ht="15" customHeight="1">
      <c r="A61" s="111">
        <v>44457.595087604168</v>
      </c>
      <c r="B61" s="112" t="s">
        <v>762</v>
      </c>
      <c r="C61" s="112" t="s">
        <v>1422</v>
      </c>
      <c r="D61" s="112" t="s">
        <v>516</v>
      </c>
      <c r="E61" s="232" t="s">
        <v>763</v>
      </c>
      <c r="F61" s="112" t="s">
        <v>641</v>
      </c>
      <c r="G61" s="112">
        <v>97576234</v>
      </c>
      <c r="H61" s="114"/>
      <c r="I61" s="114"/>
      <c r="J61" s="115" t="s">
        <v>1487</v>
      </c>
      <c r="K61" s="112"/>
      <c r="L61" s="113" t="s">
        <v>1738</v>
      </c>
      <c r="M61" s="221"/>
    </row>
    <row r="62" spans="1:13" ht="15" customHeight="1">
      <c r="A62" s="111">
        <v>44460.398253310181</v>
      </c>
      <c r="B62" s="112" t="s">
        <v>764</v>
      </c>
      <c r="C62" s="112" t="s">
        <v>765</v>
      </c>
      <c r="D62" s="112" t="s">
        <v>766</v>
      </c>
      <c r="E62" s="232" t="s">
        <v>767</v>
      </c>
      <c r="F62" s="112" t="s">
        <v>562</v>
      </c>
      <c r="G62" s="112">
        <v>97623327</v>
      </c>
      <c r="H62" s="114"/>
      <c r="I62" s="114"/>
      <c r="J62" s="112" t="s">
        <v>768</v>
      </c>
      <c r="K62" s="112"/>
      <c r="L62" s="113" t="s">
        <v>1479</v>
      </c>
      <c r="M62" s="221"/>
    </row>
    <row r="63" spans="1:13" ht="15" customHeight="1">
      <c r="A63" s="111">
        <v>44467.445752962958</v>
      </c>
      <c r="B63" s="112" t="s">
        <v>769</v>
      </c>
      <c r="C63" s="112" t="s">
        <v>615</v>
      </c>
      <c r="D63" s="112" t="s">
        <v>741</v>
      </c>
      <c r="E63" s="232" t="s">
        <v>770</v>
      </c>
      <c r="F63" s="112" t="s">
        <v>547</v>
      </c>
      <c r="G63" s="112">
        <v>97947323</v>
      </c>
      <c r="H63" s="114"/>
      <c r="I63" s="114"/>
      <c r="J63" s="112" t="s">
        <v>1573</v>
      </c>
      <c r="K63" s="112" t="s">
        <v>1574</v>
      </c>
      <c r="L63" s="113" t="s">
        <v>1738</v>
      </c>
      <c r="M63" s="221"/>
    </row>
    <row r="64" spans="1:13" ht="15" customHeight="1">
      <c r="A64" s="111">
        <v>44467.447198020833</v>
      </c>
      <c r="B64" s="112" t="s">
        <v>771</v>
      </c>
      <c r="C64" s="112" t="s">
        <v>772</v>
      </c>
      <c r="D64" s="112" t="s">
        <v>773</v>
      </c>
      <c r="E64" s="232" t="s">
        <v>774</v>
      </c>
      <c r="F64" s="112" t="s">
        <v>508</v>
      </c>
      <c r="G64" s="112">
        <v>96971877</v>
      </c>
      <c r="H64" s="114"/>
      <c r="I64" s="114"/>
      <c r="J64" s="112" t="s">
        <v>1575</v>
      </c>
      <c r="K64" s="112" t="s">
        <v>1575</v>
      </c>
      <c r="L64" s="113" t="s">
        <v>1739</v>
      </c>
      <c r="M64" s="221"/>
    </row>
    <row r="65" spans="1:16" ht="15" customHeight="1">
      <c r="A65" s="111">
        <v>44470.670516516198</v>
      </c>
      <c r="B65" s="112" t="s">
        <v>775</v>
      </c>
      <c r="C65" s="112" t="s">
        <v>776</v>
      </c>
      <c r="D65" s="112" t="s">
        <v>777</v>
      </c>
      <c r="E65" s="232" t="s">
        <v>778</v>
      </c>
      <c r="F65" s="112" t="s">
        <v>102</v>
      </c>
      <c r="G65" s="112">
        <v>62812344</v>
      </c>
      <c r="H65" s="114"/>
      <c r="I65" s="114"/>
      <c r="J65" s="112" t="s">
        <v>779</v>
      </c>
      <c r="K65" s="112"/>
      <c r="L65" s="113" t="s">
        <v>1479</v>
      </c>
      <c r="M65" s="221"/>
    </row>
    <row r="66" spans="1:16" ht="15" customHeight="1">
      <c r="A66" s="111">
        <v>44470.697596944447</v>
      </c>
      <c r="B66" s="112" t="s">
        <v>780</v>
      </c>
      <c r="C66" s="112" t="s">
        <v>781</v>
      </c>
      <c r="D66" s="112" t="s">
        <v>782</v>
      </c>
      <c r="E66" s="232" t="s">
        <v>783</v>
      </c>
      <c r="F66" s="112" t="s">
        <v>504</v>
      </c>
      <c r="G66" s="112">
        <v>97129999</v>
      </c>
      <c r="H66" s="114"/>
      <c r="I66" s="114"/>
      <c r="J66" s="112" t="s">
        <v>784</v>
      </c>
      <c r="K66" s="112"/>
      <c r="L66" s="113" t="s">
        <v>1738</v>
      </c>
      <c r="M66" s="221"/>
    </row>
    <row r="67" spans="1:16" ht="15" customHeight="1">
      <c r="A67" s="111">
        <v>44476.358959421297</v>
      </c>
      <c r="B67" s="112" t="s">
        <v>795</v>
      </c>
      <c r="C67" s="112" t="s">
        <v>502</v>
      </c>
      <c r="D67" s="112" t="s">
        <v>796</v>
      </c>
      <c r="E67" s="232" t="s">
        <v>797</v>
      </c>
      <c r="F67" s="112" t="s">
        <v>102</v>
      </c>
      <c r="G67" s="112">
        <v>97349236</v>
      </c>
      <c r="H67" s="114"/>
      <c r="I67" s="114"/>
      <c r="J67" s="112" t="s">
        <v>500</v>
      </c>
      <c r="K67" s="112"/>
      <c r="L67" s="113" t="s">
        <v>1479</v>
      </c>
      <c r="M67" s="221"/>
    </row>
    <row r="68" spans="1:16" ht="15" customHeight="1">
      <c r="A68" s="111">
        <v>44476.359981284724</v>
      </c>
      <c r="B68" s="112" t="s">
        <v>798</v>
      </c>
      <c r="C68" s="112" t="s">
        <v>799</v>
      </c>
      <c r="D68" s="112" t="s">
        <v>800</v>
      </c>
      <c r="E68" s="232" t="s">
        <v>801</v>
      </c>
      <c r="F68" s="112" t="s">
        <v>102</v>
      </c>
      <c r="G68" s="112">
        <v>97215808</v>
      </c>
      <c r="H68" s="114"/>
      <c r="I68" s="114"/>
      <c r="J68" s="112" t="s">
        <v>500</v>
      </c>
      <c r="K68" s="112"/>
      <c r="L68" s="113" t="s">
        <v>1479</v>
      </c>
      <c r="M68" s="221"/>
    </row>
    <row r="69" spans="1:16" ht="15" customHeight="1">
      <c r="A69" s="111">
        <v>44475.718219965274</v>
      </c>
      <c r="B69" s="112" t="s">
        <v>790</v>
      </c>
      <c r="C69" s="112" t="s">
        <v>791</v>
      </c>
      <c r="D69" s="112" t="s">
        <v>792</v>
      </c>
      <c r="E69" s="232" t="s">
        <v>793</v>
      </c>
      <c r="F69" s="112" t="s">
        <v>661</v>
      </c>
      <c r="G69" s="112">
        <v>64869595</v>
      </c>
      <c r="H69" s="114"/>
      <c r="I69" s="114"/>
      <c r="J69" s="112" t="s">
        <v>794</v>
      </c>
      <c r="K69" s="112"/>
      <c r="L69" s="113" t="s">
        <v>1739</v>
      </c>
      <c r="M69" s="221"/>
    </row>
    <row r="70" spans="1:16" ht="15" customHeight="1">
      <c r="A70" s="111">
        <v>44475.716074085649</v>
      </c>
      <c r="B70" s="112" t="s">
        <v>785</v>
      </c>
      <c r="C70" s="112" t="s">
        <v>786</v>
      </c>
      <c r="D70" s="112" t="s">
        <v>787</v>
      </c>
      <c r="E70" s="232" t="s">
        <v>788</v>
      </c>
      <c r="F70" s="112" t="s">
        <v>789</v>
      </c>
      <c r="G70" s="112">
        <v>62418557</v>
      </c>
      <c r="H70" s="114"/>
      <c r="I70" s="114"/>
      <c r="J70" s="112" t="s">
        <v>1576</v>
      </c>
      <c r="K70" s="112"/>
      <c r="L70" s="113" t="s">
        <v>1479</v>
      </c>
      <c r="M70" s="221"/>
    </row>
    <row r="71" spans="1:16" ht="15" customHeight="1">
      <c r="A71" s="111">
        <v>44481.405548692128</v>
      </c>
      <c r="B71" s="112" t="s">
        <v>802</v>
      </c>
      <c r="C71" s="112" t="s">
        <v>803</v>
      </c>
      <c r="D71" s="112" t="s">
        <v>804</v>
      </c>
      <c r="E71" s="232" t="s">
        <v>805</v>
      </c>
      <c r="F71" s="112" t="s">
        <v>499</v>
      </c>
      <c r="G71" s="112">
        <v>95063289</v>
      </c>
      <c r="H71" s="114"/>
      <c r="I71" s="114"/>
      <c r="J71" s="112" t="s">
        <v>500</v>
      </c>
      <c r="K71" s="112"/>
      <c r="L71" s="113" t="s">
        <v>1479</v>
      </c>
      <c r="M71" s="221"/>
    </row>
    <row r="72" spans="1:16" s="186" customFormat="1" ht="15" customHeight="1">
      <c r="A72" s="211">
        <v>44481.40656787037</v>
      </c>
      <c r="B72" s="212" t="s">
        <v>806</v>
      </c>
      <c r="C72" s="212" t="s">
        <v>807</v>
      </c>
      <c r="D72" s="212" t="s">
        <v>808</v>
      </c>
      <c r="E72" s="232" t="s">
        <v>809</v>
      </c>
      <c r="F72" s="212" t="s">
        <v>810</v>
      </c>
      <c r="G72" s="212">
        <v>97178905</v>
      </c>
      <c r="H72" s="214"/>
      <c r="I72" s="214"/>
      <c r="J72" s="212" t="s">
        <v>811</v>
      </c>
      <c r="K72" s="212"/>
      <c r="L72" s="113" t="s">
        <v>1479</v>
      </c>
      <c r="M72" s="222"/>
      <c r="N72" s="110"/>
      <c r="O72" s="110"/>
      <c r="P72" s="110"/>
    </row>
    <row r="73" spans="1:16" ht="15" customHeight="1">
      <c r="A73" s="211">
        <v>44490.403523935187</v>
      </c>
      <c r="B73" s="212" t="s">
        <v>812</v>
      </c>
      <c r="C73" s="212" t="s">
        <v>813</v>
      </c>
      <c r="D73" s="212" t="s">
        <v>814</v>
      </c>
      <c r="E73" s="232" t="s">
        <v>815</v>
      </c>
      <c r="F73" s="212" t="s">
        <v>810</v>
      </c>
      <c r="G73" s="212">
        <v>97084684</v>
      </c>
      <c r="H73" s="214"/>
      <c r="I73" s="214"/>
      <c r="J73" s="212" t="s">
        <v>500</v>
      </c>
      <c r="K73" s="212"/>
      <c r="L73" s="113" t="s">
        <v>1479</v>
      </c>
      <c r="M73" s="222"/>
    </row>
    <row r="74" spans="1:16" ht="15" customHeight="1">
      <c r="A74" s="211">
        <v>44490.57537924769</v>
      </c>
      <c r="B74" s="212" t="s">
        <v>816</v>
      </c>
      <c r="C74" s="212" t="s">
        <v>817</v>
      </c>
      <c r="D74" s="212" t="s">
        <v>818</v>
      </c>
      <c r="E74" s="232" t="s">
        <v>819</v>
      </c>
      <c r="F74" s="212" t="s">
        <v>718</v>
      </c>
      <c r="G74" s="212">
        <v>53530967</v>
      </c>
      <c r="H74" s="214"/>
      <c r="I74" s="214"/>
      <c r="J74" s="212" t="s">
        <v>820</v>
      </c>
      <c r="K74" s="212"/>
      <c r="L74" s="215" t="s">
        <v>1479</v>
      </c>
      <c r="M74" s="222" t="s">
        <v>724</v>
      </c>
    </row>
    <row r="75" spans="1:16" ht="15" customHeight="1">
      <c r="A75" s="211">
        <v>44494.410216168981</v>
      </c>
      <c r="B75" s="212" t="s">
        <v>821</v>
      </c>
      <c r="C75" s="212" t="s">
        <v>822</v>
      </c>
      <c r="D75" s="212" t="s">
        <v>823</v>
      </c>
      <c r="E75" s="232" t="s">
        <v>824</v>
      </c>
      <c r="F75" s="212" t="s">
        <v>661</v>
      </c>
      <c r="G75" s="212">
        <v>62807570</v>
      </c>
      <c r="H75" s="214"/>
      <c r="I75" s="214"/>
      <c r="J75" s="212" t="s">
        <v>825</v>
      </c>
      <c r="K75" s="212"/>
      <c r="L75" s="215" t="s">
        <v>1479</v>
      </c>
      <c r="M75" s="222" t="s">
        <v>826</v>
      </c>
    </row>
    <row r="76" spans="1:16" ht="15" customHeight="1">
      <c r="A76" s="211">
        <v>44494.411024189816</v>
      </c>
      <c r="B76" s="212" t="s">
        <v>827</v>
      </c>
      <c r="C76" s="212" t="s">
        <v>828</v>
      </c>
      <c r="D76" s="212" t="s">
        <v>636</v>
      </c>
      <c r="E76" s="232" t="s">
        <v>829</v>
      </c>
      <c r="F76" s="212" t="s">
        <v>102</v>
      </c>
      <c r="G76" s="212">
        <v>60763033</v>
      </c>
      <c r="H76" s="214"/>
      <c r="I76" s="214"/>
      <c r="J76" s="212" t="s">
        <v>830</v>
      </c>
      <c r="K76" s="212"/>
      <c r="L76" s="215" t="s">
        <v>1479</v>
      </c>
      <c r="M76" s="222"/>
    </row>
    <row r="77" spans="1:16" s="186" customFormat="1" ht="15" customHeight="1">
      <c r="A77" s="211">
        <v>44499.732353611107</v>
      </c>
      <c r="B77" s="212" t="s">
        <v>831</v>
      </c>
      <c r="C77" s="212" t="s">
        <v>832</v>
      </c>
      <c r="D77" s="212" t="s">
        <v>833</v>
      </c>
      <c r="E77" s="232" t="s">
        <v>834</v>
      </c>
      <c r="F77" s="212" t="s">
        <v>641</v>
      </c>
      <c r="G77" s="212">
        <v>61193762</v>
      </c>
      <c r="H77" s="214"/>
      <c r="I77" s="214"/>
      <c r="J77" s="212" t="s">
        <v>500</v>
      </c>
      <c r="K77" s="212"/>
      <c r="L77" s="215" t="s">
        <v>1479</v>
      </c>
      <c r="M77" s="222"/>
      <c r="N77" s="110"/>
      <c r="O77" s="110"/>
      <c r="P77" s="110"/>
    </row>
    <row r="78" spans="1:16" s="186" customFormat="1" ht="15" customHeight="1">
      <c r="A78" s="211">
        <v>44502.367573854164</v>
      </c>
      <c r="B78" s="212" t="s">
        <v>835</v>
      </c>
      <c r="C78" s="212" t="s">
        <v>535</v>
      </c>
      <c r="D78" s="212" t="s">
        <v>836</v>
      </c>
      <c r="E78" s="232" t="s">
        <v>837</v>
      </c>
      <c r="F78" s="212" t="s">
        <v>508</v>
      </c>
      <c r="G78" s="212">
        <v>61793817</v>
      </c>
      <c r="H78" s="214"/>
      <c r="I78" s="214"/>
      <c r="J78" s="212" t="s">
        <v>488</v>
      </c>
      <c r="K78" s="212"/>
      <c r="L78" s="215" t="s">
        <v>1479</v>
      </c>
      <c r="M78" s="222"/>
      <c r="N78" s="110"/>
      <c r="O78" s="110"/>
      <c r="P78" s="110"/>
    </row>
    <row r="79" spans="1:16" s="186" customFormat="1" ht="15" customHeight="1">
      <c r="A79" s="211">
        <v>44504.335286041663</v>
      </c>
      <c r="B79" s="212" t="s">
        <v>838</v>
      </c>
      <c r="C79" s="212" t="s">
        <v>839</v>
      </c>
      <c r="D79" s="212" t="s">
        <v>1577</v>
      </c>
      <c r="E79" s="232" t="s">
        <v>840</v>
      </c>
      <c r="F79" s="212" t="s">
        <v>613</v>
      </c>
      <c r="G79" s="212">
        <v>69132043</v>
      </c>
      <c r="H79" s="214"/>
      <c r="I79" s="214"/>
      <c r="J79" s="212" t="s">
        <v>1578</v>
      </c>
      <c r="K79" s="212" t="s">
        <v>1579</v>
      </c>
      <c r="L79" s="215" t="s">
        <v>1738</v>
      </c>
      <c r="M79" s="222"/>
      <c r="N79" s="110"/>
      <c r="O79" s="110"/>
      <c r="P79" s="110"/>
    </row>
    <row r="80" spans="1:16" ht="15" customHeight="1">
      <c r="A80" s="211">
        <v>44504.335908101857</v>
      </c>
      <c r="B80" s="212" t="s">
        <v>841</v>
      </c>
      <c r="C80" s="212" t="s">
        <v>842</v>
      </c>
      <c r="D80" s="212" t="s">
        <v>843</v>
      </c>
      <c r="E80" s="232" t="s">
        <v>844</v>
      </c>
      <c r="F80" s="212" t="s">
        <v>508</v>
      </c>
      <c r="G80" s="212">
        <v>67737462</v>
      </c>
      <c r="H80" s="214"/>
      <c r="I80" s="214"/>
      <c r="J80" s="212" t="s">
        <v>500</v>
      </c>
      <c r="K80" s="212"/>
      <c r="L80" s="215" t="s">
        <v>1479</v>
      </c>
      <c r="M80" s="222"/>
    </row>
    <row r="81" spans="1:13" ht="15" customHeight="1">
      <c r="A81" s="211">
        <v>44504.39911731481</v>
      </c>
      <c r="B81" s="212" t="s">
        <v>845</v>
      </c>
      <c r="C81" s="212" t="s">
        <v>846</v>
      </c>
      <c r="D81" s="212" t="s">
        <v>847</v>
      </c>
      <c r="E81" s="232" t="s">
        <v>848</v>
      </c>
      <c r="F81" s="212" t="s">
        <v>102</v>
      </c>
      <c r="G81" s="212">
        <v>60849595</v>
      </c>
      <c r="H81" s="214"/>
      <c r="I81" s="214"/>
      <c r="J81" s="212" t="s">
        <v>849</v>
      </c>
      <c r="K81" s="212"/>
      <c r="L81" s="215" t="s">
        <v>1738</v>
      </c>
      <c r="M81" s="222"/>
    </row>
    <row r="82" spans="1:13" ht="15" customHeight="1">
      <c r="A82" s="111">
        <v>44506.477091099536</v>
      </c>
      <c r="B82" s="112" t="s">
        <v>1488</v>
      </c>
      <c r="C82" s="112" t="s">
        <v>697</v>
      </c>
      <c r="D82" s="112" t="s">
        <v>850</v>
      </c>
      <c r="E82" s="115" t="s">
        <v>851</v>
      </c>
      <c r="F82" s="112" t="s">
        <v>499</v>
      </c>
      <c r="G82" s="112">
        <v>64626440</v>
      </c>
      <c r="H82" s="114"/>
      <c r="I82" s="114"/>
      <c r="J82" s="112" t="s">
        <v>500</v>
      </c>
      <c r="K82" s="112"/>
      <c r="L82" s="113" t="s">
        <v>1479</v>
      </c>
      <c r="M82" s="221" t="s">
        <v>852</v>
      </c>
    </row>
    <row r="83" spans="1:13" ht="15" customHeight="1">
      <c r="A83" s="111">
        <v>44508.439810694443</v>
      </c>
      <c r="B83" s="112" t="s">
        <v>853</v>
      </c>
      <c r="C83" s="112" t="s">
        <v>854</v>
      </c>
      <c r="D83" s="112" t="s">
        <v>855</v>
      </c>
      <c r="E83" s="232" t="s">
        <v>856</v>
      </c>
      <c r="F83" s="112" t="s">
        <v>857</v>
      </c>
      <c r="G83" s="112">
        <v>62384426</v>
      </c>
      <c r="H83" s="114"/>
      <c r="I83" s="114"/>
      <c r="J83" s="112" t="s">
        <v>858</v>
      </c>
      <c r="K83" s="112" t="s">
        <v>859</v>
      </c>
      <c r="L83" s="215" t="s">
        <v>1738</v>
      </c>
      <c r="M83" s="221"/>
    </row>
    <row r="84" spans="1:13" ht="15" customHeight="1">
      <c r="A84" s="111">
        <v>44508.48552101852</v>
      </c>
      <c r="B84" s="112" t="s">
        <v>860</v>
      </c>
      <c r="C84" s="112" t="s">
        <v>861</v>
      </c>
      <c r="D84" s="112" t="s">
        <v>862</v>
      </c>
      <c r="E84" s="232" t="s">
        <v>863</v>
      </c>
      <c r="F84" s="112" t="s">
        <v>523</v>
      </c>
      <c r="G84" s="112">
        <v>97692695</v>
      </c>
      <c r="H84" s="114"/>
      <c r="I84" s="114"/>
      <c r="J84" s="112" t="s">
        <v>864</v>
      </c>
      <c r="K84" s="112"/>
      <c r="L84" s="113" t="s">
        <v>1479</v>
      </c>
      <c r="M84" s="221"/>
    </row>
    <row r="85" spans="1:13" ht="15" customHeight="1">
      <c r="A85" s="111">
        <v>44508.486817858793</v>
      </c>
      <c r="B85" s="112" t="s">
        <v>865</v>
      </c>
      <c r="C85" s="112" t="s">
        <v>866</v>
      </c>
      <c r="D85" s="112" t="s">
        <v>516</v>
      </c>
      <c r="E85" s="232" t="s">
        <v>867</v>
      </c>
      <c r="F85" s="112" t="s">
        <v>797</v>
      </c>
      <c r="G85" s="112">
        <v>66638958</v>
      </c>
      <c r="H85" s="114"/>
      <c r="I85" s="114"/>
      <c r="J85" s="112" t="s">
        <v>849</v>
      </c>
      <c r="K85" s="112"/>
      <c r="L85" s="113" t="s">
        <v>1479</v>
      </c>
      <c r="M85" s="221"/>
    </row>
    <row r="86" spans="1:13" ht="15" customHeight="1">
      <c r="A86" s="111">
        <v>44513.410901782408</v>
      </c>
      <c r="B86" s="112" t="s">
        <v>868</v>
      </c>
      <c r="C86" s="112" t="s">
        <v>869</v>
      </c>
      <c r="D86" s="112" t="s">
        <v>870</v>
      </c>
      <c r="E86" s="232" t="s">
        <v>871</v>
      </c>
      <c r="F86" s="112" t="s">
        <v>661</v>
      </c>
      <c r="G86" s="112">
        <v>96848314</v>
      </c>
      <c r="H86" s="114"/>
      <c r="I86" s="114"/>
      <c r="J86" s="112" t="s">
        <v>618</v>
      </c>
      <c r="K86" s="112"/>
      <c r="L86" s="113" t="s">
        <v>1479</v>
      </c>
      <c r="M86" s="221"/>
    </row>
    <row r="87" spans="1:13" ht="15" customHeight="1">
      <c r="A87" s="111">
        <v>44513.413721458332</v>
      </c>
      <c r="B87" s="112" t="s">
        <v>872</v>
      </c>
      <c r="C87" s="112" t="s">
        <v>506</v>
      </c>
      <c r="D87" s="112" t="s">
        <v>873</v>
      </c>
      <c r="E87" s="232" t="s">
        <v>874</v>
      </c>
      <c r="F87" s="112" t="s">
        <v>508</v>
      </c>
      <c r="G87" s="112">
        <v>67597732</v>
      </c>
      <c r="H87" s="114"/>
      <c r="I87" s="114"/>
      <c r="J87" s="112" t="s">
        <v>500</v>
      </c>
      <c r="K87" s="112"/>
      <c r="L87" s="113" t="s">
        <v>1479</v>
      </c>
      <c r="M87" s="221"/>
    </row>
    <row r="88" spans="1:13" ht="15" customHeight="1">
      <c r="A88" s="111">
        <v>44513.414409988429</v>
      </c>
      <c r="B88" s="112" t="s">
        <v>875</v>
      </c>
      <c r="C88" s="112" t="s">
        <v>876</v>
      </c>
      <c r="D88" s="112" t="s">
        <v>877</v>
      </c>
      <c r="E88" s="232" t="s">
        <v>878</v>
      </c>
      <c r="F88" s="112" t="s">
        <v>562</v>
      </c>
      <c r="G88" s="112">
        <v>65054099</v>
      </c>
      <c r="H88" s="114"/>
      <c r="I88" s="114"/>
      <c r="J88" s="112" t="s">
        <v>879</v>
      </c>
      <c r="K88" s="112"/>
      <c r="L88" s="113" t="s">
        <v>1479</v>
      </c>
      <c r="M88" s="221"/>
    </row>
    <row r="89" spans="1:13" ht="15" customHeight="1">
      <c r="A89" s="111">
        <v>44522.482464583329</v>
      </c>
      <c r="B89" s="112" t="s">
        <v>880</v>
      </c>
      <c r="C89" s="112" t="s">
        <v>881</v>
      </c>
      <c r="D89" s="112" t="s">
        <v>882</v>
      </c>
      <c r="E89" s="232" t="s">
        <v>883</v>
      </c>
      <c r="F89" s="112" t="s">
        <v>562</v>
      </c>
      <c r="G89" s="112">
        <v>96394208</v>
      </c>
      <c r="H89" s="114"/>
      <c r="I89" s="114"/>
      <c r="J89" s="112" t="s">
        <v>884</v>
      </c>
      <c r="K89" s="112"/>
      <c r="L89" s="113" t="s">
        <v>1479</v>
      </c>
      <c r="M89" s="221"/>
    </row>
    <row r="90" spans="1:13" ht="15" customHeight="1">
      <c r="A90" s="111">
        <v>44522.483576828701</v>
      </c>
      <c r="B90" s="112" t="s">
        <v>885</v>
      </c>
      <c r="C90" s="112" t="s">
        <v>886</v>
      </c>
      <c r="D90" s="112" t="s">
        <v>887</v>
      </c>
      <c r="E90" s="232" t="s">
        <v>888</v>
      </c>
      <c r="F90" s="112" t="s">
        <v>889</v>
      </c>
      <c r="G90" s="112">
        <v>94558828</v>
      </c>
      <c r="H90" s="114"/>
      <c r="I90" s="114"/>
      <c r="J90" s="112" t="s">
        <v>500</v>
      </c>
      <c r="K90" s="112"/>
      <c r="L90" s="113" t="s">
        <v>1479</v>
      </c>
      <c r="M90" s="221"/>
    </row>
    <row r="91" spans="1:13" ht="15" customHeight="1">
      <c r="A91" s="111">
        <v>44522.485231770828</v>
      </c>
      <c r="B91" s="112" t="s">
        <v>890</v>
      </c>
      <c r="C91" s="112" t="s">
        <v>891</v>
      </c>
      <c r="D91" s="112" t="s">
        <v>892</v>
      </c>
      <c r="E91" s="232" t="s">
        <v>893</v>
      </c>
      <c r="F91" s="112" t="s">
        <v>894</v>
      </c>
      <c r="G91" s="112">
        <v>97128975</v>
      </c>
      <c r="H91" s="114"/>
      <c r="I91" s="114"/>
      <c r="J91" s="112" t="s">
        <v>500</v>
      </c>
      <c r="K91" s="112"/>
      <c r="L91" s="113" t="s">
        <v>1479</v>
      </c>
      <c r="M91" s="221"/>
    </row>
    <row r="92" spans="1:13" ht="15" customHeight="1">
      <c r="A92" s="111">
        <v>44530.586449270835</v>
      </c>
      <c r="B92" s="112" t="s">
        <v>895</v>
      </c>
      <c r="C92" s="112" t="s">
        <v>896</v>
      </c>
      <c r="D92" s="112" t="s">
        <v>897</v>
      </c>
      <c r="E92" s="232" t="s">
        <v>898</v>
      </c>
      <c r="F92" s="112" t="s">
        <v>899</v>
      </c>
      <c r="G92" s="112">
        <v>97611515</v>
      </c>
      <c r="H92" s="114"/>
      <c r="I92" s="114"/>
      <c r="J92" s="112" t="s">
        <v>563</v>
      </c>
      <c r="K92" s="112"/>
      <c r="L92" s="113" t="s">
        <v>1479</v>
      </c>
      <c r="M92" s="221"/>
    </row>
    <row r="93" spans="1:13" ht="15" customHeight="1">
      <c r="A93" s="111">
        <v>44536.381635659724</v>
      </c>
      <c r="B93" s="112" t="s">
        <v>900</v>
      </c>
      <c r="C93" s="112" t="s">
        <v>901</v>
      </c>
      <c r="D93" s="112" t="s">
        <v>902</v>
      </c>
      <c r="E93" s="232" t="s">
        <v>903</v>
      </c>
      <c r="F93" s="112" t="s">
        <v>102</v>
      </c>
      <c r="G93" s="112">
        <v>62942489</v>
      </c>
      <c r="H93" s="114"/>
      <c r="I93" s="114"/>
      <c r="J93" s="112" t="s">
        <v>904</v>
      </c>
      <c r="K93" s="112"/>
      <c r="L93" s="113" t="s">
        <v>1479</v>
      </c>
      <c r="M93" s="221"/>
    </row>
    <row r="94" spans="1:13" ht="15" customHeight="1">
      <c r="A94" s="111">
        <v>44536.672026319444</v>
      </c>
      <c r="B94" s="112" t="s">
        <v>905</v>
      </c>
      <c r="C94" s="112" t="s">
        <v>906</v>
      </c>
      <c r="D94" s="112" t="s">
        <v>800</v>
      </c>
      <c r="E94" s="232" t="s">
        <v>907</v>
      </c>
      <c r="F94" s="112" t="s">
        <v>504</v>
      </c>
      <c r="G94" s="112">
        <v>97647746</v>
      </c>
      <c r="H94" s="114"/>
      <c r="I94" s="114"/>
      <c r="J94" s="112" t="s">
        <v>500</v>
      </c>
      <c r="K94" s="112"/>
      <c r="L94" s="113" t="s">
        <v>1479</v>
      </c>
      <c r="M94" s="221"/>
    </row>
    <row r="95" spans="1:13" ht="15" customHeight="1">
      <c r="A95" s="111">
        <v>44536.672660937504</v>
      </c>
      <c r="B95" s="112" t="s">
        <v>908</v>
      </c>
      <c r="C95" s="112" t="s">
        <v>909</v>
      </c>
      <c r="D95" s="112" t="s">
        <v>910</v>
      </c>
      <c r="E95" s="232" t="s">
        <v>911</v>
      </c>
      <c r="F95" s="112" t="s">
        <v>562</v>
      </c>
      <c r="G95" s="112">
        <v>95818245</v>
      </c>
      <c r="H95" s="114"/>
      <c r="I95" s="114"/>
      <c r="J95" s="112" t="s">
        <v>912</v>
      </c>
      <c r="K95" s="112"/>
      <c r="L95" s="215" t="s">
        <v>1739</v>
      </c>
      <c r="M95" s="221"/>
    </row>
    <row r="96" spans="1:13" ht="15" customHeight="1">
      <c r="A96" s="111">
        <v>44536.673464583335</v>
      </c>
      <c r="B96" s="112" t="s">
        <v>913</v>
      </c>
      <c r="C96" s="112" t="s">
        <v>589</v>
      </c>
      <c r="D96" s="112" t="s">
        <v>914</v>
      </c>
      <c r="E96" s="232" t="s">
        <v>915</v>
      </c>
      <c r="F96" s="112" t="s">
        <v>661</v>
      </c>
      <c r="G96" s="112">
        <v>95629545</v>
      </c>
      <c r="H96" s="114"/>
      <c r="I96" s="114"/>
      <c r="J96" s="112" t="s">
        <v>651</v>
      </c>
      <c r="K96" s="112"/>
      <c r="L96" s="113" t="s">
        <v>1479</v>
      </c>
      <c r="M96" s="221" t="s">
        <v>916</v>
      </c>
    </row>
    <row r="97" spans="1:13" ht="15" customHeight="1">
      <c r="A97" s="111">
        <v>44536.674050081019</v>
      </c>
      <c r="B97" s="112" t="s">
        <v>917</v>
      </c>
      <c r="C97" s="112" t="s">
        <v>918</v>
      </c>
      <c r="D97" s="112" t="s">
        <v>919</v>
      </c>
      <c r="E97" s="232" t="s">
        <v>920</v>
      </c>
      <c r="F97" s="112" t="s">
        <v>661</v>
      </c>
      <c r="G97" s="112">
        <v>97228180</v>
      </c>
      <c r="H97" s="114"/>
      <c r="I97" s="114"/>
      <c r="J97" s="112" t="s">
        <v>500</v>
      </c>
      <c r="K97" s="112"/>
      <c r="L97" s="113" t="s">
        <v>1479</v>
      </c>
      <c r="M97" s="221"/>
    </row>
    <row r="98" spans="1:13" ht="15" customHeight="1">
      <c r="A98" s="111">
        <v>44543.388204988427</v>
      </c>
      <c r="B98" s="112" t="s">
        <v>921</v>
      </c>
      <c r="C98" s="112" t="s">
        <v>922</v>
      </c>
      <c r="D98" s="112" t="s">
        <v>923</v>
      </c>
      <c r="E98" s="232" t="s">
        <v>924</v>
      </c>
      <c r="F98" s="112" t="s">
        <v>499</v>
      </c>
      <c r="G98" s="112">
        <v>97459954</v>
      </c>
      <c r="H98" s="114"/>
      <c r="I98" s="114"/>
      <c r="J98" s="112" t="s">
        <v>500</v>
      </c>
      <c r="K98" s="112"/>
      <c r="L98" s="113" t="s">
        <v>1479</v>
      </c>
      <c r="M98" s="221"/>
    </row>
    <row r="99" spans="1:13" ht="15" customHeight="1">
      <c r="A99" s="111">
        <v>44543.769814814812</v>
      </c>
      <c r="B99" s="112" t="s">
        <v>925</v>
      </c>
      <c r="C99" s="112" t="s">
        <v>926</v>
      </c>
      <c r="D99" s="112" t="s">
        <v>927</v>
      </c>
      <c r="E99" s="232" t="s">
        <v>928</v>
      </c>
      <c r="F99" s="112" t="s">
        <v>661</v>
      </c>
      <c r="G99" s="112">
        <v>96750597</v>
      </c>
      <c r="H99" s="114"/>
      <c r="I99" s="114"/>
      <c r="J99" s="112" t="s">
        <v>929</v>
      </c>
      <c r="K99" s="112" t="s">
        <v>930</v>
      </c>
      <c r="L99" s="215" t="s">
        <v>1479</v>
      </c>
      <c r="M99" s="221"/>
    </row>
    <row r="100" spans="1:13" ht="15" customHeight="1">
      <c r="A100" s="111">
        <v>44550.772604166668</v>
      </c>
      <c r="B100" s="112" t="s">
        <v>931</v>
      </c>
      <c r="C100" s="112" t="s">
        <v>932</v>
      </c>
      <c r="D100" s="112" t="s">
        <v>933</v>
      </c>
      <c r="E100" s="232" t="s">
        <v>934</v>
      </c>
      <c r="F100" s="112" t="s">
        <v>935</v>
      </c>
      <c r="G100" s="112">
        <v>96789636</v>
      </c>
      <c r="H100" s="114"/>
      <c r="I100" s="114"/>
      <c r="J100" s="112" t="s">
        <v>936</v>
      </c>
      <c r="K100" s="112"/>
      <c r="L100" s="113" t="s">
        <v>1479</v>
      </c>
      <c r="M100" s="221"/>
    </row>
    <row r="101" spans="1:13" ht="15" customHeight="1">
      <c r="A101" s="111">
        <v>44906.782071759262</v>
      </c>
      <c r="B101" s="112" t="s">
        <v>937</v>
      </c>
      <c r="C101" s="112" t="s">
        <v>938</v>
      </c>
      <c r="D101" s="112" t="s">
        <v>721</v>
      </c>
      <c r="E101" s="232" t="s">
        <v>939</v>
      </c>
      <c r="F101" s="112" t="s">
        <v>661</v>
      </c>
      <c r="G101" s="112">
        <v>97021277</v>
      </c>
      <c r="H101" s="114"/>
      <c r="I101" s="114"/>
      <c r="J101" s="112" t="s">
        <v>500</v>
      </c>
      <c r="K101" s="112"/>
      <c r="L101" s="113" t="s">
        <v>1479</v>
      </c>
      <c r="M101" s="221"/>
    </row>
    <row r="102" spans="1:13" ht="15" customHeight="1">
      <c r="A102" s="111">
        <v>44917</v>
      </c>
      <c r="B102" s="112" t="s">
        <v>940</v>
      </c>
      <c r="C102" s="112" t="s">
        <v>941</v>
      </c>
      <c r="D102" s="112" t="s">
        <v>942</v>
      </c>
      <c r="E102" s="232" t="s">
        <v>943</v>
      </c>
      <c r="F102" s="112" t="s">
        <v>944</v>
      </c>
      <c r="G102" s="112">
        <v>62722367</v>
      </c>
      <c r="H102" s="114"/>
      <c r="I102" s="114"/>
      <c r="J102" s="112" t="s">
        <v>500</v>
      </c>
      <c r="K102" s="112"/>
      <c r="L102" s="113" t="s">
        <v>1479</v>
      </c>
      <c r="M102" s="221"/>
    </row>
    <row r="103" spans="1:13" ht="15" customHeight="1">
      <c r="A103" s="111">
        <v>44564.784513888888</v>
      </c>
      <c r="B103" s="112" t="s">
        <v>945</v>
      </c>
      <c r="C103" s="112" t="s">
        <v>946</v>
      </c>
      <c r="D103" s="112" t="s">
        <v>545</v>
      </c>
      <c r="E103" s="232" t="s">
        <v>947</v>
      </c>
      <c r="F103" s="112" t="s">
        <v>948</v>
      </c>
      <c r="G103" s="112">
        <v>94921000</v>
      </c>
      <c r="H103" s="114"/>
      <c r="I103" s="114"/>
      <c r="J103" s="112" t="s">
        <v>949</v>
      </c>
      <c r="K103" s="112" t="s">
        <v>1199</v>
      </c>
      <c r="L103" s="215" t="s">
        <v>1479</v>
      </c>
      <c r="M103" s="221"/>
    </row>
    <row r="104" spans="1:13" ht="15" customHeight="1">
      <c r="A104" s="111">
        <v>44566.785752314812</v>
      </c>
      <c r="B104" s="112" t="s">
        <v>950</v>
      </c>
      <c r="C104" s="112" t="s">
        <v>526</v>
      </c>
      <c r="D104" s="112" t="s">
        <v>951</v>
      </c>
      <c r="E104" s="232" t="s">
        <v>952</v>
      </c>
      <c r="F104" s="112" t="s">
        <v>562</v>
      </c>
      <c r="G104" s="112">
        <v>95966047</v>
      </c>
      <c r="H104" s="114"/>
      <c r="I104" s="114"/>
      <c r="J104" s="112" t="s">
        <v>702</v>
      </c>
      <c r="K104" s="112"/>
      <c r="L104" s="113" t="s">
        <v>1479</v>
      </c>
      <c r="M104" s="221"/>
    </row>
    <row r="105" spans="1:13" ht="15" customHeight="1">
      <c r="A105" s="111">
        <v>44573.787361111114</v>
      </c>
      <c r="B105" s="112" t="s">
        <v>953</v>
      </c>
      <c r="C105" s="112" t="s">
        <v>954</v>
      </c>
      <c r="D105" s="112" t="s">
        <v>955</v>
      </c>
      <c r="E105" s="232" t="s">
        <v>956</v>
      </c>
      <c r="F105" s="112" t="s">
        <v>661</v>
      </c>
      <c r="G105" s="112">
        <v>95181918</v>
      </c>
      <c r="H105" s="114"/>
      <c r="I105" s="114"/>
      <c r="J105" s="112" t="s">
        <v>825</v>
      </c>
      <c r="K105" s="112"/>
      <c r="L105" s="113" t="s">
        <v>1479</v>
      </c>
      <c r="M105" s="221"/>
    </row>
    <row r="106" spans="1:13" ht="15" customHeight="1">
      <c r="A106" s="111">
        <v>44568.788451863424</v>
      </c>
      <c r="B106" s="112" t="s">
        <v>957</v>
      </c>
      <c r="C106" s="112" t="s">
        <v>958</v>
      </c>
      <c r="D106" s="112" t="s">
        <v>959</v>
      </c>
      <c r="E106" s="232" t="s">
        <v>944</v>
      </c>
      <c r="F106" s="112" t="s">
        <v>102</v>
      </c>
      <c r="G106" s="112">
        <v>97802026</v>
      </c>
      <c r="H106" s="114"/>
      <c r="I106" s="114"/>
      <c r="J106" s="112" t="s">
        <v>500</v>
      </c>
      <c r="K106" s="112"/>
      <c r="L106" s="113" t="s">
        <v>1479</v>
      </c>
      <c r="M106" s="221"/>
    </row>
    <row r="107" spans="1:13" ht="15" customHeight="1">
      <c r="A107" s="111">
        <v>44576</v>
      </c>
      <c r="B107" s="112" t="s">
        <v>960</v>
      </c>
      <c r="C107" s="112" t="s">
        <v>961</v>
      </c>
      <c r="D107" s="112" t="s">
        <v>962</v>
      </c>
      <c r="E107" s="232" t="s">
        <v>963</v>
      </c>
      <c r="F107" s="112" t="s">
        <v>661</v>
      </c>
      <c r="G107" s="117">
        <v>62332858</v>
      </c>
      <c r="H107" s="114"/>
      <c r="I107" s="114"/>
      <c r="J107" s="112" t="s">
        <v>686</v>
      </c>
      <c r="K107" s="112"/>
      <c r="L107" s="113" t="s">
        <v>1479</v>
      </c>
      <c r="M107" s="221"/>
    </row>
    <row r="108" spans="1:13" ht="15" customHeight="1">
      <c r="A108" s="111">
        <v>44583</v>
      </c>
      <c r="B108" s="112" t="s">
        <v>964</v>
      </c>
      <c r="C108" s="112" t="s">
        <v>965</v>
      </c>
      <c r="D108" s="112" t="s">
        <v>966</v>
      </c>
      <c r="E108" s="232" t="s">
        <v>967</v>
      </c>
      <c r="F108" s="112" t="s">
        <v>102</v>
      </c>
      <c r="G108" s="117">
        <v>96509933</v>
      </c>
      <c r="H108" s="114"/>
      <c r="I108" s="114"/>
      <c r="J108" s="112" t="s">
        <v>707</v>
      </c>
      <c r="K108" s="112"/>
      <c r="L108" s="113" t="s">
        <v>1479</v>
      </c>
      <c r="M108" s="221"/>
    </row>
    <row r="109" spans="1:13" ht="15" customHeight="1">
      <c r="A109" s="111">
        <v>44590</v>
      </c>
      <c r="B109" s="112" t="s">
        <v>968</v>
      </c>
      <c r="C109" s="112" t="s">
        <v>969</v>
      </c>
      <c r="D109" s="112" t="s">
        <v>970</v>
      </c>
      <c r="E109" s="232" t="s">
        <v>971</v>
      </c>
      <c r="F109" s="112" t="s">
        <v>102</v>
      </c>
      <c r="G109" s="112"/>
      <c r="H109" s="114"/>
      <c r="I109" s="114"/>
      <c r="J109" s="112" t="s">
        <v>500</v>
      </c>
      <c r="K109" s="112"/>
      <c r="L109" s="215" t="s">
        <v>1738</v>
      </c>
      <c r="M109" s="221"/>
    </row>
    <row r="110" spans="1:13" ht="15" customHeight="1">
      <c r="A110" s="111">
        <v>44594</v>
      </c>
      <c r="B110" s="114" t="s">
        <v>972</v>
      </c>
      <c r="C110" s="114" t="s">
        <v>973</v>
      </c>
      <c r="D110" s="114" t="s">
        <v>974</v>
      </c>
      <c r="E110" s="232" t="s">
        <v>975</v>
      </c>
      <c r="F110" s="114" t="s">
        <v>102</v>
      </c>
      <c r="G110" s="114">
        <v>96185010</v>
      </c>
      <c r="H110" s="114"/>
      <c r="I110" s="114"/>
      <c r="J110" s="114" t="s">
        <v>500</v>
      </c>
      <c r="K110" s="114"/>
      <c r="L110" s="113" t="s">
        <v>1479</v>
      </c>
      <c r="M110" s="221"/>
    </row>
    <row r="111" spans="1:13" ht="15" customHeight="1">
      <c r="A111" s="111">
        <v>44591</v>
      </c>
      <c r="B111" s="114" t="s">
        <v>976</v>
      </c>
      <c r="C111" s="114" t="s">
        <v>521</v>
      </c>
      <c r="D111" s="114" t="s">
        <v>977</v>
      </c>
      <c r="E111" s="232" t="s">
        <v>978</v>
      </c>
      <c r="F111" s="114" t="s">
        <v>562</v>
      </c>
      <c r="G111" s="114">
        <v>97133831</v>
      </c>
      <c r="H111" s="114"/>
      <c r="I111" s="114"/>
      <c r="J111" s="114" t="s">
        <v>618</v>
      </c>
      <c r="K111" s="114"/>
      <c r="L111" s="113" t="s">
        <v>1479</v>
      </c>
      <c r="M111" s="221"/>
    </row>
    <row r="112" spans="1:13" ht="15" customHeight="1">
      <c r="A112" s="111">
        <v>44594</v>
      </c>
      <c r="B112" s="114" t="s">
        <v>979</v>
      </c>
      <c r="C112" s="114" t="s">
        <v>980</v>
      </c>
      <c r="D112" s="114" t="s">
        <v>981</v>
      </c>
      <c r="E112" s="232" t="s">
        <v>982</v>
      </c>
      <c r="F112" s="114" t="s">
        <v>102</v>
      </c>
      <c r="G112" s="114">
        <v>56055666</v>
      </c>
      <c r="H112" s="114"/>
      <c r="I112" s="114"/>
      <c r="J112" s="114" t="s">
        <v>500</v>
      </c>
      <c r="K112" s="114"/>
      <c r="L112" s="113" t="s">
        <v>1479</v>
      </c>
      <c r="M112" s="221"/>
    </row>
    <row r="113" spans="1:13" ht="15" customHeight="1">
      <c r="A113" s="111">
        <v>44597</v>
      </c>
      <c r="B113" s="114" t="s">
        <v>983</v>
      </c>
      <c r="C113" s="114" t="s">
        <v>984</v>
      </c>
      <c r="D113" s="114" t="s">
        <v>985</v>
      </c>
      <c r="E113" s="232" t="s">
        <v>986</v>
      </c>
      <c r="F113" s="114" t="s">
        <v>987</v>
      </c>
      <c r="G113" s="114">
        <v>66934243</v>
      </c>
      <c r="H113" s="114"/>
      <c r="I113" s="114"/>
      <c r="J113" s="114" t="s">
        <v>500</v>
      </c>
      <c r="K113" s="114"/>
      <c r="L113" s="215" t="s">
        <v>1738</v>
      </c>
      <c r="M113" s="221"/>
    </row>
    <row r="114" spans="1:13" ht="15" customHeight="1">
      <c r="A114" s="111">
        <v>44600</v>
      </c>
      <c r="B114" s="114" t="s">
        <v>988</v>
      </c>
      <c r="C114" s="114" t="s">
        <v>989</v>
      </c>
      <c r="D114" s="114" t="s">
        <v>700</v>
      </c>
      <c r="E114" s="232" t="s">
        <v>990</v>
      </c>
      <c r="F114" s="114" t="s">
        <v>661</v>
      </c>
      <c r="G114" s="114">
        <v>96550585</v>
      </c>
      <c r="H114" s="114"/>
      <c r="I114" s="114"/>
      <c r="J114" s="114" t="s">
        <v>825</v>
      </c>
      <c r="K114" s="114"/>
      <c r="L114" s="113" t="s">
        <v>1479</v>
      </c>
      <c r="M114" s="221"/>
    </row>
    <row r="115" spans="1:13" ht="15" customHeight="1">
      <c r="A115" s="111">
        <v>44601</v>
      </c>
      <c r="B115" s="114" t="s">
        <v>991</v>
      </c>
      <c r="C115" s="114" t="s">
        <v>992</v>
      </c>
      <c r="D115" s="114" t="s">
        <v>993</v>
      </c>
      <c r="E115" s="232" t="s">
        <v>994</v>
      </c>
      <c r="F115" s="114" t="s">
        <v>661</v>
      </c>
      <c r="G115" s="114">
        <v>66654213</v>
      </c>
      <c r="H115" s="114"/>
      <c r="I115" s="114"/>
      <c r="J115" s="114" t="s">
        <v>936</v>
      </c>
      <c r="K115" s="114"/>
      <c r="L115" s="113" t="s">
        <v>1479</v>
      </c>
      <c r="M115" s="221"/>
    </row>
    <row r="116" spans="1:13" ht="15" customHeight="1">
      <c r="A116" s="111">
        <v>44579</v>
      </c>
      <c r="B116" s="114" t="s">
        <v>995</v>
      </c>
      <c r="C116" s="114" t="s">
        <v>589</v>
      </c>
      <c r="D116" s="114" t="s">
        <v>996</v>
      </c>
      <c r="E116" s="232" t="s">
        <v>997</v>
      </c>
      <c r="F116" s="114" t="s">
        <v>915</v>
      </c>
      <c r="G116" s="114">
        <v>64301300</v>
      </c>
      <c r="H116" s="114"/>
      <c r="I116" s="114"/>
      <c r="J116" s="114" t="s">
        <v>651</v>
      </c>
      <c r="K116" s="114"/>
      <c r="L116" s="113" t="s">
        <v>1479</v>
      </c>
      <c r="M116" s="221"/>
    </row>
    <row r="117" spans="1:13" ht="15" customHeight="1">
      <c r="A117" s="111">
        <v>44610</v>
      </c>
      <c r="B117" s="114" t="s">
        <v>998</v>
      </c>
      <c r="C117" s="114" t="s">
        <v>999</v>
      </c>
      <c r="D117" s="114" t="s">
        <v>1000</v>
      </c>
      <c r="E117" s="232" t="str">
        <f t="shared" ref="E117:E180" si="0">CONCATENATE(C117," ",D117)</f>
        <v>MAMA KADIR</v>
      </c>
      <c r="F117" s="114" t="s">
        <v>102</v>
      </c>
      <c r="G117" s="114">
        <v>95154000</v>
      </c>
      <c r="H117" s="114"/>
      <c r="I117" s="114"/>
      <c r="J117" s="114" t="s">
        <v>500</v>
      </c>
      <c r="K117" s="114"/>
      <c r="L117" s="113" t="s">
        <v>1479</v>
      </c>
      <c r="M117" s="221"/>
    </row>
    <row r="118" spans="1:13" ht="15" customHeight="1">
      <c r="A118" s="111">
        <v>44617</v>
      </c>
      <c r="B118" s="114" t="s">
        <v>1001</v>
      </c>
      <c r="C118" s="114" t="s">
        <v>697</v>
      </c>
      <c r="D118" s="114" t="s">
        <v>1002</v>
      </c>
      <c r="E118" s="232" t="str">
        <f t="shared" si="0"/>
        <v>MADAME TANIA</v>
      </c>
      <c r="F118" s="114" t="s">
        <v>524</v>
      </c>
      <c r="G118" s="114"/>
      <c r="H118" s="114"/>
      <c r="I118" s="114"/>
      <c r="J118" s="114" t="s">
        <v>1003</v>
      </c>
      <c r="K118" s="114"/>
      <c r="L118" s="113" t="s">
        <v>1479</v>
      </c>
      <c r="M118" s="221"/>
    </row>
    <row r="119" spans="1:13" ht="15" customHeight="1">
      <c r="A119" s="111">
        <v>44618</v>
      </c>
      <c r="B119" s="114" t="s">
        <v>1004</v>
      </c>
      <c r="C119" s="114" t="s">
        <v>1005</v>
      </c>
      <c r="D119" s="114" t="s">
        <v>1006</v>
      </c>
      <c r="E119" s="232" t="str">
        <f t="shared" si="0"/>
        <v>MIGAN EMMANUELLE</v>
      </c>
      <c r="F119" s="114" t="s">
        <v>504</v>
      </c>
      <c r="G119" s="114">
        <v>97977309</v>
      </c>
      <c r="H119" s="114"/>
      <c r="I119" s="114"/>
      <c r="J119" s="114" t="s">
        <v>1007</v>
      </c>
      <c r="K119" s="114"/>
      <c r="L119" s="113" t="s">
        <v>1479</v>
      </c>
      <c r="M119" s="221"/>
    </row>
    <row r="120" spans="1:13" ht="15" customHeight="1">
      <c r="A120" s="111">
        <v>44620</v>
      </c>
      <c r="B120" s="114" t="s">
        <v>1008</v>
      </c>
      <c r="C120" s="114" t="s">
        <v>1009</v>
      </c>
      <c r="D120" s="114" t="s">
        <v>1010</v>
      </c>
      <c r="E120" s="232" t="str">
        <f t="shared" si="0"/>
        <v>AGBANI ANSEL</v>
      </c>
      <c r="F120" s="114" t="s">
        <v>944</v>
      </c>
      <c r="G120" s="114"/>
      <c r="H120" s="114"/>
      <c r="I120" s="114"/>
      <c r="J120" s="114" t="s">
        <v>1011</v>
      </c>
      <c r="K120" s="114"/>
      <c r="L120" s="113" t="s">
        <v>1479</v>
      </c>
      <c r="M120" s="221"/>
    </row>
    <row r="121" spans="1:13" ht="15" customHeight="1">
      <c r="A121" s="111">
        <v>44620</v>
      </c>
      <c r="B121" s="114" t="s">
        <v>1012</v>
      </c>
      <c r="C121" s="114" t="s">
        <v>1013</v>
      </c>
      <c r="D121" s="114" t="s">
        <v>1014</v>
      </c>
      <c r="E121" s="232" t="str">
        <f t="shared" si="0"/>
        <v>ALLADATIN CHANTALE</v>
      </c>
      <c r="F121" s="114" t="s">
        <v>504</v>
      </c>
      <c r="G121" s="114"/>
      <c r="H121" s="114"/>
      <c r="I121" s="114"/>
      <c r="J121" s="114" t="s">
        <v>488</v>
      </c>
      <c r="K121" s="114"/>
      <c r="L121" s="215" t="s">
        <v>1738</v>
      </c>
      <c r="M121" s="221"/>
    </row>
    <row r="122" spans="1:13" ht="15" customHeight="1">
      <c r="A122" s="111">
        <v>44622</v>
      </c>
      <c r="B122" s="114" t="s">
        <v>1015</v>
      </c>
      <c r="C122" s="114"/>
      <c r="D122" s="114" t="s">
        <v>1016</v>
      </c>
      <c r="E122" s="232" t="str">
        <f t="shared" si="0"/>
        <v xml:space="preserve"> STEEV</v>
      </c>
      <c r="F122" s="114" t="s">
        <v>1017</v>
      </c>
      <c r="G122" s="114"/>
      <c r="H122" s="114"/>
      <c r="I122" s="114"/>
      <c r="J122" s="114" t="s">
        <v>1018</v>
      </c>
      <c r="K122" s="114"/>
      <c r="L122" s="113" t="s">
        <v>1479</v>
      </c>
      <c r="M122" s="221"/>
    </row>
    <row r="123" spans="1:13" ht="15" customHeight="1">
      <c r="A123" s="111">
        <v>44624</v>
      </c>
      <c r="B123" s="114" t="s">
        <v>1019</v>
      </c>
      <c r="C123" s="114" t="s">
        <v>1020</v>
      </c>
      <c r="D123" s="114" t="s">
        <v>1021</v>
      </c>
      <c r="E123" s="232" t="str">
        <f t="shared" si="0"/>
        <v>ADAM RACHIDI</v>
      </c>
      <c r="F123" s="114" t="s">
        <v>102</v>
      </c>
      <c r="G123" s="114">
        <v>94656412</v>
      </c>
      <c r="H123" s="114"/>
      <c r="I123" s="114"/>
      <c r="J123" s="114"/>
      <c r="K123" s="114"/>
      <c r="L123" s="113" t="s">
        <v>1479</v>
      </c>
      <c r="M123" s="221"/>
    </row>
    <row r="124" spans="1:13" ht="15" customHeight="1">
      <c r="A124" s="111">
        <v>44635</v>
      </c>
      <c r="B124" s="114" t="s">
        <v>1022</v>
      </c>
      <c r="C124" s="114" t="s">
        <v>822</v>
      </c>
      <c r="D124" s="114" t="s">
        <v>1023</v>
      </c>
      <c r="E124" s="232" t="str">
        <f t="shared" si="0"/>
        <v>HOUETO FRANCIS</v>
      </c>
      <c r="F124" s="114" t="s">
        <v>562</v>
      </c>
      <c r="G124" s="114">
        <v>97970764</v>
      </c>
      <c r="H124" s="114"/>
      <c r="I124" s="114"/>
      <c r="J124" s="114" t="s">
        <v>638</v>
      </c>
      <c r="K124" s="114"/>
      <c r="L124" s="113" t="s">
        <v>1479</v>
      </c>
      <c r="M124" s="221"/>
    </row>
    <row r="125" spans="1:13" ht="15" customHeight="1">
      <c r="A125" s="111">
        <v>44642</v>
      </c>
      <c r="B125" s="114" t="s">
        <v>1024</v>
      </c>
      <c r="C125" s="114" t="s">
        <v>1025</v>
      </c>
      <c r="D125" s="114" t="s">
        <v>1026</v>
      </c>
      <c r="E125" s="232" t="str">
        <f t="shared" si="0"/>
        <v>ADEGBINDIN YESIROU</v>
      </c>
      <c r="F125" s="114" t="s">
        <v>661</v>
      </c>
      <c r="G125" s="114">
        <v>52820068</v>
      </c>
      <c r="H125" s="114"/>
      <c r="I125" s="114"/>
      <c r="J125" s="114" t="s">
        <v>702</v>
      </c>
      <c r="K125" s="114" t="s">
        <v>753</v>
      </c>
      <c r="L125" s="215" t="s">
        <v>1738</v>
      </c>
      <c r="M125" s="221"/>
    </row>
    <row r="126" spans="1:13" ht="15" customHeight="1">
      <c r="A126" s="111">
        <v>44645</v>
      </c>
      <c r="B126" s="114" t="s">
        <v>1027</v>
      </c>
      <c r="C126" s="114" t="s">
        <v>984</v>
      </c>
      <c r="D126" s="114" t="s">
        <v>1028</v>
      </c>
      <c r="E126" s="232" t="str">
        <f t="shared" si="0"/>
        <v>Mme LUCRECE</v>
      </c>
      <c r="F126" s="114" t="s">
        <v>1029</v>
      </c>
      <c r="G126" s="114">
        <v>66645357</v>
      </c>
      <c r="H126" s="114"/>
      <c r="I126" s="114"/>
      <c r="J126" s="114" t="s">
        <v>500</v>
      </c>
      <c r="K126" s="114"/>
      <c r="L126" s="113" t="s">
        <v>1479</v>
      </c>
      <c r="M126" s="221"/>
    </row>
    <row r="127" spans="1:13" ht="15" customHeight="1">
      <c r="A127" s="111">
        <v>44650</v>
      </c>
      <c r="B127" s="114" t="s">
        <v>1030</v>
      </c>
      <c r="C127" s="114" t="s">
        <v>1031</v>
      </c>
      <c r="D127" s="114" t="s">
        <v>1032</v>
      </c>
      <c r="E127" s="232" t="str">
        <f t="shared" si="0"/>
        <v>KINDOMETO CLEMENT</v>
      </c>
      <c r="F127" s="114"/>
      <c r="G127" s="114">
        <v>67482442</v>
      </c>
      <c r="H127" s="114"/>
      <c r="I127" s="114"/>
      <c r="J127" s="114" t="s">
        <v>702</v>
      </c>
      <c r="K127" s="114"/>
      <c r="L127" s="113" t="s">
        <v>1479</v>
      </c>
      <c r="M127" s="221"/>
    </row>
    <row r="128" spans="1:13" ht="15" customHeight="1">
      <c r="A128" s="111">
        <v>44652</v>
      </c>
      <c r="B128" s="114" t="s">
        <v>1033</v>
      </c>
      <c r="C128" s="114" t="s">
        <v>1034</v>
      </c>
      <c r="D128" s="114" t="s">
        <v>1020</v>
      </c>
      <c r="E128" s="232" t="str">
        <f t="shared" si="0"/>
        <v>CHABI BOUKO ADAM</v>
      </c>
      <c r="F128" s="114" t="s">
        <v>1035</v>
      </c>
      <c r="G128" s="114"/>
      <c r="H128" s="114"/>
      <c r="I128" s="114"/>
      <c r="J128" s="114" t="s">
        <v>500</v>
      </c>
      <c r="K128" s="114"/>
      <c r="L128" s="113" t="s">
        <v>1479</v>
      </c>
      <c r="M128" s="221"/>
    </row>
    <row r="129" spans="1:13" ht="15" customHeight="1">
      <c r="A129" s="111">
        <v>44659</v>
      </c>
      <c r="B129" s="114" t="s">
        <v>1036</v>
      </c>
      <c r="C129" s="114" t="s">
        <v>1037</v>
      </c>
      <c r="D129" s="114" t="s">
        <v>1038</v>
      </c>
      <c r="E129" s="232" t="str">
        <f t="shared" si="0"/>
        <v>AHOUANSOU GLORIA</v>
      </c>
      <c r="F129" s="114" t="s">
        <v>661</v>
      </c>
      <c r="G129" s="114">
        <v>61750327</v>
      </c>
      <c r="H129" s="114"/>
      <c r="I129" s="114"/>
      <c r="J129" s="114" t="s">
        <v>825</v>
      </c>
      <c r="K129" s="114"/>
      <c r="L129" s="113" t="s">
        <v>1479</v>
      </c>
      <c r="M129" s="221"/>
    </row>
    <row r="130" spans="1:13" ht="15" customHeight="1">
      <c r="A130" s="111">
        <v>44659</v>
      </c>
      <c r="B130" s="114" t="s">
        <v>1039</v>
      </c>
      <c r="C130" s="114" t="s">
        <v>1040</v>
      </c>
      <c r="D130" s="114" t="s">
        <v>1041</v>
      </c>
      <c r="E130" s="232" t="str">
        <f t="shared" si="0"/>
        <v>AGBEDE  EDITH</v>
      </c>
      <c r="F130" s="114" t="s">
        <v>1029</v>
      </c>
      <c r="G130" s="114"/>
      <c r="H130" s="114"/>
      <c r="I130" s="114"/>
      <c r="J130" s="114" t="s">
        <v>849</v>
      </c>
      <c r="K130" s="114"/>
      <c r="L130" s="113" t="s">
        <v>1479</v>
      </c>
      <c r="M130" s="221"/>
    </row>
    <row r="131" spans="1:13" ht="15" customHeight="1">
      <c r="A131" s="111">
        <v>44659</v>
      </c>
      <c r="B131" s="114" t="s">
        <v>1042</v>
      </c>
      <c r="C131" s="114" t="s">
        <v>710</v>
      </c>
      <c r="D131" s="114" t="s">
        <v>1043</v>
      </c>
      <c r="E131" s="232" t="str">
        <f t="shared" si="0"/>
        <v>AMEGNIKOU MYLENE</v>
      </c>
      <c r="F131" s="114" t="s">
        <v>1029</v>
      </c>
      <c r="G131" s="114"/>
      <c r="H131" s="114"/>
      <c r="I131" s="114"/>
      <c r="J131" s="114" t="s">
        <v>1044</v>
      </c>
      <c r="K131" s="114"/>
      <c r="L131" s="113" t="s">
        <v>1479</v>
      </c>
      <c r="M131" s="221"/>
    </row>
    <row r="132" spans="1:13" ht="15" customHeight="1">
      <c r="A132" s="111">
        <v>44660</v>
      </c>
      <c r="B132" s="114" t="s">
        <v>1045</v>
      </c>
      <c r="C132" s="114" t="s">
        <v>1046</v>
      </c>
      <c r="D132" s="114" t="s">
        <v>1047</v>
      </c>
      <c r="E132" s="232" t="str">
        <f t="shared" si="0"/>
        <v>GLOBE  TROTTER</v>
      </c>
      <c r="F132" s="114" t="s">
        <v>1029</v>
      </c>
      <c r="G132" s="114"/>
      <c r="H132" s="114"/>
      <c r="I132" s="114"/>
      <c r="J132" s="114" t="s">
        <v>1048</v>
      </c>
      <c r="K132" s="114" t="s">
        <v>1049</v>
      </c>
      <c r="L132" s="215" t="s">
        <v>1738</v>
      </c>
      <c r="M132" s="221"/>
    </row>
    <row r="133" spans="1:13" ht="15" customHeight="1">
      <c r="A133" s="111">
        <v>44664</v>
      </c>
      <c r="B133" s="114" t="s">
        <v>1050</v>
      </c>
      <c r="C133" s="114" t="s">
        <v>1051</v>
      </c>
      <c r="D133" s="114" t="s">
        <v>1052</v>
      </c>
      <c r="E133" s="232" t="str">
        <f t="shared" si="0"/>
        <v>BAGUIDI ARMELLE</v>
      </c>
      <c r="F133" s="114" t="s">
        <v>1053</v>
      </c>
      <c r="G133" s="114"/>
      <c r="H133" s="114"/>
      <c r="I133" s="114"/>
      <c r="J133" s="114" t="s">
        <v>825</v>
      </c>
      <c r="K133" s="114"/>
      <c r="L133" s="215" t="s">
        <v>1738</v>
      </c>
      <c r="M133" s="221"/>
    </row>
    <row r="134" spans="1:13" ht="15" customHeight="1">
      <c r="A134" s="111">
        <v>44664</v>
      </c>
      <c r="B134" s="114" t="s">
        <v>1054</v>
      </c>
      <c r="C134" s="114" t="s">
        <v>1055</v>
      </c>
      <c r="D134" s="114" t="s">
        <v>1056</v>
      </c>
      <c r="E134" s="232" t="str">
        <f t="shared" si="0"/>
        <v>MONSIEUR PRINCE</v>
      </c>
      <c r="F134" s="114" t="s">
        <v>1029</v>
      </c>
      <c r="G134" s="114"/>
      <c r="H134" s="114"/>
      <c r="I134" s="114"/>
      <c r="J134" s="114" t="s">
        <v>1057</v>
      </c>
      <c r="K134" s="114"/>
      <c r="L134" s="113" t="s">
        <v>1479</v>
      </c>
      <c r="M134" s="221"/>
    </row>
    <row r="135" spans="1:13" ht="15" customHeight="1">
      <c r="A135" s="111">
        <v>44666</v>
      </c>
      <c r="B135" s="114" t="s">
        <v>1058</v>
      </c>
      <c r="C135" s="114" t="s">
        <v>1059</v>
      </c>
      <c r="D135" s="114" t="s">
        <v>1060</v>
      </c>
      <c r="E135" s="232" t="str">
        <f t="shared" si="0"/>
        <v>Madame  HOUINATO</v>
      </c>
      <c r="F135" s="114" t="s">
        <v>1029</v>
      </c>
      <c r="G135" s="114"/>
      <c r="H135" s="114"/>
      <c r="I135" s="114"/>
      <c r="J135" s="114" t="s">
        <v>811</v>
      </c>
      <c r="K135" s="114"/>
      <c r="L135" s="113" t="s">
        <v>1479</v>
      </c>
      <c r="M135" s="221"/>
    </row>
    <row r="136" spans="1:13" ht="15" customHeight="1">
      <c r="A136" s="111">
        <v>44670</v>
      </c>
      <c r="B136" s="114" t="s">
        <v>1061</v>
      </c>
      <c r="C136" s="114" t="s">
        <v>1062</v>
      </c>
      <c r="D136" s="114" t="s">
        <v>597</v>
      </c>
      <c r="E136" s="232" t="str">
        <f t="shared" si="0"/>
        <v>NDIFON SAMUEL</v>
      </c>
      <c r="F136" s="114" t="s">
        <v>102</v>
      </c>
      <c r="G136" s="114"/>
      <c r="H136" s="114"/>
      <c r="I136" s="114"/>
      <c r="J136" s="114" t="s">
        <v>500</v>
      </c>
      <c r="K136" s="114"/>
      <c r="L136" s="113" t="s">
        <v>1479</v>
      </c>
      <c r="M136" s="221"/>
    </row>
    <row r="137" spans="1:13" ht="15" customHeight="1">
      <c r="A137" s="111">
        <v>44672</v>
      </c>
      <c r="B137" s="114" t="s">
        <v>1063</v>
      </c>
      <c r="C137" s="114" t="s">
        <v>1064</v>
      </c>
      <c r="D137" s="114" t="s">
        <v>1065</v>
      </c>
      <c r="E137" s="232" t="str">
        <f t="shared" si="0"/>
        <v>LEKOTAN GABILAS</v>
      </c>
      <c r="F137" s="114" t="s">
        <v>1029</v>
      </c>
      <c r="G137" s="114"/>
      <c r="H137" s="114"/>
      <c r="I137" s="114"/>
      <c r="J137" s="114" t="s">
        <v>1066</v>
      </c>
      <c r="K137" s="114" t="s">
        <v>859</v>
      </c>
      <c r="L137" s="113" t="s">
        <v>1479</v>
      </c>
      <c r="M137" s="221"/>
    </row>
    <row r="138" spans="1:13" ht="15" customHeight="1">
      <c r="A138" s="111">
        <v>44678</v>
      </c>
      <c r="B138" s="114" t="s">
        <v>1067</v>
      </c>
      <c r="C138" s="114" t="s">
        <v>1068</v>
      </c>
      <c r="D138" s="114" t="s">
        <v>1069</v>
      </c>
      <c r="E138" s="232" t="str">
        <f t="shared" si="0"/>
        <v>FATON MAILYS</v>
      </c>
      <c r="F138" s="114" t="s">
        <v>1029</v>
      </c>
      <c r="G138" s="114">
        <v>97480960</v>
      </c>
      <c r="H138" s="114"/>
      <c r="I138" s="114"/>
      <c r="J138" s="114" t="s">
        <v>849</v>
      </c>
      <c r="K138" s="114"/>
      <c r="L138" s="113" t="s">
        <v>1479</v>
      </c>
      <c r="M138" s="221"/>
    </row>
    <row r="139" spans="1:13" ht="15" customHeight="1">
      <c r="A139" s="111">
        <v>44697</v>
      </c>
      <c r="B139" s="114" t="s">
        <v>1070</v>
      </c>
      <c r="C139" s="114" t="s">
        <v>1071</v>
      </c>
      <c r="D139" s="114" t="s">
        <v>1072</v>
      </c>
      <c r="E139" s="232" t="str">
        <f t="shared" si="0"/>
        <v>DJAGBASSOU  MICHEL</v>
      </c>
      <c r="F139" s="114" t="s">
        <v>102</v>
      </c>
      <c r="G139" s="114">
        <v>96178054</v>
      </c>
      <c r="H139" s="114"/>
      <c r="I139" s="114"/>
      <c r="J139" s="114" t="s">
        <v>1073</v>
      </c>
      <c r="K139" s="114"/>
      <c r="L139" s="113" t="s">
        <v>1479</v>
      </c>
      <c r="M139" s="221"/>
    </row>
    <row r="140" spans="1:13" ht="15" customHeight="1">
      <c r="A140" s="111">
        <v>44684</v>
      </c>
      <c r="B140" s="114" t="s">
        <v>1074</v>
      </c>
      <c r="C140" s="114" t="s">
        <v>1075</v>
      </c>
      <c r="D140" s="114" t="s">
        <v>1076</v>
      </c>
      <c r="E140" s="232" t="str">
        <f t="shared" si="0"/>
        <v>KLAO CHRISTELLE</v>
      </c>
      <c r="F140" s="114" t="s">
        <v>1029</v>
      </c>
      <c r="G140" s="114">
        <v>97976211</v>
      </c>
      <c r="H140" s="114"/>
      <c r="I140" s="114"/>
      <c r="J140" s="114" t="s">
        <v>864</v>
      </c>
      <c r="K140" s="114"/>
      <c r="L140" s="113" t="s">
        <v>1479</v>
      </c>
      <c r="M140" s="221"/>
    </row>
    <row r="141" spans="1:13" ht="15" customHeight="1">
      <c r="A141" s="111">
        <v>44688</v>
      </c>
      <c r="B141" s="114" t="s">
        <v>1077</v>
      </c>
      <c r="C141" s="114" t="s">
        <v>1078</v>
      </c>
      <c r="D141" s="114" t="s">
        <v>1079</v>
      </c>
      <c r="E141" s="232" t="str">
        <f t="shared" si="0"/>
        <v>DJORO EDWIGE</v>
      </c>
      <c r="F141" s="114" t="s">
        <v>1029</v>
      </c>
      <c r="G141" s="114">
        <v>96357253</v>
      </c>
      <c r="H141" s="114"/>
      <c r="I141" s="114"/>
      <c r="J141" s="114" t="s">
        <v>811</v>
      </c>
      <c r="K141" s="114"/>
      <c r="L141" s="113" t="s">
        <v>1479</v>
      </c>
      <c r="M141" s="221"/>
    </row>
    <row r="142" spans="1:13" ht="15" customHeight="1">
      <c r="A142" s="111">
        <v>44688</v>
      </c>
      <c r="B142" s="114" t="s">
        <v>1080</v>
      </c>
      <c r="C142" s="114" t="s">
        <v>1081</v>
      </c>
      <c r="D142" s="114" t="s">
        <v>1082</v>
      </c>
      <c r="E142" s="232" t="str">
        <f t="shared" si="0"/>
        <v>HOUNKANLINKPE HERMIONNE</v>
      </c>
      <c r="F142" s="114" t="s">
        <v>1029</v>
      </c>
      <c r="G142" s="114">
        <v>97981266</v>
      </c>
      <c r="H142" s="114"/>
      <c r="I142" s="114"/>
      <c r="J142" s="114" t="s">
        <v>811</v>
      </c>
      <c r="K142" s="114"/>
      <c r="L142" s="113" t="s">
        <v>1479</v>
      </c>
      <c r="M142" s="221"/>
    </row>
    <row r="143" spans="1:13" ht="15" customHeight="1">
      <c r="A143" s="111">
        <v>44690</v>
      </c>
      <c r="B143" s="114" t="s">
        <v>1083</v>
      </c>
      <c r="C143" s="114" t="s">
        <v>1084</v>
      </c>
      <c r="D143" s="114" t="s">
        <v>512</v>
      </c>
      <c r="E143" s="232" t="str">
        <f t="shared" si="0"/>
        <v>ZINSOU BODE PIERRE</v>
      </c>
      <c r="F143" s="114" t="s">
        <v>102</v>
      </c>
      <c r="G143" s="114">
        <v>61469327</v>
      </c>
      <c r="H143" s="114"/>
      <c r="I143" s="114"/>
      <c r="J143" s="114" t="s">
        <v>1085</v>
      </c>
      <c r="K143" s="114"/>
      <c r="L143" s="113" t="s">
        <v>1479</v>
      </c>
      <c r="M143" s="221"/>
    </row>
    <row r="144" spans="1:13" ht="15" customHeight="1">
      <c r="A144" s="111">
        <v>44691</v>
      </c>
      <c r="B144" s="114" t="s">
        <v>1086</v>
      </c>
      <c r="C144" s="114" t="s">
        <v>550</v>
      </c>
      <c r="D144" s="114" t="s">
        <v>1087</v>
      </c>
      <c r="E144" s="232" t="str">
        <f t="shared" si="0"/>
        <v>AHOLIATIN LAURENT</v>
      </c>
      <c r="F144" s="114" t="s">
        <v>1029</v>
      </c>
      <c r="G144" s="114">
        <v>66696362</v>
      </c>
      <c r="H144" s="114"/>
      <c r="I144" s="114"/>
      <c r="J144" s="114" t="s">
        <v>563</v>
      </c>
      <c r="K144" s="114"/>
      <c r="L144" s="113" t="s">
        <v>1479</v>
      </c>
      <c r="M144" s="221"/>
    </row>
    <row r="145" spans="1:16" ht="15" customHeight="1">
      <c r="A145" s="111">
        <v>44692</v>
      </c>
      <c r="B145" s="114" t="s">
        <v>1088</v>
      </c>
      <c r="C145" s="114" t="s">
        <v>1089</v>
      </c>
      <c r="D145" s="114" t="s">
        <v>1090</v>
      </c>
      <c r="E145" s="232" t="str">
        <f t="shared" si="0"/>
        <v>OUINSOU FLORENTIN</v>
      </c>
      <c r="F145" s="114" t="s">
        <v>1029</v>
      </c>
      <c r="G145" s="114">
        <v>97979706</v>
      </c>
      <c r="H145" s="114"/>
      <c r="I145" s="114"/>
      <c r="J145" s="114" t="s">
        <v>1044</v>
      </c>
      <c r="K145" s="114" t="s">
        <v>1199</v>
      </c>
      <c r="L145" s="113" t="s">
        <v>1479</v>
      </c>
      <c r="M145" s="221"/>
    </row>
    <row r="146" spans="1:16" ht="15" customHeight="1">
      <c r="A146" s="111">
        <v>44694</v>
      </c>
      <c r="B146" s="114" t="s">
        <v>1091</v>
      </c>
      <c r="C146" s="114" t="s">
        <v>1092</v>
      </c>
      <c r="D146" s="114" t="s">
        <v>1093</v>
      </c>
      <c r="E146" s="232" t="str">
        <f t="shared" si="0"/>
        <v>ZOGO SOLANGE</v>
      </c>
      <c r="F146" s="114" t="s">
        <v>1029</v>
      </c>
      <c r="G146" s="114">
        <v>95996954</v>
      </c>
      <c r="H146" s="114"/>
      <c r="I146" s="114"/>
      <c r="J146" s="114" t="s">
        <v>811</v>
      </c>
      <c r="K146" s="114"/>
      <c r="L146" s="113" t="s">
        <v>1479</v>
      </c>
      <c r="M146" s="221"/>
    </row>
    <row r="147" spans="1:16" ht="15" customHeight="1">
      <c r="A147" s="111">
        <v>44695</v>
      </c>
      <c r="B147" s="114" t="s">
        <v>1094</v>
      </c>
      <c r="C147" s="114" t="s">
        <v>1095</v>
      </c>
      <c r="D147" s="114" t="s">
        <v>1096</v>
      </c>
      <c r="E147" s="232" t="str">
        <f t="shared" si="0"/>
        <v>DEFANTI OLGA</v>
      </c>
      <c r="F147" s="114" t="s">
        <v>102</v>
      </c>
      <c r="G147" s="114">
        <v>97986752</v>
      </c>
      <c r="H147" s="114"/>
      <c r="I147" s="114"/>
      <c r="J147" s="114" t="s">
        <v>1097</v>
      </c>
      <c r="K147" s="114"/>
      <c r="L147" s="113" t="s">
        <v>1479</v>
      </c>
      <c r="M147" s="221"/>
    </row>
    <row r="148" spans="1:16" ht="15" customHeight="1">
      <c r="A148" s="111">
        <v>44697</v>
      </c>
      <c r="B148" s="114" t="s">
        <v>1098</v>
      </c>
      <c r="C148" s="114" t="s">
        <v>1099</v>
      </c>
      <c r="D148" s="114" t="s">
        <v>1100</v>
      </c>
      <c r="E148" s="232" t="str">
        <f t="shared" si="0"/>
        <v>HANS LUCAS</v>
      </c>
      <c r="F148" s="114" t="s">
        <v>1029</v>
      </c>
      <c r="G148" s="114">
        <v>22509482447</v>
      </c>
      <c r="H148" s="114"/>
      <c r="I148" s="114"/>
      <c r="J148" s="114" t="s">
        <v>707</v>
      </c>
      <c r="K148" s="114"/>
      <c r="L148" s="113" t="s">
        <v>1479</v>
      </c>
      <c r="M148" s="221"/>
    </row>
    <row r="149" spans="1:16" ht="15" customHeight="1">
      <c r="A149" s="111">
        <v>44715</v>
      </c>
      <c r="B149" s="114" t="s">
        <v>1101</v>
      </c>
      <c r="C149" s="114" t="s">
        <v>1102</v>
      </c>
      <c r="D149" s="114" t="s">
        <v>1103</v>
      </c>
      <c r="E149" s="232" t="str">
        <f t="shared" si="0"/>
        <v>ADJIBI MOHAMED</v>
      </c>
      <c r="F149" s="114" t="s">
        <v>102</v>
      </c>
      <c r="G149" s="114">
        <v>97977069</v>
      </c>
      <c r="H149" s="114"/>
      <c r="I149" s="114"/>
      <c r="J149" s="114" t="s">
        <v>702</v>
      </c>
      <c r="K149" s="114"/>
      <c r="L149" s="215" t="s">
        <v>1738</v>
      </c>
      <c r="M149" s="221"/>
    </row>
    <row r="150" spans="1:16" ht="15" customHeight="1">
      <c r="A150" s="111">
        <v>44720</v>
      </c>
      <c r="B150" s="114" t="s">
        <v>1104</v>
      </c>
      <c r="C150" s="114" t="s">
        <v>1105</v>
      </c>
      <c r="D150" s="114" t="s">
        <v>1090</v>
      </c>
      <c r="E150" s="232" t="str">
        <f t="shared" si="0"/>
        <v>HOUNSOU  FLORENTIN</v>
      </c>
      <c r="F150" s="114"/>
      <c r="G150" s="114">
        <v>61835026</v>
      </c>
      <c r="H150" s="114"/>
      <c r="I150" s="114"/>
      <c r="J150" s="114" t="s">
        <v>1106</v>
      </c>
      <c r="K150" s="114"/>
      <c r="L150" s="113" t="s">
        <v>1479</v>
      </c>
      <c r="M150" s="221"/>
    </row>
    <row r="151" spans="1:16" ht="15" customHeight="1">
      <c r="A151" s="111">
        <v>44723</v>
      </c>
      <c r="B151" s="114" t="s">
        <v>1107</v>
      </c>
      <c r="C151" s="114" t="s">
        <v>1108</v>
      </c>
      <c r="D151" s="114" t="s">
        <v>1109</v>
      </c>
      <c r="E151" s="232" t="str">
        <f t="shared" si="0"/>
        <v>RODRIGUEZ LEA</v>
      </c>
      <c r="F151" s="114" t="s">
        <v>1029</v>
      </c>
      <c r="G151" s="114">
        <v>66895620</v>
      </c>
      <c r="H151" s="114"/>
      <c r="I151" s="114"/>
      <c r="J151" s="114" t="s">
        <v>1097</v>
      </c>
      <c r="K151" s="114"/>
      <c r="L151" s="113" t="s">
        <v>1479</v>
      </c>
      <c r="M151" s="221"/>
    </row>
    <row r="152" spans="1:16" ht="15" customHeight="1">
      <c r="A152" s="111">
        <v>44723</v>
      </c>
      <c r="B152" s="114" t="s">
        <v>1110</v>
      </c>
      <c r="C152" s="114" t="s">
        <v>1111</v>
      </c>
      <c r="D152" s="114" t="s">
        <v>1112</v>
      </c>
      <c r="E152" s="232" t="str">
        <f t="shared" si="0"/>
        <v>CAKPO PASCOTT</v>
      </c>
      <c r="F152" s="114" t="s">
        <v>1029</v>
      </c>
      <c r="G152" s="114">
        <v>66186957</v>
      </c>
      <c r="H152" s="114"/>
      <c r="I152" s="114"/>
      <c r="J152" s="114" t="s">
        <v>1097</v>
      </c>
      <c r="K152" s="114"/>
      <c r="L152" s="113" t="s">
        <v>1479</v>
      </c>
      <c r="M152" s="221"/>
    </row>
    <row r="153" spans="1:16" ht="15" customHeight="1">
      <c r="A153" s="111">
        <v>44729</v>
      </c>
      <c r="B153" s="114" t="s">
        <v>1113</v>
      </c>
      <c r="C153" s="114" t="s">
        <v>615</v>
      </c>
      <c r="D153" s="114" t="s">
        <v>1114</v>
      </c>
      <c r="E153" s="232" t="str">
        <f t="shared" si="0"/>
        <v>GUEZO FLORENCE</v>
      </c>
      <c r="F153" s="114"/>
      <c r="G153" s="114">
        <v>97489011</v>
      </c>
      <c r="H153" s="114"/>
      <c r="I153" s="114"/>
      <c r="J153" s="114" t="s">
        <v>488</v>
      </c>
      <c r="K153" s="114"/>
      <c r="L153" s="215" t="s">
        <v>1738</v>
      </c>
      <c r="M153" s="221"/>
    </row>
    <row r="154" spans="1:16" ht="15" customHeight="1">
      <c r="A154" s="111">
        <v>44729</v>
      </c>
      <c r="B154" s="114" t="s">
        <v>1115</v>
      </c>
      <c r="C154" s="114" t="s">
        <v>574</v>
      </c>
      <c r="D154" s="114" t="s">
        <v>1116</v>
      </c>
      <c r="E154" s="232" t="str">
        <f t="shared" si="0"/>
        <v>SALANON DAVID</v>
      </c>
      <c r="F154" s="114"/>
      <c r="G154" s="114">
        <v>54151434</v>
      </c>
      <c r="H154" s="114"/>
      <c r="I154" s="114"/>
      <c r="J154" s="114" t="s">
        <v>488</v>
      </c>
      <c r="K154" s="114"/>
      <c r="L154" s="113" t="s">
        <v>1479</v>
      </c>
      <c r="M154" s="221"/>
    </row>
    <row r="155" spans="1:16" ht="15" customHeight="1">
      <c r="A155" s="111">
        <v>44732</v>
      </c>
      <c r="B155" s="114" t="s">
        <v>1117</v>
      </c>
      <c r="C155" s="114" t="s">
        <v>1118</v>
      </c>
      <c r="D155" s="114" t="s">
        <v>1119</v>
      </c>
      <c r="E155" s="232" t="str">
        <f t="shared" si="0"/>
        <v>KPATINDE CLEMENCE</v>
      </c>
      <c r="F155" s="114" t="s">
        <v>1029</v>
      </c>
      <c r="G155" s="114"/>
      <c r="H155" s="114"/>
      <c r="I155" s="114"/>
      <c r="J155" s="114" t="s">
        <v>811</v>
      </c>
      <c r="K155" s="114"/>
      <c r="L155" s="113" t="s">
        <v>1479</v>
      </c>
      <c r="M155" s="221"/>
    </row>
    <row r="156" spans="1:16" ht="15" customHeight="1">
      <c r="A156" s="111">
        <v>44732</v>
      </c>
      <c r="B156" s="114" t="s">
        <v>1120</v>
      </c>
      <c r="C156" s="114" t="s">
        <v>574</v>
      </c>
      <c r="D156" s="114" t="s">
        <v>680</v>
      </c>
      <c r="E156" s="232" t="str">
        <f t="shared" si="0"/>
        <v>SALANON ROSINE</v>
      </c>
      <c r="F156" s="114"/>
      <c r="G156" s="114">
        <v>67242912</v>
      </c>
      <c r="H156" s="114"/>
      <c r="I156" s="114"/>
      <c r="J156" s="114" t="s">
        <v>488</v>
      </c>
      <c r="K156" s="114"/>
      <c r="L156" s="113" t="s">
        <v>1479</v>
      </c>
      <c r="M156" s="221"/>
    </row>
    <row r="157" spans="1:16" ht="15" customHeight="1">
      <c r="A157" s="111">
        <v>44732</v>
      </c>
      <c r="B157" s="114" t="s">
        <v>1121</v>
      </c>
      <c r="C157" s="114" t="s">
        <v>574</v>
      </c>
      <c r="D157" s="114" t="s">
        <v>1122</v>
      </c>
      <c r="E157" s="232" t="str">
        <f t="shared" si="0"/>
        <v>SALANON STEPHANIE</v>
      </c>
      <c r="F157" s="114"/>
      <c r="G157" s="114">
        <v>67865537</v>
      </c>
      <c r="H157" s="114"/>
      <c r="I157" s="114"/>
      <c r="J157" s="114" t="s">
        <v>488</v>
      </c>
      <c r="K157" s="114"/>
      <c r="L157" s="215" t="s">
        <v>1738</v>
      </c>
      <c r="M157" s="221"/>
    </row>
    <row r="158" spans="1:16" ht="15" customHeight="1">
      <c r="A158" s="111">
        <v>44733</v>
      </c>
      <c r="B158" s="114" t="s">
        <v>1580</v>
      </c>
      <c r="C158" s="114" t="s">
        <v>1123</v>
      </c>
      <c r="D158" s="114" t="s">
        <v>1124</v>
      </c>
      <c r="E158" s="232" t="str">
        <f t="shared" si="0"/>
        <v>AYADJI FALDIA</v>
      </c>
      <c r="F158" s="114" t="s">
        <v>613</v>
      </c>
      <c r="G158" s="114"/>
      <c r="H158" s="114"/>
      <c r="I158" s="114"/>
      <c r="J158" s="114" t="s">
        <v>488</v>
      </c>
      <c r="K158" s="114"/>
      <c r="L158" s="113" t="s">
        <v>1479</v>
      </c>
      <c r="M158" s="221"/>
    </row>
    <row r="159" spans="1:16" s="186" customFormat="1" ht="15" customHeight="1">
      <c r="A159" s="211">
        <v>44734</v>
      </c>
      <c r="B159" s="214" t="s">
        <v>1125</v>
      </c>
      <c r="C159" s="214" t="s">
        <v>1108</v>
      </c>
      <c r="D159" s="214" t="s">
        <v>1126</v>
      </c>
      <c r="E159" s="232" t="str">
        <f>CONCATENATE(C159," ",D159)</f>
        <v>RODRIGUEZ GABIN</v>
      </c>
      <c r="F159" s="214" t="s">
        <v>1127</v>
      </c>
      <c r="G159" s="214">
        <v>96909598</v>
      </c>
      <c r="H159" s="214"/>
      <c r="I159" s="214"/>
      <c r="J159" s="214" t="s">
        <v>488</v>
      </c>
      <c r="K159" s="214"/>
      <c r="L159" s="215" t="s">
        <v>1479</v>
      </c>
      <c r="M159" s="222"/>
      <c r="N159" s="110"/>
      <c r="O159" s="110"/>
      <c r="P159" s="110"/>
    </row>
    <row r="160" spans="1:16" ht="15" customHeight="1">
      <c r="A160" s="111">
        <v>44737</v>
      </c>
      <c r="B160" s="114" t="s">
        <v>1128</v>
      </c>
      <c r="C160" s="114" t="s">
        <v>1129</v>
      </c>
      <c r="D160" s="114" t="s">
        <v>1130</v>
      </c>
      <c r="E160" s="232" t="str">
        <f t="shared" si="0"/>
        <v>GNONLONFOUN ELISABETH</v>
      </c>
      <c r="F160" s="114"/>
      <c r="G160" s="114"/>
      <c r="H160" s="114"/>
      <c r="I160" s="114"/>
      <c r="J160" s="114" t="s">
        <v>825</v>
      </c>
      <c r="K160" s="114"/>
      <c r="L160" s="113" t="s">
        <v>1479</v>
      </c>
      <c r="M160" s="221"/>
    </row>
    <row r="161" spans="1:13" ht="15" customHeight="1">
      <c r="A161" s="111">
        <v>44737</v>
      </c>
      <c r="B161" s="114" t="s">
        <v>1131</v>
      </c>
      <c r="C161" s="114" t="s">
        <v>1132</v>
      </c>
      <c r="D161" s="114" t="s">
        <v>1133</v>
      </c>
      <c r="E161" s="232" t="str">
        <f t="shared" si="0"/>
        <v>EZIN SOPHIE</v>
      </c>
      <c r="F161" s="114"/>
      <c r="G161" s="114"/>
      <c r="H161" s="114"/>
      <c r="I161" s="114"/>
      <c r="J161" s="114" t="s">
        <v>488</v>
      </c>
      <c r="K161" s="114"/>
      <c r="L161" s="113" t="s">
        <v>1738</v>
      </c>
      <c r="M161" s="221"/>
    </row>
    <row r="162" spans="1:13" ht="15" customHeight="1">
      <c r="A162" s="111">
        <v>44739</v>
      </c>
      <c r="B162" s="114" t="s">
        <v>1134</v>
      </c>
      <c r="C162" s="114" t="s">
        <v>1135</v>
      </c>
      <c r="D162" s="114" t="s">
        <v>1136</v>
      </c>
      <c r="E162" s="232" t="str">
        <f t="shared" si="0"/>
        <v>ASSOGBA BERNARD</v>
      </c>
      <c r="F162" s="114" t="s">
        <v>1029</v>
      </c>
      <c r="G162" s="114">
        <v>67525240</v>
      </c>
      <c r="H162" s="114"/>
      <c r="I162" s="114"/>
      <c r="J162" s="114" t="s">
        <v>488</v>
      </c>
      <c r="K162" s="114"/>
      <c r="L162" s="113" t="s">
        <v>1479</v>
      </c>
      <c r="M162" s="221"/>
    </row>
    <row r="163" spans="1:13" ht="15" customHeight="1">
      <c r="A163" s="111">
        <v>44741</v>
      </c>
      <c r="B163" s="114" t="s">
        <v>1137</v>
      </c>
      <c r="C163" s="114" t="s">
        <v>1138</v>
      </c>
      <c r="D163" s="114" t="s">
        <v>1139</v>
      </c>
      <c r="E163" s="232" t="str">
        <f t="shared" si="0"/>
        <v>ADJAHO AGNES</v>
      </c>
      <c r="F163" s="114" t="s">
        <v>1029</v>
      </c>
      <c r="G163" s="114">
        <v>97296416</v>
      </c>
      <c r="H163" s="114"/>
      <c r="I163" s="114"/>
      <c r="J163" s="114" t="s">
        <v>849</v>
      </c>
      <c r="K163" s="114"/>
      <c r="L163" s="113" t="s">
        <v>1479</v>
      </c>
      <c r="M163" s="221"/>
    </row>
    <row r="164" spans="1:13" ht="15" customHeight="1">
      <c r="A164" s="111">
        <v>44741</v>
      </c>
      <c r="B164" s="114" t="s">
        <v>1140</v>
      </c>
      <c r="C164" s="114" t="s">
        <v>697</v>
      </c>
      <c r="D164" s="114" t="s">
        <v>1141</v>
      </c>
      <c r="E164" s="232" t="str">
        <f t="shared" si="0"/>
        <v>MADAME TAP</v>
      </c>
      <c r="F164" s="114" t="s">
        <v>1029</v>
      </c>
      <c r="G164" s="114">
        <v>62015130</v>
      </c>
      <c r="H164" s="114"/>
      <c r="I164" s="114"/>
      <c r="J164" s="114" t="s">
        <v>488</v>
      </c>
      <c r="K164" s="114" t="s">
        <v>1581</v>
      </c>
      <c r="L164" s="113" t="s">
        <v>1479</v>
      </c>
      <c r="M164" s="221"/>
    </row>
    <row r="165" spans="1:13" ht="15" customHeight="1">
      <c r="A165" s="111">
        <v>44744</v>
      </c>
      <c r="B165" s="114" t="s">
        <v>1142</v>
      </c>
      <c r="C165" s="114" t="s">
        <v>1143</v>
      </c>
      <c r="D165" s="114" t="s">
        <v>1093</v>
      </c>
      <c r="E165" s="232" t="str">
        <f t="shared" si="0"/>
        <v>KOUCHADE SOLANGE</v>
      </c>
      <c r="F165" s="114" t="s">
        <v>1029</v>
      </c>
      <c r="G165" s="114">
        <v>97977717</v>
      </c>
      <c r="H165" s="114"/>
      <c r="I165" s="114"/>
      <c r="J165" s="114" t="s">
        <v>1144</v>
      </c>
      <c r="K165" s="114" t="s">
        <v>1145</v>
      </c>
      <c r="L165" s="113" t="s">
        <v>1479</v>
      </c>
      <c r="M165" s="221"/>
    </row>
    <row r="166" spans="1:13" ht="15" customHeight="1">
      <c r="A166" s="111">
        <v>44744</v>
      </c>
      <c r="B166" s="114" t="s">
        <v>1146</v>
      </c>
      <c r="C166" s="114" t="s">
        <v>1147</v>
      </c>
      <c r="D166" s="114" t="s">
        <v>1148</v>
      </c>
      <c r="E166" s="232" t="str">
        <f t="shared" si="0"/>
        <v>MEVO LICETTE</v>
      </c>
      <c r="F166" s="114" t="s">
        <v>1029</v>
      </c>
      <c r="G166" s="114">
        <v>97977938</v>
      </c>
      <c r="H166" s="114"/>
      <c r="I166" s="114"/>
      <c r="J166" s="114" t="s">
        <v>811</v>
      </c>
      <c r="K166" s="114"/>
      <c r="L166" s="113" t="s">
        <v>1479</v>
      </c>
      <c r="M166" s="221"/>
    </row>
    <row r="167" spans="1:13" ht="15" customHeight="1">
      <c r="A167" s="111">
        <v>44744</v>
      </c>
      <c r="B167" s="114" t="s">
        <v>1149</v>
      </c>
      <c r="C167" s="114" t="s">
        <v>1150</v>
      </c>
      <c r="D167" s="114" t="s">
        <v>1109</v>
      </c>
      <c r="E167" s="232" t="str">
        <f t="shared" si="0"/>
        <v>YATAKPOE LEA</v>
      </c>
      <c r="F167" s="114" t="s">
        <v>1029</v>
      </c>
      <c r="G167" s="114"/>
      <c r="H167" s="114"/>
      <c r="I167" s="114"/>
      <c r="J167" s="114" t="s">
        <v>811</v>
      </c>
      <c r="K167" s="114"/>
      <c r="L167" s="113" t="s">
        <v>1479</v>
      </c>
      <c r="M167" s="221"/>
    </row>
    <row r="168" spans="1:13" ht="15" customHeight="1">
      <c r="A168" s="111">
        <v>44744</v>
      </c>
      <c r="B168" s="114" t="s">
        <v>1151</v>
      </c>
      <c r="C168" s="114" t="s">
        <v>1152</v>
      </c>
      <c r="D168" s="114" t="s">
        <v>1153</v>
      </c>
      <c r="E168" s="232" t="str">
        <f t="shared" si="0"/>
        <v>GUIDIBI CONSTAN</v>
      </c>
      <c r="F168" s="114" t="s">
        <v>1029</v>
      </c>
      <c r="G168" s="114"/>
      <c r="H168" s="114"/>
      <c r="I168" s="114"/>
      <c r="J168" s="114" t="s">
        <v>651</v>
      </c>
      <c r="K168" s="114"/>
      <c r="L168" s="113" t="s">
        <v>1479</v>
      </c>
      <c r="M168" s="221"/>
    </row>
    <row r="169" spans="1:13" ht="15" customHeight="1">
      <c r="A169" s="111">
        <v>44746</v>
      </c>
      <c r="B169" s="114" t="s">
        <v>1154</v>
      </c>
      <c r="C169" s="114" t="s">
        <v>1155</v>
      </c>
      <c r="D169" s="114" t="s">
        <v>1156</v>
      </c>
      <c r="E169" s="232" t="str">
        <f t="shared" si="0"/>
        <v>AREMOU  FRIDA</v>
      </c>
      <c r="F169" s="114" t="s">
        <v>1029</v>
      </c>
      <c r="G169" s="114"/>
      <c r="H169" s="114"/>
      <c r="I169" s="114"/>
      <c r="J169" s="114" t="s">
        <v>1157</v>
      </c>
      <c r="K169" s="114"/>
      <c r="L169" s="113" t="s">
        <v>1479</v>
      </c>
      <c r="M169" s="221"/>
    </row>
    <row r="170" spans="1:13" ht="15" customHeight="1">
      <c r="A170" s="111">
        <v>44747</v>
      </c>
      <c r="B170" s="114" t="s">
        <v>1158</v>
      </c>
      <c r="C170" s="114" t="s">
        <v>697</v>
      </c>
      <c r="D170" s="114" t="s">
        <v>1159</v>
      </c>
      <c r="E170" s="232" t="str">
        <f t="shared" si="0"/>
        <v>MADAME FASSINOU</v>
      </c>
      <c r="F170" s="114" t="s">
        <v>1029</v>
      </c>
      <c r="G170" s="114"/>
      <c r="H170" s="114"/>
      <c r="I170" s="114"/>
      <c r="J170" s="114" t="s">
        <v>811</v>
      </c>
      <c r="K170" s="114"/>
      <c r="L170" s="113" t="s">
        <v>1479</v>
      </c>
      <c r="M170" s="221"/>
    </row>
    <row r="171" spans="1:13" ht="15" customHeight="1">
      <c r="A171" s="111">
        <v>44749</v>
      </c>
      <c r="B171" s="114" t="s">
        <v>1160</v>
      </c>
      <c r="C171" s="114" t="s">
        <v>1161</v>
      </c>
      <c r="D171" s="114" t="s">
        <v>1162</v>
      </c>
      <c r="E171" s="232" t="str">
        <f t="shared" si="0"/>
        <v>AZON ROMEO</v>
      </c>
      <c r="F171" s="114"/>
      <c r="G171" s="114"/>
      <c r="H171" s="114">
        <v>95000328</v>
      </c>
      <c r="I171" s="114"/>
      <c r="J171" s="114" t="s">
        <v>500</v>
      </c>
      <c r="K171" s="114"/>
      <c r="L171" s="215" t="s">
        <v>1738</v>
      </c>
      <c r="M171" s="221"/>
    </row>
    <row r="172" spans="1:13" ht="15" customHeight="1">
      <c r="A172" s="111">
        <v>44755</v>
      </c>
      <c r="B172" s="114" t="s">
        <v>1163</v>
      </c>
      <c r="C172" s="114" t="s">
        <v>846</v>
      </c>
      <c r="D172" s="114" t="s">
        <v>1164</v>
      </c>
      <c r="E172" s="232" t="str">
        <f t="shared" si="0"/>
        <v>DEGUENON PRISCILLIA</v>
      </c>
      <c r="F172" s="114"/>
      <c r="G172" s="114"/>
      <c r="H172" s="114"/>
      <c r="I172" s="114"/>
      <c r="J172" s="114" t="s">
        <v>849</v>
      </c>
      <c r="K172" s="114"/>
      <c r="L172" s="113" t="s">
        <v>1479</v>
      </c>
      <c r="M172" s="221" t="s">
        <v>1165</v>
      </c>
    </row>
    <row r="173" spans="1:13" ht="15" customHeight="1">
      <c r="A173" s="111">
        <v>44760</v>
      </c>
      <c r="B173" s="114" t="s">
        <v>1166</v>
      </c>
      <c r="C173" s="114" t="s">
        <v>1167</v>
      </c>
      <c r="D173" s="114" t="s">
        <v>1168</v>
      </c>
      <c r="E173" s="232" t="str">
        <f t="shared" si="0"/>
        <v>BIAOU REGIS</v>
      </c>
      <c r="F173" s="114" t="s">
        <v>874</v>
      </c>
      <c r="G173" s="114"/>
      <c r="H173" s="114"/>
      <c r="I173" s="114"/>
      <c r="J173" s="114" t="s">
        <v>811</v>
      </c>
      <c r="K173" s="114"/>
      <c r="L173" s="113" t="s">
        <v>1479</v>
      </c>
      <c r="M173" s="221"/>
    </row>
    <row r="174" spans="1:13" ht="15" customHeight="1">
      <c r="A174" s="111">
        <v>44760</v>
      </c>
      <c r="B174" s="114" t="s">
        <v>1169</v>
      </c>
      <c r="C174" s="114" t="s">
        <v>697</v>
      </c>
      <c r="D174" s="114" t="s">
        <v>1170</v>
      </c>
      <c r="E174" s="232" t="str">
        <f t="shared" si="0"/>
        <v>MADAME FONTON</v>
      </c>
      <c r="F174" s="114" t="s">
        <v>102</v>
      </c>
      <c r="G174" s="114">
        <v>69687666</v>
      </c>
      <c r="H174" s="114"/>
      <c r="I174" s="114"/>
      <c r="J174" s="114" t="s">
        <v>102</v>
      </c>
      <c r="K174" s="114"/>
      <c r="L174" s="113" t="s">
        <v>1479</v>
      </c>
      <c r="M174" s="221"/>
    </row>
    <row r="175" spans="1:13" ht="15" customHeight="1">
      <c r="A175" s="111">
        <v>44762</v>
      </c>
      <c r="B175" s="114" t="s">
        <v>1171</v>
      </c>
      <c r="C175" s="114" t="s">
        <v>574</v>
      </c>
      <c r="D175" s="114" t="s">
        <v>1114</v>
      </c>
      <c r="E175" s="232" t="str">
        <f t="shared" si="0"/>
        <v>SALANON FLORENCE</v>
      </c>
      <c r="F175" s="114"/>
      <c r="G175" s="114">
        <v>67517503</v>
      </c>
      <c r="H175" s="114"/>
      <c r="I175" s="114"/>
      <c r="J175" s="114" t="s">
        <v>500</v>
      </c>
      <c r="K175" s="114"/>
      <c r="L175" s="113" t="s">
        <v>1479</v>
      </c>
      <c r="M175" s="221"/>
    </row>
    <row r="176" spans="1:13" ht="15" customHeight="1">
      <c r="A176" s="111">
        <v>44763</v>
      </c>
      <c r="B176" s="114" t="s">
        <v>1172</v>
      </c>
      <c r="C176" s="114" t="s">
        <v>1173</v>
      </c>
      <c r="D176" s="114" t="s">
        <v>1119</v>
      </c>
      <c r="E176" s="232" t="str">
        <f t="shared" si="0"/>
        <v>AKONDE CLEMENCE</v>
      </c>
      <c r="F176" s="114"/>
      <c r="G176" s="114">
        <v>94</v>
      </c>
      <c r="H176" s="114"/>
      <c r="I176" s="114"/>
      <c r="J176" s="114" t="s">
        <v>500</v>
      </c>
      <c r="K176" s="114"/>
      <c r="L176" s="113" t="s">
        <v>1479</v>
      </c>
      <c r="M176" s="221"/>
    </row>
    <row r="177" spans="1:16" ht="15" customHeight="1">
      <c r="A177" s="111">
        <v>44764</v>
      </c>
      <c r="B177" s="114" t="s">
        <v>1174</v>
      </c>
      <c r="C177" s="114" t="s">
        <v>1175</v>
      </c>
      <c r="D177" s="114" t="s">
        <v>1176</v>
      </c>
      <c r="E177" s="232" t="str">
        <f t="shared" si="0"/>
        <v>HECHLI ABRAHAM</v>
      </c>
      <c r="F177" s="114" t="s">
        <v>1035</v>
      </c>
      <c r="G177" s="114">
        <v>98840000</v>
      </c>
      <c r="H177" s="114"/>
      <c r="I177" s="114"/>
      <c r="J177" s="114" t="s">
        <v>500</v>
      </c>
      <c r="K177" s="114"/>
      <c r="L177" s="215" t="s">
        <v>1738</v>
      </c>
      <c r="M177" s="221"/>
    </row>
    <row r="178" spans="1:16" s="186" customFormat="1" ht="15" customHeight="1">
      <c r="A178" s="211">
        <v>44765</v>
      </c>
      <c r="B178" s="214" t="s">
        <v>1177</v>
      </c>
      <c r="C178" s="214" t="s">
        <v>1178</v>
      </c>
      <c r="D178" s="214" t="s">
        <v>1179</v>
      </c>
      <c r="E178" s="232" t="str">
        <f t="shared" si="0"/>
        <v>OGOUWALE IRENE</v>
      </c>
      <c r="F178" s="214" t="s">
        <v>1029</v>
      </c>
      <c r="G178" s="214"/>
      <c r="H178" s="214"/>
      <c r="I178" s="214"/>
      <c r="J178" s="214" t="s">
        <v>500</v>
      </c>
      <c r="K178" s="214"/>
      <c r="L178" s="215" t="s">
        <v>1738</v>
      </c>
      <c r="M178" s="222"/>
      <c r="N178" s="110"/>
      <c r="O178" s="110"/>
      <c r="P178" s="110"/>
    </row>
    <row r="179" spans="1:16" ht="15" customHeight="1">
      <c r="A179" s="111">
        <v>44769</v>
      </c>
      <c r="B179" s="114" t="s">
        <v>1180</v>
      </c>
      <c r="C179" s="114" t="s">
        <v>946</v>
      </c>
      <c r="D179" s="114" t="s">
        <v>502</v>
      </c>
      <c r="E179" s="232" t="str">
        <f t="shared" si="0"/>
        <v>MEME AHOUNOU</v>
      </c>
      <c r="F179" s="114"/>
      <c r="G179" s="114"/>
      <c r="H179" s="114"/>
      <c r="I179" s="114"/>
      <c r="J179" s="114" t="s">
        <v>500</v>
      </c>
      <c r="K179" s="114"/>
      <c r="L179" s="113" t="s">
        <v>1479</v>
      </c>
      <c r="M179" s="221"/>
    </row>
    <row r="180" spans="1:16" ht="15" customHeight="1">
      <c r="A180" s="111">
        <v>44770</v>
      </c>
      <c r="B180" s="114" t="s">
        <v>1181</v>
      </c>
      <c r="C180" s="114" t="s">
        <v>697</v>
      </c>
      <c r="D180" s="114" t="s">
        <v>1182</v>
      </c>
      <c r="E180" s="232" t="str">
        <f t="shared" si="0"/>
        <v>MADAME ALIM</v>
      </c>
      <c r="F180" s="114" t="s">
        <v>1029</v>
      </c>
      <c r="G180" s="114"/>
      <c r="H180" s="114"/>
      <c r="I180" s="114"/>
      <c r="J180" s="114" t="s">
        <v>1183</v>
      </c>
      <c r="K180" s="114"/>
      <c r="L180" s="113" t="s">
        <v>1479</v>
      </c>
      <c r="M180" s="221"/>
    </row>
    <row r="181" spans="1:16" ht="15" customHeight="1">
      <c r="A181" s="111">
        <v>44770</v>
      </c>
      <c r="B181" s="114" t="s">
        <v>1184</v>
      </c>
      <c r="C181" s="114" t="s">
        <v>697</v>
      </c>
      <c r="D181" s="114" t="s">
        <v>1185</v>
      </c>
      <c r="E181" s="232" t="str">
        <f>CONCATENATE(C181," ",D181)</f>
        <v>MADAME SAIDOU</v>
      </c>
      <c r="F181" s="114" t="s">
        <v>1029</v>
      </c>
      <c r="G181" s="114"/>
      <c r="H181" s="114"/>
      <c r="I181" s="114"/>
      <c r="J181" s="114" t="s">
        <v>500</v>
      </c>
      <c r="K181" s="114" t="s">
        <v>1186</v>
      </c>
      <c r="L181" s="113" t="s">
        <v>1479</v>
      </c>
      <c r="M181" s="221"/>
    </row>
    <row r="182" spans="1:16" ht="15" customHeight="1">
      <c r="A182" s="111">
        <v>44770</v>
      </c>
      <c r="B182" s="114" t="s">
        <v>1187</v>
      </c>
      <c r="C182" s="114" t="s">
        <v>697</v>
      </c>
      <c r="D182" s="114" t="s">
        <v>1188</v>
      </c>
      <c r="E182" s="232" t="str">
        <f>CONCATENATE(C182," ",D182)</f>
        <v>MADAME PHILOMENE</v>
      </c>
      <c r="F182" s="114"/>
      <c r="G182" s="114">
        <v>90189185</v>
      </c>
      <c r="H182" s="114"/>
      <c r="I182" s="114"/>
      <c r="J182" s="114" t="s">
        <v>618</v>
      </c>
      <c r="K182" s="114" t="s">
        <v>1189</v>
      </c>
      <c r="L182" s="113" t="s">
        <v>1739</v>
      </c>
      <c r="M182" s="221"/>
    </row>
    <row r="183" spans="1:16" ht="15" customHeight="1">
      <c r="A183" s="111">
        <v>44789</v>
      </c>
      <c r="B183" s="114" t="s">
        <v>1190</v>
      </c>
      <c r="C183" s="114" t="s">
        <v>550</v>
      </c>
      <c r="D183" s="114" t="s">
        <v>1191</v>
      </c>
      <c r="E183" s="232" t="str">
        <f>CONCATENATE(C183," ",D183)</f>
        <v>AHOLIATIN THIERRY</v>
      </c>
      <c r="F183" s="114"/>
      <c r="G183" s="114"/>
      <c r="H183" s="114"/>
      <c r="I183" s="114"/>
      <c r="J183" s="114" t="s">
        <v>500</v>
      </c>
      <c r="K183" s="114"/>
      <c r="L183" s="113" t="s">
        <v>1479</v>
      </c>
      <c r="M183" s="221"/>
    </row>
    <row r="184" spans="1:16" ht="15" customHeight="1">
      <c r="A184" s="111">
        <v>44789</v>
      </c>
      <c r="B184" s="114" t="s">
        <v>1192</v>
      </c>
      <c r="C184" s="114" t="s">
        <v>502</v>
      </c>
      <c r="D184" s="114" t="s">
        <v>1193</v>
      </c>
      <c r="E184" s="232" t="str">
        <f t="shared" ref="E184:E247" si="1">CONCATENATE(C184," ",D184)</f>
        <v>AHOUNOU NOAH</v>
      </c>
      <c r="F184" s="114"/>
      <c r="G184" s="114"/>
      <c r="H184" s="114"/>
      <c r="I184" s="114"/>
      <c r="J184" s="114" t="s">
        <v>500</v>
      </c>
      <c r="K184" s="114"/>
      <c r="L184" s="113" t="s">
        <v>1479</v>
      </c>
      <c r="M184" s="221"/>
    </row>
    <row r="185" spans="1:16" ht="15" customHeight="1">
      <c r="A185" s="111">
        <v>44792</v>
      </c>
      <c r="B185" s="114" t="s">
        <v>1194</v>
      </c>
      <c r="C185" s="114" t="s">
        <v>1195</v>
      </c>
      <c r="D185" s="114" t="s">
        <v>1196</v>
      </c>
      <c r="E185" s="232" t="str">
        <f t="shared" si="1"/>
        <v>VLAVONOU   ELIE</v>
      </c>
      <c r="F185" s="114" t="s">
        <v>561</v>
      </c>
      <c r="G185" s="114">
        <v>95899038</v>
      </c>
      <c r="H185" s="114"/>
      <c r="I185" s="114"/>
      <c r="J185" s="217" t="s">
        <v>1582</v>
      </c>
      <c r="K185" s="114" t="s">
        <v>1583</v>
      </c>
      <c r="L185" s="113" t="s">
        <v>1479</v>
      </c>
      <c r="M185" s="221"/>
    </row>
    <row r="186" spans="1:16" ht="15" customHeight="1">
      <c r="A186" s="111">
        <v>44798</v>
      </c>
      <c r="B186" s="114" t="s">
        <v>1197</v>
      </c>
      <c r="C186" s="114" t="s">
        <v>1584</v>
      </c>
      <c r="D186" s="114" t="s">
        <v>1076</v>
      </c>
      <c r="E186" s="232" t="str">
        <f t="shared" si="1"/>
        <v>KODO CHRISTELLE</v>
      </c>
      <c r="F186" s="114" t="s">
        <v>524</v>
      </c>
      <c r="G186" s="114"/>
      <c r="H186" s="114"/>
      <c r="I186" s="114"/>
      <c r="J186" s="114" t="s">
        <v>1198</v>
      </c>
      <c r="K186" s="114" t="s">
        <v>1199</v>
      </c>
      <c r="L186" s="113" t="s">
        <v>1738</v>
      </c>
      <c r="M186" s="221" t="s">
        <v>1200</v>
      </c>
    </row>
    <row r="187" spans="1:16" ht="15" customHeight="1">
      <c r="A187" s="111">
        <v>44798</v>
      </c>
      <c r="B187" s="114" t="s">
        <v>147</v>
      </c>
      <c r="C187" s="114" t="s">
        <v>1201</v>
      </c>
      <c r="D187" s="114" t="s">
        <v>1202</v>
      </c>
      <c r="E187" s="232" t="str">
        <f t="shared" si="1"/>
        <v>KPOTA EMILIENNE</v>
      </c>
      <c r="F187" s="114" t="s">
        <v>524</v>
      </c>
      <c r="G187" s="114"/>
      <c r="H187" s="114"/>
      <c r="I187" s="114"/>
      <c r="J187" s="114" t="s">
        <v>1203</v>
      </c>
      <c r="K187" s="114" t="s">
        <v>1204</v>
      </c>
      <c r="L187" s="113" t="s">
        <v>1739</v>
      </c>
      <c r="M187" s="221"/>
    </row>
    <row r="188" spans="1:16" ht="15" customHeight="1">
      <c r="A188" s="111">
        <v>44803</v>
      </c>
      <c r="B188" s="114" t="s">
        <v>1205</v>
      </c>
      <c r="C188" s="114" t="s">
        <v>1055</v>
      </c>
      <c r="D188" s="114" t="s">
        <v>1126</v>
      </c>
      <c r="E188" s="232" t="str">
        <f t="shared" si="1"/>
        <v>MONSIEUR GABIN</v>
      </c>
      <c r="F188" s="114"/>
      <c r="G188" s="114"/>
      <c r="H188" s="114"/>
      <c r="I188" s="114"/>
      <c r="J188" s="114" t="s">
        <v>500</v>
      </c>
      <c r="K188" s="114"/>
      <c r="L188" s="113" t="s">
        <v>1479</v>
      </c>
      <c r="M188" s="221"/>
    </row>
    <row r="189" spans="1:16" ht="15" customHeight="1">
      <c r="A189" s="111">
        <v>44804</v>
      </c>
      <c r="B189" s="114" t="s">
        <v>1206</v>
      </c>
      <c r="C189" s="114" t="s">
        <v>1055</v>
      </c>
      <c r="D189" s="114" t="s">
        <v>1207</v>
      </c>
      <c r="E189" s="232" t="str">
        <f t="shared" si="1"/>
        <v>MONSIEUR BONAVENTURE</v>
      </c>
      <c r="F189" s="114"/>
      <c r="G189" s="114"/>
      <c r="H189" s="114"/>
      <c r="I189" s="114"/>
      <c r="J189" s="114" t="s">
        <v>500</v>
      </c>
      <c r="K189" s="114"/>
      <c r="L189" s="113" t="s">
        <v>1479</v>
      </c>
      <c r="M189" s="221"/>
    </row>
    <row r="190" spans="1:16" ht="15" customHeight="1">
      <c r="A190" s="111">
        <v>44809</v>
      </c>
      <c r="B190" s="114" t="s">
        <v>1208</v>
      </c>
      <c r="C190" s="114" t="s">
        <v>1209</v>
      </c>
      <c r="D190" s="114" t="s">
        <v>1210</v>
      </c>
      <c r="E190" s="232" t="str">
        <f t="shared" si="1"/>
        <v>HASSEN LUNA</v>
      </c>
      <c r="F190" s="114"/>
      <c r="G190" s="114"/>
      <c r="H190" s="114"/>
      <c r="I190" s="114"/>
      <c r="J190" s="114" t="s">
        <v>500</v>
      </c>
      <c r="K190" s="114"/>
      <c r="L190" s="113" t="s">
        <v>1479</v>
      </c>
      <c r="M190" s="221"/>
    </row>
    <row r="191" spans="1:16" ht="13.2">
      <c r="A191" s="111">
        <v>44810</v>
      </c>
      <c r="B191" s="114" t="s">
        <v>1211</v>
      </c>
      <c r="C191" s="114" t="s">
        <v>697</v>
      </c>
      <c r="D191" s="114" t="s">
        <v>1212</v>
      </c>
      <c r="E191" s="232" t="str">
        <f t="shared" si="1"/>
        <v>MADAME EGUEH</v>
      </c>
      <c r="F191" s="114"/>
      <c r="G191" s="114">
        <v>96447500</v>
      </c>
      <c r="H191" s="114"/>
      <c r="I191" s="114"/>
      <c r="J191" s="114" t="s">
        <v>1097</v>
      </c>
      <c r="K191" s="114"/>
      <c r="L191" s="113" t="s">
        <v>1479</v>
      </c>
      <c r="M191" s="221"/>
    </row>
    <row r="192" spans="1:16" ht="13.2">
      <c r="A192" s="111">
        <v>44810</v>
      </c>
      <c r="B192" s="114" t="s">
        <v>1213</v>
      </c>
      <c r="C192" s="114" t="s">
        <v>697</v>
      </c>
      <c r="D192" s="114" t="s">
        <v>1214</v>
      </c>
      <c r="E192" s="232" t="str">
        <f t="shared" si="1"/>
        <v>MADAME AHOUIGNAN</v>
      </c>
      <c r="F192" s="114"/>
      <c r="G192" s="114"/>
      <c r="H192" s="114"/>
      <c r="I192" s="114"/>
      <c r="J192" s="114" t="s">
        <v>811</v>
      </c>
      <c r="K192" s="114"/>
      <c r="L192" s="113" t="s">
        <v>1479</v>
      </c>
      <c r="M192" s="221"/>
    </row>
    <row r="193" spans="1:13" ht="13.2">
      <c r="A193" s="111">
        <v>44826</v>
      </c>
      <c r="B193" s="114" t="s">
        <v>1215</v>
      </c>
      <c r="C193" s="114" t="s">
        <v>697</v>
      </c>
      <c r="D193" s="114" t="s">
        <v>1216</v>
      </c>
      <c r="E193" s="232" t="str">
        <f t="shared" si="1"/>
        <v>MADAME FADONOUGBO</v>
      </c>
      <c r="F193" s="114"/>
      <c r="G193" s="114"/>
      <c r="H193" s="114"/>
      <c r="I193" s="114"/>
      <c r="J193" s="114" t="s">
        <v>500</v>
      </c>
      <c r="K193" s="114"/>
      <c r="L193" s="113" t="s">
        <v>1479</v>
      </c>
      <c r="M193" s="221"/>
    </row>
    <row r="194" spans="1:13" ht="13.2">
      <c r="A194" s="111">
        <v>44833</v>
      </c>
      <c r="B194" s="114" t="s">
        <v>1217</v>
      </c>
      <c r="C194" s="114" t="s">
        <v>1218</v>
      </c>
      <c r="D194" s="114" t="s">
        <v>1219</v>
      </c>
      <c r="E194" s="232" t="str">
        <f t="shared" si="1"/>
        <v>DANSOU ALEXIS</v>
      </c>
      <c r="F194" s="114"/>
      <c r="G194" s="114"/>
      <c r="H194" s="114"/>
      <c r="I194" s="114"/>
      <c r="J194" s="114" t="s">
        <v>1220</v>
      </c>
      <c r="K194" s="114"/>
      <c r="L194" s="113" t="s">
        <v>1479</v>
      </c>
      <c r="M194" s="221"/>
    </row>
    <row r="195" spans="1:13" ht="13.2">
      <c r="A195" s="111">
        <v>44835</v>
      </c>
      <c r="B195" s="114" t="s">
        <v>1221</v>
      </c>
      <c r="C195" s="114" t="s">
        <v>697</v>
      </c>
      <c r="D195" s="114" t="s">
        <v>1222</v>
      </c>
      <c r="E195" s="232" t="str">
        <f t="shared" si="1"/>
        <v>MADAME PACHELLA</v>
      </c>
      <c r="F195" s="114"/>
      <c r="G195" s="114"/>
      <c r="H195" s="114"/>
      <c r="I195" s="114"/>
      <c r="J195" s="114" t="s">
        <v>1223</v>
      </c>
      <c r="K195" s="114"/>
      <c r="L195" s="113" t="s">
        <v>1479</v>
      </c>
      <c r="M195" s="221"/>
    </row>
    <row r="196" spans="1:13" ht="13.2">
      <c r="A196" s="111">
        <v>44835</v>
      </c>
      <c r="B196" s="114" t="s">
        <v>1224</v>
      </c>
      <c r="C196" s="114" t="s">
        <v>1225</v>
      </c>
      <c r="D196" s="114"/>
      <c r="E196" s="232" t="str">
        <f t="shared" si="1"/>
        <v xml:space="preserve">LOUNEDJINON </v>
      </c>
      <c r="F196" s="114"/>
      <c r="G196" s="114"/>
      <c r="H196" s="114"/>
      <c r="I196" s="114"/>
      <c r="J196" s="114" t="s">
        <v>1223</v>
      </c>
      <c r="K196" s="114"/>
      <c r="L196" s="113" t="s">
        <v>1479</v>
      </c>
      <c r="M196" s="221"/>
    </row>
    <row r="197" spans="1:13" ht="13.2">
      <c r="A197" s="111">
        <v>44840</v>
      </c>
      <c r="B197" s="114" t="s">
        <v>1226</v>
      </c>
      <c r="C197" s="114" t="s">
        <v>1227</v>
      </c>
      <c r="D197" s="114" t="s">
        <v>1228</v>
      </c>
      <c r="E197" s="232" t="str">
        <f t="shared" si="1"/>
        <v>DANDJINOU MAUREEN</v>
      </c>
      <c r="F197" s="114"/>
      <c r="G197" s="114"/>
      <c r="H197" s="114"/>
      <c r="I197" s="114"/>
      <c r="J197" s="114" t="s">
        <v>1229</v>
      </c>
      <c r="K197" s="114"/>
      <c r="L197" s="113" t="s">
        <v>1479</v>
      </c>
      <c r="M197" s="221"/>
    </row>
    <row r="198" spans="1:13" ht="13.2">
      <c r="A198" s="111">
        <v>44842</v>
      </c>
      <c r="B198" s="114" t="s">
        <v>1230</v>
      </c>
      <c r="C198" s="114" t="s">
        <v>1231</v>
      </c>
      <c r="D198" s="114" t="s">
        <v>1232</v>
      </c>
      <c r="E198" s="232" t="str">
        <f t="shared" si="1"/>
        <v>KOULO HERMINE</v>
      </c>
      <c r="F198" s="114" t="s">
        <v>524</v>
      </c>
      <c r="G198" s="114"/>
      <c r="H198" s="114"/>
      <c r="I198" s="114"/>
      <c r="J198" s="114" t="s">
        <v>1233</v>
      </c>
      <c r="K198" s="114"/>
      <c r="L198" s="113" t="s">
        <v>1479</v>
      </c>
      <c r="M198" s="221"/>
    </row>
    <row r="199" spans="1:13" ht="13.2">
      <c r="A199" s="111">
        <v>44845</v>
      </c>
      <c r="B199" s="114" t="s">
        <v>1234</v>
      </c>
      <c r="C199" s="114" t="s">
        <v>1235</v>
      </c>
      <c r="D199" s="114" t="s">
        <v>1236</v>
      </c>
      <c r="E199" s="232" t="str">
        <f t="shared" si="1"/>
        <v>TOKOUETE  MELISSA</v>
      </c>
      <c r="F199" s="114" t="s">
        <v>524</v>
      </c>
      <c r="G199" s="114"/>
      <c r="H199" s="114"/>
      <c r="I199" s="114"/>
      <c r="J199" s="114" t="s">
        <v>500</v>
      </c>
      <c r="K199" s="114"/>
      <c r="L199" s="113" t="s">
        <v>1479</v>
      </c>
      <c r="M199" s="221"/>
    </row>
    <row r="200" spans="1:13" ht="13.2">
      <c r="A200" s="111">
        <v>44880</v>
      </c>
      <c r="B200" s="114" t="s">
        <v>1237</v>
      </c>
      <c r="C200" s="114" t="s">
        <v>1238</v>
      </c>
      <c r="D200" s="114" t="s">
        <v>1239</v>
      </c>
      <c r="E200" s="232" t="str">
        <f t="shared" si="1"/>
        <v>HOUNYOVI BERNADIN</v>
      </c>
      <c r="F200" s="114"/>
      <c r="G200" s="114">
        <v>91095978</v>
      </c>
      <c r="H200" s="114"/>
      <c r="I200" s="114"/>
      <c r="J200" s="114" t="s">
        <v>500</v>
      </c>
      <c r="K200" s="114"/>
      <c r="L200" s="113" t="s">
        <v>1479</v>
      </c>
      <c r="M200" s="221"/>
    </row>
    <row r="201" spans="1:13" ht="17.55" customHeight="1">
      <c r="A201" s="111">
        <v>44882</v>
      </c>
      <c r="B201" s="114" t="s">
        <v>1240</v>
      </c>
      <c r="C201" s="114" t="s">
        <v>1241</v>
      </c>
      <c r="D201" s="114" t="s">
        <v>1242</v>
      </c>
      <c r="E201" s="232" t="str">
        <f t="shared" si="1"/>
        <v>OGUNRANTI AYODEJI</v>
      </c>
      <c r="F201" s="114" t="s">
        <v>524</v>
      </c>
      <c r="G201" s="114">
        <v>54848484</v>
      </c>
      <c r="H201" s="114"/>
      <c r="I201" s="114"/>
      <c r="J201" s="217" t="s">
        <v>1585</v>
      </c>
      <c r="K201" s="114" t="s">
        <v>1586</v>
      </c>
      <c r="L201" s="113" t="s">
        <v>1738</v>
      </c>
      <c r="M201" s="221"/>
    </row>
    <row r="202" spans="1:13" ht="13.2">
      <c r="A202" s="111">
        <v>44886</v>
      </c>
      <c r="B202" s="114" t="s">
        <v>1243</v>
      </c>
      <c r="C202" s="114" t="s">
        <v>1244</v>
      </c>
      <c r="D202" s="114" t="s">
        <v>1245</v>
      </c>
      <c r="E202" s="232" t="str">
        <f t="shared" si="1"/>
        <v>AHOSSI ISMAEL</v>
      </c>
      <c r="F202" s="114"/>
      <c r="G202" s="114">
        <v>52256614</v>
      </c>
      <c r="H202" s="114"/>
      <c r="I202" s="114"/>
      <c r="J202" s="114" t="s">
        <v>1489</v>
      </c>
      <c r="K202" s="114" t="s">
        <v>1490</v>
      </c>
      <c r="L202" s="113" t="s">
        <v>1479</v>
      </c>
      <c r="M202" s="221"/>
    </row>
    <row r="203" spans="1:13" ht="13.2">
      <c r="A203" s="111">
        <v>44893</v>
      </c>
      <c r="B203" s="114" t="s">
        <v>1246</v>
      </c>
      <c r="C203" s="114" t="s">
        <v>1247</v>
      </c>
      <c r="D203" s="114" t="s">
        <v>1248</v>
      </c>
      <c r="E203" s="232" t="str">
        <f t="shared" si="1"/>
        <v>ZODEHOUGAN JUNIOR</v>
      </c>
      <c r="F203" s="114"/>
      <c r="G203" s="114"/>
      <c r="H203" s="114"/>
      <c r="I203" s="114"/>
      <c r="J203" s="114"/>
      <c r="K203" s="114"/>
      <c r="L203" s="113" t="s">
        <v>1479</v>
      </c>
      <c r="M203" s="221"/>
    </row>
    <row r="204" spans="1:13" ht="13.2">
      <c r="A204" s="111">
        <v>44896</v>
      </c>
      <c r="B204" s="114" t="s">
        <v>1249</v>
      </c>
      <c r="C204" s="114" t="s">
        <v>1250</v>
      </c>
      <c r="D204" s="114" t="s">
        <v>1251</v>
      </c>
      <c r="E204" s="232" t="str">
        <f t="shared" si="1"/>
        <v>MADAME  HOUESSINON</v>
      </c>
      <c r="F204" s="114" t="s">
        <v>524</v>
      </c>
      <c r="G204" s="114"/>
      <c r="H204" s="114"/>
      <c r="I204" s="114"/>
      <c r="J204" s="114" t="s">
        <v>1491</v>
      </c>
      <c r="K204" s="114" t="s">
        <v>1736</v>
      </c>
      <c r="L204" s="113" t="s">
        <v>1738</v>
      </c>
      <c r="M204" s="221"/>
    </row>
    <row r="205" spans="1:13" ht="15.75" customHeight="1">
      <c r="A205" s="118">
        <v>44898</v>
      </c>
      <c r="B205" s="114" t="s">
        <v>1252</v>
      </c>
      <c r="C205" s="114" t="s">
        <v>1253</v>
      </c>
      <c r="D205" s="114" t="s">
        <v>1254</v>
      </c>
      <c r="E205" s="232" t="str">
        <f t="shared" si="1"/>
        <v>ALASSANE LAMATOU</v>
      </c>
      <c r="F205" s="114" t="s">
        <v>499</v>
      </c>
      <c r="G205" s="114">
        <v>66666612</v>
      </c>
      <c r="H205" s="114"/>
      <c r="I205" s="114"/>
      <c r="J205" s="114" t="s">
        <v>713</v>
      </c>
      <c r="K205" s="114"/>
      <c r="L205" s="113" t="s">
        <v>1479</v>
      </c>
      <c r="M205" s="221"/>
    </row>
    <row r="206" spans="1:13" ht="15.75" customHeight="1">
      <c r="A206" s="118">
        <v>44900</v>
      </c>
      <c r="B206" s="114" t="s">
        <v>1255</v>
      </c>
      <c r="C206" s="114" t="s">
        <v>1256</v>
      </c>
      <c r="D206" s="114" t="s">
        <v>1257</v>
      </c>
      <c r="E206" s="232" t="str">
        <f t="shared" si="1"/>
        <v>ACM GROUP</v>
      </c>
      <c r="F206" s="114" t="s">
        <v>874</v>
      </c>
      <c r="G206" s="114"/>
      <c r="H206" s="114"/>
      <c r="I206" s="114"/>
      <c r="J206" s="114" t="s">
        <v>1258</v>
      </c>
      <c r="K206" s="114"/>
      <c r="L206" s="113" t="s">
        <v>1479</v>
      </c>
      <c r="M206" s="221"/>
    </row>
    <row r="207" spans="1:13" ht="15.75" customHeight="1">
      <c r="A207" s="118">
        <v>44904</v>
      </c>
      <c r="B207" s="114" t="s">
        <v>1259</v>
      </c>
      <c r="C207" s="114" t="s">
        <v>1173</v>
      </c>
      <c r="D207" s="114" t="s">
        <v>1260</v>
      </c>
      <c r="E207" s="232" t="str">
        <f t="shared" si="1"/>
        <v>AKONDE JOSIANE</v>
      </c>
      <c r="F207" s="114" t="s">
        <v>661</v>
      </c>
      <c r="G207" s="114">
        <v>97252413</v>
      </c>
      <c r="H207" s="114"/>
      <c r="I207" s="114"/>
      <c r="J207" s="114" t="s">
        <v>825</v>
      </c>
      <c r="K207" s="114"/>
      <c r="L207" s="113" t="s">
        <v>1479</v>
      </c>
      <c r="M207" s="221"/>
    </row>
    <row r="208" spans="1:13" ht="15.75" customHeight="1">
      <c r="A208" s="118">
        <v>44904</v>
      </c>
      <c r="B208" s="114" t="s">
        <v>1261</v>
      </c>
      <c r="C208" s="114" t="s">
        <v>1262</v>
      </c>
      <c r="D208" s="114" t="s">
        <v>1263</v>
      </c>
      <c r="E208" s="233" t="str">
        <f t="shared" si="1"/>
        <v>DONOUVOSSI  NATACHA</v>
      </c>
      <c r="F208" s="114"/>
      <c r="G208" s="114"/>
      <c r="H208" s="114"/>
      <c r="I208" s="114"/>
      <c r="J208" s="114" t="s">
        <v>1157</v>
      </c>
      <c r="K208" s="114"/>
      <c r="L208" s="113" t="s">
        <v>1479</v>
      </c>
      <c r="M208" s="221"/>
    </row>
    <row r="209" spans="1:16" ht="15.75" customHeight="1">
      <c r="A209" s="118">
        <v>44907</v>
      </c>
      <c r="B209" s="114" t="s">
        <v>1264</v>
      </c>
      <c r="C209" s="114" t="s">
        <v>1265</v>
      </c>
      <c r="D209" s="114"/>
      <c r="E209" s="233" t="str">
        <f t="shared" si="1"/>
        <v xml:space="preserve">GHISLAIN </v>
      </c>
      <c r="F209" s="114"/>
      <c r="G209" s="114"/>
      <c r="H209" s="114"/>
      <c r="I209" s="114"/>
      <c r="J209" s="114" t="s">
        <v>500</v>
      </c>
      <c r="K209" s="114"/>
      <c r="L209" s="113" t="s">
        <v>1479</v>
      </c>
      <c r="M209" s="221"/>
    </row>
    <row r="210" spans="1:16" ht="15.75" customHeight="1">
      <c r="A210" s="118">
        <v>44914</v>
      </c>
      <c r="B210" s="114" t="s">
        <v>1266</v>
      </c>
      <c r="C210" s="114" t="s">
        <v>1267</v>
      </c>
      <c r="D210" s="114" t="s">
        <v>1122</v>
      </c>
      <c r="E210" s="233" t="str">
        <f t="shared" si="1"/>
        <v>DOMINGO  STEPHANIE</v>
      </c>
      <c r="F210" s="114"/>
      <c r="G210" s="114"/>
      <c r="H210" s="114"/>
      <c r="I210" s="114"/>
      <c r="J210" s="114" t="s">
        <v>500</v>
      </c>
      <c r="K210" s="114"/>
      <c r="L210" s="113" t="s">
        <v>1479</v>
      </c>
      <c r="M210" s="221"/>
    </row>
    <row r="211" spans="1:16" ht="15.75" customHeight="1">
      <c r="A211" s="118">
        <v>44914</v>
      </c>
      <c r="B211" s="114" t="s">
        <v>1268</v>
      </c>
      <c r="C211" s="114" t="s">
        <v>1269</v>
      </c>
      <c r="D211" s="114" t="s">
        <v>1270</v>
      </c>
      <c r="E211" s="233" t="str">
        <f t="shared" si="1"/>
        <v>SEDRIC MAGNIFICAT</v>
      </c>
      <c r="F211" s="114"/>
      <c r="G211" s="114"/>
      <c r="H211" s="114"/>
      <c r="I211" s="114"/>
      <c r="J211" s="114"/>
      <c r="K211" s="114"/>
      <c r="L211" s="113" t="s">
        <v>1479</v>
      </c>
      <c r="M211" s="221"/>
    </row>
    <row r="212" spans="1:16" ht="15.75" customHeight="1">
      <c r="A212" s="118">
        <v>44916</v>
      </c>
      <c r="B212" s="114" t="s">
        <v>1271</v>
      </c>
      <c r="C212" s="114" t="s">
        <v>1135</v>
      </c>
      <c r="D212" s="114" t="s">
        <v>1272</v>
      </c>
      <c r="E212" s="233" t="str">
        <f t="shared" si="1"/>
        <v>ASSOGBA OLIVIER</v>
      </c>
      <c r="F212" s="114"/>
      <c r="G212" s="114"/>
      <c r="H212" s="114"/>
      <c r="I212" s="114"/>
      <c r="J212" s="114" t="s">
        <v>1273</v>
      </c>
      <c r="K212" s="114"/>
      <c r="L212" s="113" t="s">
        <v>1479</v>
      </c>
      <c r="M212" s="221"/>
    </row>
    <row r="213" spans="1:16" ht="15.75" customHeight="1">
      <c r="A213" s="118">
        <v>44923</v>
      </c>
      <c r="B213" s="114" t="s">
        <v>1274</v>
      </c>
      <c r="C213" s="114" t="s">
        <v>1275</v>
      </c>
      <c r="D213" s="114" t="s">
        <v>1276</v>
      </c>
      <c r="E213" s="233" t="str">
        <f t="shared" si="1"/>
        <v>MAMAN FENOU</v>
      </c>
      <c r="F213" s="114"/>
      <c r="G213" s="114"/>
      <c r="H213" s="114"/>
      <c r="I213" s="114"/>
      <c r="J213" s="114" t="s">
        <v>500</v>
      </c>
      <c r="K213" s="114"/>
      <c r="L213" s="113" t="s">
        <v>1479</v>
      </c>
      <c r="M213" s="221"/>
    </row>
    <row r="214" spans="1:16" ht="15.75" customHeight="1">
      <c r="A214" s="118">
        <v>44564</v>
      </c>
      <c r="B214" s="114" t="s">
        <v>1277</v>
      </c>
      <c r="C214" s="114" t="s">
        <v>1278</v>
      </c>
      <c r="D214" s="114" t="s">
        <v>1279</v>
      </c>
      <c r="E214" s="233" t="str">
        <f t="shared" si="1"/>
        <v>GANDONOU NOURIA</v>
      </c>
      <c r="F214" s="114"/>
      <c r="G214" s="114"/>
      <c r="H214" s="114"/>
      <c r="I214" s="114"/>
      <c r="J214" s="114"/>
      <c r="K214" s="114"/>
      <c r="L214" s="113" t="s">
        <v>1479</v>
      </c>
      <c r="M214" s="221"/>
    </row>
    <row r="215" spans="1:16" ht="15.75" customHeight="1">
      <c r="A215" s="118">
        <v>44565</v>
      </c>
      <c r="B215" s="114" t="s">
        <v>1280</v>
      </c>
      <c r="C215" s="114" t="s">
        <v>1281</v>
      </c>
      <c r="D215" s="114" t="s">
        <v>649</v>
      </c>
      <c r="E215" s="233" t="str">
        <f t="shared" si="1"/>
        <v>HOINDO JONAS</v>
      </c>
      <c r="F215" s="114"/>
      <c r="G215" s="114"/>
      <c r="H215" s="114"/>
      <c r="I215" s="114"/>
      <c r="J215" s="114"/>
      <c r="K215" s="114"/>
      <c r="L215" s="113" t="s">
        <v>1479</v>
      </c>
      <c r="M215" s="221"/>
    </row>
    <row r="216" spans="1:16" ht="15.75" customHeight="1">
      <c r="A216" s="118">
        <v>44566</v>
      </c>
      <c r="B216" s="114" t="s">
        <v>1282</v>
      </c>
      <c r="C216" s="114" t="s">
        <v>1283</v>
      </c>
      <c r="D216" s="114" t="s">
        <v>1284</v>
      </c>
      <c r="E216" s="233" t="str">
        <f t="shared" si="1"/>
        <v>OBOSSOU NADEGE</v>
      </c>
      <c r="F216" s="114"/>
      <c r="G216" s="114"/>
      <c r="H216" s="114"/>
      <c r="I216" s="114"/>
      <c r="J216" s="114" t="s">
        <v>811</v>
      </c>
      <c r="K216" s="114"/>
      <c r="L216" s="113" t="s">
        <v>1479</v>
      </c>
      <c r="M216" s="221"/>
    </row>
    <row r="217" spans="1:16" ht="15.75" customHeight="1">
      <c r="A217" s="118"/>
      <c r="B217" s="114" t="s">
        <v>1285</v>
      </c>
      <c r="C217" s="114" t="s">
        <v>697</v>
      </c>
      <c r="D217" s="114" t="s">
        <v>891</v>
      </c>
      <c r="E217" s="233" t="str">
        <f t="shared" si="1"/>
        <v>MADAME AIDJI</v>
      </c>
      <c r="F217" s="114"/>
      <c r="G217" s="114"/>
      <c r="H217" s="114"/>
      <c r="I217" s="114"/>
      <c r="J217" s="114" t="s">
        <v>533</v>
      </c>
      <c r="K217" s="114"/>
      <c r="L217" s="113" t="s">
        <v>1479</v>
      </c>
      <c r="M217" s="221"/>
    </row>
    <row r="218" spans="1:16" ht="15.75" customHeight="1">
      <c r="A218" s="118"/>
      <c r="B218" s="114" t="s">
        <v>1286</v>
      </c>
      <c r="C218" s="114" t="s">
        <v>1287</v>
      </c>
      <c r="D218" s="114" t="s">
        <v>1288</v>
      </c>
      <c r="E218" s="233" t="str">
        <f t="shared" si="1"/>
        <v>AGBO AFIAVI</v>
      </c>
      <c r="F218" s="114"/>
      <c r="G218" s="114"/>
      <c r="H218" s="114"/>
      <c r="I218" s="114"/>
      <c r="J218" s="114" t="s">
        <v>1289</v>
      </c>
      <c r="K218" s="114"/>
      <c r="L218" s="113" t="s">
        <v>1479</v>
      </c>
      <c r="M218" s="221"/>
    </row>
    <row r="219" spans="1:16" ht="15.75" customHeight="1">
      <c r="A219" s="118">
        <v>44946</v>
      </c>
      <c r="B219" s="114" t="s">
        <v>1290</v>
      </c>
      <c r="C219" s="114" t="s">
        <v>1291</v>
      </c>
      <c r="D219" s="114" t="s">
        <v>1292</v>
      </c>
      <c r="E219" s="233" t="str">
        <f t="shared" si="1"/>
        <v>BOKO CLARICE</v>
      </c>
      <c r="F219" s="114"/>
      <c r="G219" s="114"/>
      <c r="H219" s="114"/>
      <c r="I219" s="114"/>
      <c r="J219" s="114"/>
      <c r="K219" s="114"/>
      <c r="L219" s="113" t="s">
        <v>1479</v>
      </c>
      <c r="M219" s="221"/>
    </row>
    <row r="220" spans="1:16" s="186" customFormat="1" ht="15.75" customHeight="1">
      <c r="A220" s="187"/>
      <c r="B220" s="184" t="s">
        <v>1293</v>
      </c>
      <c r="C220" s="184" t="s">
        <v>1294</v>
      </c>
      <c r="D220" s="184" t="s">
        <v>1295</v>
      </c>
      <c r="E220" s="233" t="str">
        <f t="shared" si="1"/>
        <v>ANATO ROLANDE</v>
      </c>
      <c r="F220" s="184"/>
      <c r="G220" s="184"/>
      <c r="H220" s="184"/>
      <c r="I220" s="184"/>
      <c r="J220" s="184" t="s">
        <v>1229</v>
      </c>
      <c r="K220" s="184"/>
      <c r="L220" s="185" t="s">
        <v>1479</v>
      </c>
      <c r="M220" s="224"/>
      <c r="N220" s="110"/>
      <c r="O220" s="110"/>
      <c r="P220" s="110"/>
    </row>
    <row r="221" spans="1:16" ht="15.75" customHeight="1">
      <c r="A221" s="118"/>
      <c r="B221" s="114" t="s">
        <v>1296</v>
      </c>
      <c r="C221" s="114" t="s">
        <v>1060</v>
      </c>
      <c r="D221" s="114" t="s">
        <v>1297</v>
      </c>
      <c r="E221" s="233" t="str">
        <f t="shared" si="1"/>
        <v>HOUINATO CLAUDE</v>
      </c>
      <c r="F221" s="114"/>
      <c r="G221" s="114"/>
      <c r="H221" s="114"/>
      <c r="I221" s="114"/>
      <c r="J221" s="114" t="s">
        <v>811</v>
      </c>
      <c r="K221" s="114"/>
      <c r="L221" s="113" t="s">
        <v>1479</v>
      </c>
      <c r="M221" s="221"/>
    </row>
    <row r="222" spans="1:16" s="186" customFormat="1" ht="15.75" customHeight="1">
      <c r="A222" s="187"/>
      <c r="B222" s="184" t="s">
        <v>1298</v>
      </c>
      <c r="C222" s="184" t="s">
        <v>1055</v>
      </c>
      <c r="D222" s="184" t="s">
        <v>1299</v>
      </c>
      <c r="E222" s="233" t="str">
        <f t="shared" si="1"/>
        <v>MONSIEUR MEFFIAS</v>
      </c>
      <c r="F222" s="184"/>
      <c r="G222" s="184"/>
      <c r="H222" s="184"/>
      <c r="I222" s="184"/>
      <c r="J222" s="184" t="s">
        <v>500</v>
      </c>
      <c r="K222" s="184"/>
      <c r="L222" s="185" t="s">
        <v>1479</v>
      </c>
      <c r="M222" s="224"/>
      <c r="N222" s="110"/>
      <c r="O222" s="110"/>
      <c r="P222" s="110"/>
    </row>
    <row r="223" spans="1:16" ht="15.75" customHeight="1">
      <c r="A223" s="118">
        <v>44956</v>
      </c>
      <c r="B223" s="114" t="s">
        <v>1300</v>
      </c>
      <c r="C223" s="114" t="s">
        <v>1132</v>
      </c>
      <c r="D223" s="114" t="s">
        <v>1301</v>
      </c>
      <c r="E223" s="233" t="str">
        <f t="shared" si="1"/>
        <v>EZIN LAURELLE</v>
      </c>
      <c r="F223" s="114"/>
      <c r="G223" s="114"/>
      <c r="H223" s="114"/>
      <c r="I223" s="114"/>
      <c r="J223" s="114" t="s">
        <v>500</v>
      </c>
      <c r="K223" s="114"/>
      <c r="L223" s="113" t="s">
        <v>1479</v>
      </c>
      <c r="M223" s="221"/>
    </row>
    <row r="224" spans="1:16" ht="15.75" customHeight="1">
      <c r="A224" s="118">
        <v>44957</v>
      </c>
      <c r="B224" s="114" t="s">
        <v>1302</v>
      </c>
      <c r="C224" s="114" t="s">
        <v>1303</v>
      </c>
      <c r="D224" s="114" t="s">
        <v>1272</v>
      </c>
      <c r="E224" s="233" t="str">
        <f t="shared" si="1"/>
        <v>FOLLY  OLIVIER</v>
      </c>
      <c r="F224" s="114"/>
      <c r="G224" s="114"/>
      <c r="H224" s="114"/>
      <c r="I224" s="114"/>
      <c r="J224" s="114" t="s">
        <v>500</v>
      </c>
      <c r="K224" s="114" t="s">
        <v>1492</v>
      </c>
      <c r="L224" s="113" t="s">
        <v>1479</v>
      </c>
      <c r="M224" s="221"/>
    </row>
    <row r="225" spans="1:13" ht="15.75" customHeight="1">
      <c r="A225" s="118">
        <v>44959</v>
      </c>
      <c r="B225" s="114" t="s">
        <v>1304</v>
      </c>
      <c r="C225" s="114" t="s">
        <v>1287</v>
      </c>
      <c r="D225" s="114" t="s">
        <v>873</v>
      </c>
      <c r="E225" s="233" t="str">
        <f t="shared" si="1"/>
        <v>AGBO OCEANE</v>
      </c>
      <c r="F225" s="114"/>
      <c r="G225" s="114"/>
      <c r="H225" s="114"/>
      <c r="I225" s="114"/>
      <c r="J225" s="114" t="s">
        <v>500</v>
      </c>
      <c r="K225" s="114"/>
      <c r="L225" s="113" t="s">
        <v>1479</v>
      </c>
      <c r="M225" s="221"/>
    </row>
    <row r="226" spans="1:13" ht="15.75" customHeight="1">
      <c r="A226" s="118">
        <v>44961</v>
      </c>
      <c r="B226" s="114" t="s">
        <v>1305</v>
      </c>
      <c r="C226" s="114" t="s">
        <v>1250</v>
      </c>
      <c r="D226" s="114" t="s">
        <v>1306</v>
      </c>
      <c r="E226" s="233" t="str">
        <f t="shared" si="1"/>
        <v>MADAME  NICOLE</v>
      </c>
      <c r="F226" s="114"/>
      <c r="G226" s="114"/>
      <c r="H226" s="114"/>
      <c r="I226" s="114"/>
      <c r="J226" s="114" t="s">
        <v>618</v>
      </c>
      <c r="K226" s="114"/>
      <c r="L226" s="113" t="s">
        <v>1479</v>
      </c>
      <c r="M226" s="221"/>
    </row>
    <row r="227" spans="1:13" ht="15.75" customHeight="1">
      <c r="A227" s="118">
        <v>44961</v>
      </c>
      <c r="B227" s="114" t="s">
        <v>1307</v>
      </c>
      <c r="C227" s="114" t="s">
        <v>1308</v>
      </c>
      <c r="D227" s="114" t="s">
        <v>1309</v>
      </c>
      <c r="E227" s="233" t="str">
        <f t="shared" si="1"/>
        <v>LAWSON DENIS</v>
      </c>
      <c r="F227" s="114"/>
      <c r="G227" s="114"/>
      <c r="H227" s="114"/>
      <c r="I227" s="114"/>
      <c r="J227" s="114" t="s">
        <v>618</v>
      </c>
      <c r="K227" s="114"/>
      <c r="L227" s="113" t="s">
        <v>1479</v>
      </c>
      <c r="M227" s="221"/>
    </row>
    <row r="228" spans="1:13" ht="15.75" customHeight="1">
      <c r="A228" s="118">
        <v>44965</v>
      </c>
      <c r="B228" s="114" t="s">
        <v>1310</v>
      </c>
      <c r="C228" s="114" t="s">
        <v>1311</v>
      </c>
      <c r="D228" s="114" t="s">
        <v>1312</v>
      </c>
      <c r="E228" s="233" t="str">
        <f t="shared" si="1"/>
        <v>HOUENOU BRUNO</v>
      </c>
      <c r="F228" s="114"/>
      <c r="G228" s="114"/>
      <c r="H228" s="114"/>
      <c r="I228" s="114"/>
      <c r="J228" s="114" t="s">
        <v>500</v>
      </c>
      <c r="K228" s="114"/>
      <c r="L228" s="113" t="s">
        <v>1479</v>
      </c>
      <c r="M228" s="221"/>
    </row>
    <row r="229" spans="1:13" ht="15.75" customHeight="1">
      <c r="A229" s="118">
        <v>44965</v>
      </c>
      <c r="B229" s="114" t="s">
        <v>1313</v>
      </c>
      <c r="C229" s="114" t="s">
        <v>1314</v>
      </c>
      <c r="D229" s="114" t="s">
        <v>1315</v>
      </c>
      <c r="E229" s="233" t="str">
        <f t="shared" si="1"/>
        <v>RAMANOU ZAFIRATH</v>
      </c>
      <c r="F229" s="114"/>
      <c r="G229" s="114"/>
      <c r="H229" s="114"/>
      <c r="I229" s="114"/>
      <c r="J229" s="114" t="s">
        <v>1316</v>
      </c>
      <c r="K229" s="114" t="s">
        <v>1317</v>
      </c>
      <c r="L229" s="113" t="s">
        <v>1479</v>
      </c>
      <c r="M229" s="221"/>
    </row>
    <row r="230" spans="1:13" ht="15.75" customHeight="1">
      <c r="A230" s="118">
        <v>44966</v>
      </c>
      <c r="B230" s="114" t="s">
        <v>1318</v>
      </c>
      <c r="C230" s="114" t="s">
        <v>1319</v>
      </c>
      <c r="D230" s="114" t="s">
        <v>1320</v>
      </c>
      <c r="E230" s="233" t="str">
        <f t="shared" si="1"/>
        <v>ADESHEWA ORIYOMI</v>
      </c>
      <c r="F230" s="114"/>
      <c r="G230" s="114"/>
      <c r="H230" s="114"/>
      <c r="I230" s="114"/>
      <c r="J230" s="114" t="s">
        <v>1321</v>
      </c>
      <c r="K230" s="114"/>
      <c r="L230" s="113" t="s">
        <v>1479</v>
      </c>
      <c r="M230" s="221"/>
    </row>
    <row r="231" spans="1:13" ht="15.75" customHeight="1">
      <c r="A231" s="118">
        <v>44967</v>
      </c>
      <c r="B231" s="114" t="s">
        <v>1322</v>
      </c>
      <c r="C231" s="114" t="s">
        <v>1323</v>
      </c>
      <c r="D231" s="114" t="s">
        <v>1324</v>
      </c>
      <c r="E231" s="233" t="str">
        <f t="shared" si="1"/>
        <v>MONGBO  BRICE</v>
      </c>
      <c r="F231" s="114"/>
      <c r="G231" s="114"/>
      <c r="H231" s="114"/>
      <c r="I231" s="114"/>
      <c r="J231" s="217" t="s">
        <v>1587</v>
      </c>
      <c r="K231" s="114" t="s">
        <v>1586</v>
      </c>
      <c r="L231" s="113" t="s">
        <v>1738</v>
      </c>
      <c r="M231" s="221"/>
    </row>
    <row r="232" spans="1:13" ht="15.75" customHeight="1">
      <c r="A232" s="118">
        <v>44971</v>
      </c>
      <c r="B232" s="114" t="s">
        <v>1325</v>
      </c>
      <c r="C232" s="114" t="s">
        <v>1326</v>
      </c>
      <c r="D232" s="114" t="s">
        <v>1327</v>
      </c>
      <c r="E232" s="233" t="str">
        <f t="shared" si="1"/>
        <v>AKAKPO MELANIE</v>
      </c>
      <c r="F232" s="114"/>
      <c r="G232" s="114"/>
      <c r="H232" s="114"/>
      <c r="I232" s="114"/>
      <c r="J232" s="114" t="s">
        <v>500</v>
      </c>
      <c r="K232" s="114"/>
      <c r="L232" s="113" t="s">
        <v>1479</v>
      </c>
      <c r="M232" s="221"/>
    </row>
    <row r="233" spans="1:13" ht="15.75" customHeight="1">
      <c r="A233" s="118">
        <v>44972</v>
      </c>
      <c r="B233" s="114" t="s">
        <v>1328</v>
      </c>
      <c r="C233" s="114" t="s">
        <v>1329</v>
      </c>
      <c r="D233" s="114" t="s">
        <v>512</v>
      </c>
      <c r="E233" s="233" t="str">
        <f t="shared" si="1"/>
        <v>OLOUKOU PIERRE</v>
      </c>
      <c r="F233" s="114"/>
      <c r="G233" s="114"/>
      <c r="H233" s="114"/>
      <c r="I233" s="114"/>
      <c r="J233" s="114" t="s">
        <v>1588</v>
      </c>
      <c r="K233" s="114"/>
      <c r="L233" s="113" t="s">
        <v>1479</v>
      </c>
      <c r="M233" s="221"/>
    </row>
    <row r="234" spans="1:13" ht="15.75" customHeight="1">
      <c r="A234" s="118"/>
      <c r="B234" s="114" t="s">
        <v>1493</v>
      </c>
      <c r="C234" s="114" t="s">
        <v>1494</v>
      </c>
      <c r="D234" s="114" t="s">
        <v>1330</v>
      </c>
      <c r="E234" s="233" t="str">
        <f t="shared" si="1"/>
        <v>AGBANOU CAROLINE</v>
      </c>
      <c r="F234" s="114" t="s">
        <v>1589</v>
      </c>
      <c r="G234" s="114"/>
      <c r="H234" s="114"/>
      <c r="I234" s="114"/>
      <c r="J234" s="114" t="s">
        <v>1321</v>
      </c>
      <c r="K234" s="114" t="s">
        <v>1495</v>
      </c>
      <c r="L234" s="113" t="s">
        <v>1479</v>
      </c>
      <c r="M234" s="221"/>
    </row>
    <row r="235" spans="1:13" ht="15.75" customHeight="1">
      <c r="A235" s="118"/>
      <c r="B235" s="114" t="s">
        <v>1331</v>
      </c>
      <c r="C235" s="114" t="s">
        <v>697</v>
      </c>
      <c r="D235" s="114" t="s">
        <v>1263</v>
      </c>
      <c r="E235" s="233" t="str">
        <f t="shared" si="1"/>
        <v>MADAME NATACHA</v>
      </c>
      <c r="F235" s="114"/>
      <c r="G235" s="114"/>
      <c r="H235" s="114"/>
      <c r="I235" s="114"/>
      <c r="J235" s="114" t="s">
        <v>1057</v>
      </c>
      <c r="K235" s="114" t="s">
        <v>1496</v>
      </c>
      <c r="L235" s="113" t="s">
        <v>1738</v>
      </c>
      <c r="M235" s="221"/>
    </row>
    <row r="236" spans="1:13" ht="15.75" customHeight="1">
      <c r="A236" s="118">
        <v>44981</v>
      </c>
      <c r="B236" s="114" t="s">
        <v>1332</v>
      </c>
      <c r="C236" s="114" t="s">
        <v>1333</v>
      </c>
      <c r="D236" s="114" t="s">
        <v>1334</v>
      </c>
      <c r="E236" s="233" t="str">
        <f t="shared" si="1"/>
        <v>FALADE MICHELINE</v>
      </c>
      <c r="F236" s="114"/>
      <c r="G236" s="114"/>
      <c r="H236" s="114"/>
      <c r="I236" s="114"/>
      <c r="J236" s="114" t="s">
        <v>488</v>
      </c>
      <c r="K236" s="114" t="s">
        <v>1335</v>
      </c>
      <c r="L236" s="113" t="s">
        <v>1738</v>
      </c>
      <c r="M236" s="221"/>
    </row>
    <row r="237" spans="1:13" ht="15.75" customHeight="1">
      <c r="A237" s="118"/>
      <c r="B237" s="114" t="s">
        <v>1336</v>
      </c>
      <c r="C237" s="114" t="s">
        <v>932</v>
      </c>
      <c r="D237" s="114" t="s">
        <v>1337</v>
      </c>
      <c r="E237" s="233" t="str">
        <f t="shared" si="1"/>
        <v>CODJIA ARMEL</v>
      </c>
      <c r="F237" s="114"/>
      <c r="G237" s="114"/>
      <c r="H237" s="114"/>
      <c r="I237" s="114"/>
      <c r="J237" s="114" t="s">
        <v>1044</v>
      </c>
      <c r="K237" s="114" t="s">
        <v>1497</v>
      </c>
      <c r="L237" s="113" t="s">
        <v>1738</v>
      </c>
      <c r="M237" s="221"/>
    </row>
    <row r="238" spans="1:13" ht="15.75" customHeight="1">
      <c r="A238" s="118">
        <v>44984</v>
      </c>
      <c r="B238" s="114" t="s">
        <v>1338</v>
      </c>
      <c r="C238" s="114" t="s">
        <v>1339</v>
      </c>
      <c r="D238" s="114" t="s">
        <v>1340</v>
      </c>
      <c r="E238" s="233" t="str">
        <f t="shared" si="1"/>
        <v>TINDAGBE RENACK</v>
      </c>
      <c r="F238" s="114"/>
      <c r="G238" s="114"/>
      <c r="H238" s="114"/>
      <c r="I238" s="114"/>
      <c r="J238" s="114" t="s">
        <v>500</v>
      </c>
      <c r="K238" s="114"/>
      <c r="L238" s="113" t="s">
        <v>1479</v>
      </c>
      <c r="M238" s="221"/>
    </row>
    <row r="239" spans="1:13" ht="15.75" customHeight="1">
      <c r="A239" s="118">
        <v>44987</v>
      </c>
      <c r="B239" s="114" t="s">
        <v>1341</v>
      </c>
      <c r="C239" s="114" t="s">
        <v>1342</v>
      </c>
      <c r="D239" s="114" t="s">
        <v>1343</v>
      </c>
      <c r="E239" s="233" t="str">
        <f t="shared" si="1"/>
        <v>ADIMOU  GILLES CHRIST</v>
      </c>
      <c r="F239" s="114"/>
      <c r="G239" s="114"/>
      <c r="H239" s="114"/>
      <c r="I239" s="114"/>
      <c r="J239" s="114" t="s">
        <v>500</v>
      </c>
      <c r="K239" s="114"/>
      <c r="L239" s="113" t="s">
        <v>1479</v>
      </c>
      <c r="M239" s="221"/>
    </row>
    <row r="240" spans="1:13" ht="15.75" customHeight="1">
      <c r="A240" s="118">
        <v>44988</v>
      </c>
      <c r="B240" s="114" t="s">
        <v>1344</v>
      </c>
      <c r="C240" s="114" t="s">
        <v>1345</v>
      </c>
      <c r="D240" s="114" t="s">
        <v>1346</v>
      </c>
      <c r="E240" s="233" t="str">
        <f t="shared" si="1"/>
        <v>OUASSAGARI ABDEL KAMEL</v>
      </c>
      <c r="F240" s="114" t="s">
        <v>499</v>
      </c>
      <c r="G240" s="114"/>
      <c r="H240" s="114"/>
      <c r="I240" s="114"/>
      <c r="J240" s="114" t="s">
        <v>713</v>
      </c>
      <c r="K240" s="114" t="s">
        <v>1498</v>
      </c>
      <c r="L240" s="113" t="s">
        <v>1739</v>
      </c>
      <c r="M240" s="221"/>
    </row>
    <row r="241" spans="1:13" ht="15.75" customHeight="1">
      <c r="A241" s="118">
        <v>44989</v>
      </c>
      <c r="B241" s="114" t="s">
        <v>1347</v>
      </c>
      <c r="C241" s="114" t="s">
        <v>1348</v>
      </c>
      <c r="D241" s="114" t="s">
        <v>1349</v>
      </c>
      <c r="E241" s="233" t="str">
        <f t="shared" si="1"/>
        <v>ANISSEY ESTELLE</v>
      </c>
      <c r="F241" s="114"/>
      <c r="G241" s="114"/>
      <c r="H241" s="114"/>
      <c r="I241" s="114"/>
      <c r="J241" s="114" t="s">
        <v>500</v>
      </c>
      <c r="K241" s="114"/>
      <c r="L241" s="113" t="s">
        <v>1479</v>
      </c>
      <c r="M241" s="221"/>
    </row>
    <row r="242" spans="1:13" ht="15.75" customHeight="1">
      <c r="A242" s="118">
        <v>44989</v>
      </c>
      <c r="B242" s="114" t="s">
        <v>1350</v>
      </c>
      <c r="C242" s="114" t="s">
        <v>1351</v>
      </c>
      <c r="D242" s="114" t="s">
        <v>1352</v>
      </c>
      <c r="E242" s="233" t="str">
        <f t="shared" si="1"/>
        <v>SUNU Assurance  Vie BENIN</v>
      </c>
      <c r="F242" s="114"/>
      <c r="G242" s="114"/>
      <c r="H242" s="114"/>
      <c r="I242" s="114"/>
      <c r="J242" s="114" t="s">
        <v>825</v>
      </c>
      <c r="K242" s="114"/>
      <c r="L242" s="113" t="s">
        <v>1479</v>
      </c>
      <c r="M242" s="221"/>
    </row>
    <row r="243" spans="1:13" ht="15.75" customHeight="1">
      <c r="A243" s="118">
        <v>45001</v>
      </c>
      <c r="B243" s="114" t="s">
        <v>1353</v>
      </c>
      <c r="C243" s="114" t="s">
        <v>1354</v>
      </c>
      <c r="D243" s="114" t="s">
        <v>1355</v>
      </c>
      <c r="E243" s="233" t="str">
        <f t="shared" si="1"/>
        <v>AMOUSSOU HYPPOLITE</v>
      </c>
      <c r="F243" s="114"/>
      <c r="G243" s="114"/>
      <c r="H243" s="114"/>
      <c r="I243" s="114"/>
      <c r="J243" s="114" t="s">
        <v>500</v>
      </c>
      <c r="K243" s="114"/>
      <c r="L243" s="113" t="s">
        <v>1479</v>
      </c>
      <c r="M243" s="221"/>
    </row>
    <row r="244" spans="1:13" ht="15.75" customHeight="1">
      <c r="A244" s="118">
        <v>44989</v>
      </c>
      <c r="B244" s="114" t="s">
        <v>1356</v>
      </c>
      <c r="C244" s="114" t="s">
        <v>1345</v>
      </c>
      <c r="D244" s="114" t="s">
        <v>1357</v>
      </c>
      <c r="E244" s="233" t="str">
        <f t="shared" si="1"/>
        <v>OUASSAGARI KAMAR</v>
      </c>
      <c r="F244" s="114" t="s">
        <v>499</v>
      </c>
      <c r="G244" s="114"/>
      <c r="H244" s="114"/>
      <c r="I244" s="114"/>
      <c r="J244" s="114" t="s">
        <v>713</v>
      </c>
      <c r="K244" s="114" t="s">
        <v>1498</v>
      </c>
      <c r="L244" s="113" t="s">
        <v>1738</v>
      </c>
      <c r="M244" s="221"/>
    </row>
    <row r="245" spans="1:13" ht="15.75" customHeight="1">
      <c r="A245" s="118">
        <v>45005</v>
      </c>
      <c r="B245" s="114" t="s">
        <v>1358</v>
      </c>
      <c r="C245" s="114" t="s">
        <v>1359</v>
      </c>
      <c r="D245" s="114" t="s">
        <v>1360</v>
      </c>
      <c r="E245" s="233" t="str">
        <f t="shared" si="1"/>
        <v>TOHON JONIECE</v>
      </c>
      <c r="F245" s="114"/>
      <c r="G245" s="114"/>
      <c r="H245" s="114"/>
      <c r="I245" s="114"/>
      <c r="J245" s="114" t="s">
        <v>600</v>
      </c>
      <c r="K245" s="114"/>
      <c r="L245" s="113" t="s">
        <v>1479</v>
      </c>
      <c r="M245" s="221"/>
    </row>
    <row r="246" spans="1:13" ht="15.75" customHeight="1">
      <c r="A246" s="118">
        <v>45008</v>
      </c>
      <c r="B246" s="114" t="s">
        <v>1361</v>
      </c>
      <c r="C246" s="114" t="s">
        <v>1362</v>
      </c>
      <c r="D246" s="114" t="s">
        <v>1363</v>
      </c>
      <c r="E246" s="233" t="str">
        <f t="shared" si="1"/>
        <v>KPAKPATROU ABIBATOU</v>
      </c>
      <c r="F246" s="114"/>
      <c r="G246" s="114"/>
      <c r="H246" s="114"/>
      <c r="I246" s="114"/>
      <c r="J246" s="114" t="s">
        <v>1364</v>
      </c>
      <c r="K246" s="114"/>
      <c r="L246" s="113" t="s">
        <v>1479</v>
      </c>
      <c r="M246" s="221"/>
    </row>
    <row r="247" spans="1:13" ht="15.75" customHeight="1">
      <c r="A247" s="118">
        <v>45008</v>
      </c>
      <c r="B247" s="114" t="s">
        <v>1365</v>
      </c>
      <c r="C247" s="114" t="s">
        <v>1366</v>
      </c>
      <c r="D247" s="114" t="s">
        <v>1367</v>
      </c>
      <c r="E247" s="233" t="str">
        <f t="shared" si="1"/>
        <v>FANDOHAN  CARMEN</v>
      </c>
      <c r="F247" s="114"/>
      <c r="G247" s="114"/>
      <c r="H247" s="114"/>
      <c r="I247" s="114"/>
      <c r="J247" s="114" t="s">
        <v>1364</v>
      </c>
      <c r="K247" s="114"/>
      <c r="L247" s="113" t="s">
        <v>1479</v>
      </c>
      <c r="M247" s="221"/>
    </row>
    <row r="248" spans="1:13" ht="15.75" customHeight="1">
      <c r="A248" s="118">
        <v>45010</v>
      </c>
      <c r="B248" s="114" t="s">
        <v>1368</v>
      </c>
      <c r="C248" s="114" t="s">
        <v>1369</v>
      </c>
      <c r="D248" s="114" t="s">
        <v>1370</v>
      </c>
      <c r="E248" s="233" t="str">
        <f t="shared" ref="E248:E254" si="2">CONCATENATE(C248," ",D248)</f>
        <v>MIGUEL STEVE</v>
      </c>
      <c r="F248" s="114"/>
      <c r="G248" s="114"/>
      <c r="H248" s="114"/>
      <c r="I248" s="114"/>
      <c r="J248" s="114" t="s">
        <v>1371</v>
      </c>
      <c r="K248" s="114"/>
      <c r="L248" s="113" t="s">
        <v>1479</v>
      </c>
      <c r="M248" s="221"/>
    </row>
    <row r="249" spans="1:13" ht="15.75" customHeight="1">
      <c r="A249" s="118">
        <v>45013</v>
      </c>
      <c r="B249" s="114" t="s">
        <v>1372</v>
      </c>
      <c r="C249" s="114" t="s">
        <v>1373</v>
      </c>
      <c r="D249" s="114" t="s">
        <v>1374</v>
      </c>
      <c r="E249" s="233" t="str">
        <f t="shared" si="2"/>
        <v>GNANHO CARINE</v>
      </c>
      <c r="F249" s="114"/>
      <c r="G249" s="114"/>
      <c r="H249" s="114"/>
      <c r="I249" s="114"/>
      <c r="J249" s="114" t="s">
        <v>500</v>
      </c>
      <c r="K249" s="114"/>
      <c r="L249" s="113" t="s">
        <v>1479</v>
      </c>
      <c r="M249" s="221"/>
    </row>
    <row r="250" spans="1:13" ht="15.75" customHeight="1">
      <c r="A250" s="118">
        <v>40989</v>
      </c>
      <c r="B250" s="114" t="s">
        <v>1375</v>
      </c>
      <c r="C250" s="114" t="s">
        <v>1376</v>
      </c>
      <c r="D250" s="114" t="s">
        <v>1377</v>
      </c>
      <c r="E250" s="233" t="str">
        <f t="shared" si="2"/>
        <v>DAGNITO JOANNA</v>
      </c>
      <c r="F250" s="114"/>
      <c r="G250" s="114"/>
      <c r="H250" s="114"/>
      <c r="I250" s="114"/>
      <c r="J250" s="114" t="s">
        <v>500</v>
      </c>
      <c r="K250" s="114"/>
      <c r="L250" s="113" t="s">
        <v>1479</v>
      </c>
      <c r="M250" s="221"/>
    </row>
    <row r="251" spans="1:13" ht="15.75" customHeight="1">
      <c r="A251" s="118">
        <v>45017</v>
      </c>
      <c r="B251" s="114" t="s">
        <v>1378</v>
      </c>
      <c r="C251" s="114" t="s">
        <v>1379</v>
      </c>
      <c r="D251" s="114" t="s">
        <v>1380</v>
      </c>
      <c r="E251" s="233" t="str">
        <f t="shared" si="2"/>
        <v>AKPLOGAN MAXIME</v>
      </c>
      <c r="F251" s="114"/>
      <c r="G251" s="114"/>
      <c r="H251" s="114"/>
      <c r="I251" s="114"/>
      <c r="J251" s="114" t="s">
        <v>904</v>
      </c>
      <c r="K251" s="114" t="s">
        <v>1381</v>
      </c>
      <c r="L251" s="113" t="s">
        <v>1479</v>
      </c>
      <c r="M251" s="221"/>
    </row>
    <row r="252" spans="1:13" ht="15.75" customHeight="1">
      <c r="A252" s="118">
        <v>45019</v>
      </c>
      <c r="B252" s="114" t="s">
        <v>1382</v>
      </c>
      <c r="C252" s="114" t="s">
        <v>1383</v>
      </c>
      <c r="D252" s="114" t="s">
        <v>1384</v>
      </c>
      <c r="E252" s="233" t="str">
        <f t="shared" si="2"/>
        <v>SOGLO FLORENTINE</v>
      </c>
      <c r="F252" s="114"/>
      <c r="G252" s="114"/>
      <c r="H252" s="114"/>
      <c r="I252" s="114"/>
      <c r="J252" s="114" t="s">
        <v>500</v>
      </c>
      <c r="K252" s="114"/>
      <c r="L252" s="113" t="s">
        <v>1479</v>
      </c>
      <c r="M252" s="221"/>
    </row>
    <row r="253" spans="1:13" ht="15.75" customHeight="1">
      <c r="A253" s="118">
        <v>45020</v>
      </c>
      <c r="B253" s="114" t="s">
        <v>1385</v>
      </c>
      <c r="C253" s="114" t="s">
        <v>1386</v>
      </c>
      <c r="D253" s="114" t="s">
        <v>1387</v>
      </c>
      <c r="E253" s="233" t="str">
        <f t="shared" si="2"/>
        <v>ADECHOKPE INGRIDE</v>
      </c>
      <c r="F253" s="114"/>
      <c r="G253" s="114"/>
      <c r="H253" s="114"/>
      <c r="I253" s="114"/>
      <c r="J253" s="114" t="s">
        <v>811</v>
      </c>
      <c r="K253" s="114"/>
      <c r="L253" s="113" t="s">
        <v>1479</v>
      </c>
      <c r="M253" s="221"/>
    </row>
    <row r="254" spans="1:13" ht="15.75" customHeight="1">
      <c r="A254" s="118">
        <v>45021</v>
      </c>
      <c r="B254" s="114" t="s">
        <v>1388</v>
      </c>
      <c r="C254" s="114" t="s">
        <v>1275</v>
      </c>
      <c r="D254" s="114" t="s">
        <v>1389</v>
      </c>
      <c r="E254" s="233" t="str">
        <f t="shared" si="2"/>
        <v>MAMAN HOSNI</v>
      </c>
      <c r="F254" s="114"/>
      <c r="G254" s="114"/>
      <c r="H254" s="114"/>
      <c r="I254" s="114"/>
      <c r="J254" s="114" t="s">
        <v>500</v>
      </c>
      <c r="K254" s="114"/>
      <c r="L254" s="113" t="s">
        <v>1479</v>
      </c>
      <c r="M254" s="221"/>
    </row>
    <row r="255" spans="1:13" ht="15.75" customHeight="1">
      <c r="A255" s="118">
        <v>45022</v>
      </c>
      <c r="B255" s="114" t="s">
        <v>1390</v>
      </c>
      <c r="C255" s="114" t="s">
        <v>1391</v>
      </c>
      <c r="D255" s="114" t="s">
        <v>1392</v>
      </c>
      <c r="E255" s="233" t="str">
        <f>CONCATENATE(C255," ",D255)</f>
        <v>AKPOVO FRANCOISE</v>
      </c>
      <c r="F255" s="114"/>
      <c r="G255" s="114"/>
      <c r="H255" s="114"/>
      <c r="I255" s="114"/>
      <c r="J255" s="114"/>
      <c r="K255" s="114"/>
      <c r="L255" s="113" t="s">
        <v>1479</v>
      </c>
      <c r="M255" s="221"/>
    </row>
    <row r="256" spans="1:13" ht="15.75" customHeight="1">
      <c r="A256" s="118">
        <v>45023</v>
      </c>
      <c r="B256" s="114" t="s">
        <v>1393</v>
      </c>
      <c r="C256" s="114" t="s">
        <v>697</v>
      </c>
      <c r="D256" s="114" t="s">
        <v>1394</v>
      </c>
      <c r="E256" s="233" t="str">
        <f t="shared" ref="E256:E284" si="3">CONCATENATE(C256," ",D256)</f>
        <v>MADAME AGBOTON</v>
      </c>
      <c r="F256" s="114"/>
      <c r="G256" s="114"/>
      <c r="H256" s="114"/>
      <c r="I256" s="114"/>
      <c r="J256" s="114" t="s">
        <v>1395</v>
      </c>
      <c r="K256" s="114"/>
      <c r="L256" s="113" t="s">
        <v>1479</v>
      </c>
      <c r="M256" s="221"/>
    </row>
    <row r="257" spans="1:16" ht="15.75" customHeight="1">
      <c r="A257" s="118">
        <v>45024</v>
      </c>
      <c r="B257" s="114" t="s">
        <v>1396</v>
      </c>
      <c r="C257" s="114" t="s">
        <v>1397</v>
      </c>
      <c r="D257" s="114" t="s">
        <v>1398</v>
      </c>
      <c r="E257" s="233" t="str">
        <f t="shared" si="3"/>
        <v>TONNOU PASCAL</v>
      </c>
      <c r="F257" s="114"/>
      <c r="G257" s="114"/>
      <c r="H257" s="114"/>
      <c r="I257" s="114"/>
      <c r="J257" s="114" t="s">
        <v>514</v>
      </c>
      <c r="K257" s="114"/>
      <c r="L257" s="113" t="s">
        <v>1479</v>
      </c>
      <c r="M257" s="221"/>
    </row>
    <row r="258" spans="1:16" ht="15.75" customHeight="1">
      <c r="A258" s="118">
        <v>45028</v>
      </c>
      <c r="B258" s="114" t="s">
        <v>1399</v>
      </c>
      <c r="C258" s="114" t="s">
        <v>1400</v>
      </c>
      <c r="D258" s="114" t="s">
        <v>1401</v>
      </c>
      <c r="E258" s="233" t="str">
        <f t="shared" si="3"/>
        <v>DOSSA AMOS</v>
      </c>
      <c r="F258" s="114"/>
      <c r="G258" s="114"/>
      <c r="H258" s="114"/>
      <c r="I258" s="114"/>
      <c r="J258" s="114" t="s">
        <v>638</v>
      </c>
      <c r="K258" s="114" t="s">
        <v>859</v>
      </c>
      <c r="L258" s="113" t="s">
        <v>1479</v>
      </c>
      <c r="M258" s="221"/>
    </row>
    <row r="259" spans="1:16" s="186" customFormat="1" ht="15.75" customHeight="1">
      <c r="A259" s="187">
        <v>45030</v>
      </c>
      <c r="B259" s="184" t="s">
        <v>1402</v>
      </c>
      <c r="C259" s="184" t="s">
        <v>1275</v>
      </c>
      <c r="D259" s="184" t="s">
        <v>630</v>
      </c>
      <c r="E259" s="233" t="str">
        <f t="shared" si="3"/>
        <v>MAMAN SEDJRO</v>
      </c>
      <c r="F259" s="184"/>
      <c r="G259" s="184"/>
      <c r="H259" s="184"/>
      <c r="I259" s="184"/>
      <c r="J259" s="184"/>
      <c r="K259" s="184"/>
      <c r="L259" s="185" t="s">
        <v>1479</v>
      </c>
      <c r="M259" s="224"/>
      <c r="N259" s="110"/>
      <c r="O259" s="110"/>
      <c r="P259" s="110"/>
    </row>
    <row r="260" spans="1:16" ht="15.75" customHeight="1">
      <c r="A260" s="118">
        <v>45030</v>
      </c>
      <c r="B260" s="114" t="s">
        <v>1403</v>
      </c>
      <c r="C260" s="114" t="s">
        <v>1404</v>
      </c>
      <c r="D260" s="114" t="s">
        <v>1405</v>
      </c>
      <c r="E260" s="233" t="str">
        <f t="shared" si="3"/>
        <v>TAPE ABLA NADEGE</v>
      </c>
      <c r="F260" s="114"/>
      <c r="G260" s="114"/>
      <c r="H260" s="114"/>
      <c r="I260" s="114"/>
      <c r="J260" s="114"/>
      <c r="K260" s="114"/>
      <c r="L260" s="113" t="s">
        <v>1479</v>
      </c>
      <c r="M260" s="221"/>
    </row>
    <row r="261" spans="1:16" ht="15.75" customHeight="1">
      <c r="A261" s="118">
        <v>45033</v>
      </c>
      <c r="B261" s="114" t="s">
        <v>1406</v>
      </c>
      <c r="C261" s="114" t="s">
        <v>1407</v>
      </c>
      <c r="D261" s="114" t="s">
        <v>1408</v>
      </c>
      <c r="E261" s="233" t="str">
        <f t="shared" si="3"/>
        <v>DJINADOU RISSICATH</v>
      </c>
      <c r="F261" s="114"/>
      <c r="G261" s="114"/>
      <c r="H261" s="114"/>
      <c r="I261" s="114"/>
      <c r="J261" s="114" t="s">
        <v>500</v>
      </c>
      <c r="K261" s="114"/>
      <c r="L261" s="113" t="s">
        <v>1479</v>
      </c>
      <c r="M261" s="221"/>
    </row>
    <row r="262" spans="1:16" ht="15.75" customHeight="1">
      <c r="A262" s="118">
        <v>45033</v>
      </c>
      <c r="B262" s="114" t="s">
        <v>1409</v>
      </c>
      <c r="C262" s="114" t="s">
        <v>1410</v>
      </c>
      <c r="D262" s="114" t="s">
        <v>1411</v>
      </c>
      <c r="E262" s="233" t="str">
        <f t="shared" si="3"/>
        <v>ABIOUBI LUCIEN</v>
      </c>
      <c r="F262" s="114"/>
      <c r="G262" s="114"/>
      <c r="H262" s="114"/>
      <c r="I262" s="114"/>
      <c r="J262" s="114"/>
      <c r="K262" s="114"/>
      <c r="L262" s="113" t="s">
        <v>1479</v>
      </c>
      <c r="M262" s="221"/>
    </row>
    <row r="263" spans="1:16" ht="15.75" customHeight="1">
      <c r="A263" s="118">
        <v>45042</v>
      </c>
      <c r="B263" s="114" t="s">
        <v>1412</v>
      </c>
      <c r="C263" s="114" t="s">
        <v>1413</v>
      </c>
      <c r="D263" s="114" t="s">
        <v>1414</v>
      </c>
      <c r="E263" s="233" t="str">
        <f t="shared" si="3"/>
        <v>BACHABI ANGE</v>
      </c>
      <c r="F263" s="114" t="s">
        <v>504</v>
      </c>
      <c r="G263" s="114" t="s">
        <v>1415</v>
      </c>
      <c r="H263" s="114"/>
      <c r="I263" s="114"/>
      <c r="J263" s="114" t="s">
        <v>500</v>
      </c>
      <c r="K263" s="114"/>
      <c r="L263" s="113" t="s">
        <v>1479</v>
      </c>
      <c r="M263" s="221"/>
    </row>
    <row r="264" spans="1:16" ht="15.75" customHeight="1">
      <c r="A264" s="118">
        <v>45042</v>
      </c>
      <c r="B264" s="114" t="s">
        <v>1416</v>
      </c>
      <c r="C264" s="114" t="s">
        <v>1417</v>
      </c>
      <c r="D264" s="114" t="s">
        <v>1418</v>
      </c>
      <c r="E264" s="233" t="str">
        <f t="shared" si="3"/>
        <v>DOSSOU-YOVO LUCIE</v>
      </c>
      <c r="F264" s="114" t="s">
        <v>504</v>
      </c>
      <c r="G264" s="114" t="s">
        <v>1419</v>
      </c>
      <c r="H264" s="114"/>
      <c r="I264" s="114"/>
      <c r="J264" s="114" t="s">
        <v>1420</v>
      </c>
      <c r="K264" s="114"/>
      <c r="L264" s="113" t="s">
        <v>1479</v>
      </c>
      <c r="M264" s="221"/>
    </row>
    <row r="265" spans="1:16" s="122" customFormat="1" ht="15.75" customHeight="1">
      <c r="A265" s="120">
        <v>45036</v>
      </c>
      <c r="B265" s="121" t="s">
        <v>1421</v>
      </c>
      <c r="C265" s="121" t="s">
        <v>1422</v>
      </c>
      <c r="D265" s="121" t="s">
        <v>1423</v>
      </c>
      <c r="E265" s="233" t="str">
        <f t="shared" si="3"/>
        <v>SABI IFON MOUFTAOU</v>
      </c>
      <c r="F265" s="121"/>
      <c r="G265" s="121"/>
      <c r="H265" s="121"/>
      <c r="I265" s="121"/>
      <c r="J265" s="121" t="s">
        <v>1321</v>
      </c>
      <c r="K265" s="121"/>
      <c r="L265" s="113" t="s">
        <v>1479</v>
      </c>
      <c r="M265" s="221"/>
      <c r="N265" s="110"/>
      <c r="O265" s="110"/>
      <c r="P265" s="110"/>
    </row>
    <row r="266" spans="1:16" ht="15.75" customHeight="1">
      <c r="A266" s="118">
        <v>45045</v>
      </c>
      <c r="B266" s="114" t="s">
        <v>1424</v>
      </c>
      <c r="C266" s="114" t="s">
        <v>1425</v>
      </c>
      <c r="D266" s="114" t="s">
        <v>1426</v>
      </c>
      <c r="E266" s="233" t="str">
        <f>CONCATENATE(C266," ",D266)</f>
        <v>SODOKIN PAUL</v>
      </c>
      <c r="F266" s="114" t="s">
        <v>524</v>
      </c>
      <c r="G266" s="114" t="s">
        <v>1427</v>
      </c>
      <c r="H266" s="114"/>
      <c r="I266" s="114"/>
      <c r="J266" s="114" t="s">
        <v>1499</v>
      </c>
      <c r="K266" s="114"/>
      <c r="L266" s="113" t="s">
        <v>1479</v>
      </c>
      <c r="M266" s="221"/>
    </row>
    <row r="267" spans="1:16" ht="15.75" customHeight="1">
      <c r="A267" s="118">
        <v>45048</v>
      </c>
      <c r="B267" s="114" t="s">
        <v>1500</v>
      </c>
      <c r="C267" s="114" t="s">
        <v>1428</v>
      </c>
      <c r="D267" s="114" t="s">
        <v>1734</v>
      </c>
      <c r="E267" s="233" t="str">
        <f t="shared" si="3"/>
        <v>TABA  RACHELLE</v>
      </c>
      <c r="F267" s="114"/>
      <c r="G267" s="114">
        <v>67148196</v>
      </c>
      <c r="H267" s="114"/>
      <c r="I267" s="114"/>
      <c r="J267" s="114" t="s">
        <v>1321</v>
      </c>
      <c r="K267" s="114"/>
      <c r="L267" s="113" t="s">
        <v>1479</v>
      </c>
      <c r="M267" s="221"/>
    </row>
    <row r="268" spans="1:16" ht="15.75" customHeight="1">
      <c r="A268" s="118">
        <v>45051</v>
      </c>
      <c r="B268" s="114" t="s">
        <v>1429</v>
      </c>
      <c r="C268" s="114" t="s">
        <v>1430</v>
      </c>
      <c r="D268" s="114" t="s">
        <v>1431</v>
      </c>
      <c r="E268" s="233" t="str">
        <f>CONCATENATE(C268," ",D268)</f>
        <v>HOUENOU  MARCIENNE</v>
      </c>
      <c r="F268" s="114"/>
      <c r="G268" s="114" t="s">
        <v>1432</v>
      </c>
      <c r="H268" s="114"/>
      <c r="I268" s="114"/>
      <c r="J268" s="114" t="s">
        <v>500</v>
      </c>
      <c r="K268" s="114"/>
      <c r="L268" s="113" t="s">
        <v>1479</v>
      </c>
      <c r="M268" s="217"/>
    </row>
    <row r="269" spans="1:16" ht="15.75" customHeight="1">
      <c r="A269" s="118">
        <v>45051</v>
      </c>
      <c r="B269" s="114" t="s">
        <v>1433</v>
      </c>
      <c r="C269" s="114" t="s">
        <v>1055</v>
      </c>
      <c r="D269" s="114" t="s">
        <v>1434</v>
      </c>
      <c r="E269" s="233" t="str">
        <f t="shared" si="3"/>
        <v>MONSIEUR ROSARIO</v>
      </c>
      <c r="F269" s="114" t="s">
        <v>1435</v>
      </c>
      <c r="G269" s="114"/>
      <c r="H269" s="114"/>
      <c r="I269" s="114"/>
      <c r="J269" s="114" t="s">
        <v>1321</v>
      </c>
      <c r="K269" s="114"/>
      <c r="L269" s="113" t="s">
        <v>1479</v>
      </c>
      <c r="M269" s="217"/>
    </row>
    <row r="270" spans="1:16" ht="15.75" customHeight="1">
      <c r="A270" s="118">
        <v>45052</v>
      </c>
      <c r="B270" s="114" t="s">
        <v>1436</v>
      </c>
      <c r="C270" s="114" t="s">
        <v>1437</v>
      </c>
      <c r="D270" s="114" t="s">
        <v>1438</v>
      </c>
      <c r="E270" s="233" t="str">
        <f t="shared" si="3"/>
        <v>MAMAN  MARIAMA</v>
      </c>
      <c r="F270" s="114"/>
      <c r="G270" s="114"/>
      <c r="H270" s="114"/>
      <c r="I270" s="114"/>
      <c r="J270" s="114" t="s">
        <v>1321</v>
      </c>
      <c r="K270" s="114"/>
      <c r="L270" s="113" t="s">
        <v>1479</v>
      </c>
      <c r="M270" s="217"/>
    </row>
    <row r="271" spans="1:16" ht="15.75" customHeight="1">
      <c r="A271" s="118">
        <v>45058</v>
      </c>
      <c r="B271" s="114" t="s">
        <v>1501</v>
      </c>
      <c r="C271" s="114" t="s">
        <v>1502</v>
      </c>
      <c r="D271" s="114" t="s">
        <v>1503</v>
      </c>
      <c r="E271" s="233" t="str">
        <f t="shared" si="3"/>
        <v>EGOUNLETI MATURIN</v>
      </c>
      <c r="F271" s="114" t="s">
        <v>1446</v>
      </c>
      <c r="G271" s="114">
        <v>97792314</v>
      </c>
      <c r="H271" s="114"/>
      <c r="I271" s="114"/>
      <c r="J271" s="114" t="s">
        <v>811</v>
      </c>
      <c r="K271" s="114" t="s">
        <v>1504</v>
      </c>
      <c r="L271" s="113" t="s">
        <v>1479</v>
      </c>
      <c r="M271" s="217"/>
    </row>
    <row r="272" spans="1:16" ht="15.75" customHeight="1">
      <c r="A272" s="118">
        <v>45061</v>
      </c>
      <c r="B272" s="114" t="s">
        <v>1439</v>
      </c>
      <c r="C272" s="114" t="s">
        <v>697</v>
      </c>
      <c r="D272" s="114" t="s">
        <v>1440</v>
      </c>
      <c r="E272" s="233" t="str">
        <f t="shared" si="3"/>
        <v>MADAME YASMINE</v>
      </c>
      <c r="F272" s="114" t="s">
        <v>502</v>
      </c>
      <c r="G272" s="114">
        <v>66362633</v>
      </c>
      <c r="H272" s="114"/>
      <c r="I272" s="114"/>
      <c r="J272" s="114" t="s">
        <v>1441</v>
      </c>
      <c r="K272" s="114"/>
      <c r="L272" s="113" t="s">
        <v>1479</v>
      </c>
      <c r="M272" s="217"/>
    </row>
    <row r="273" spans="1:13" ht="15.75" customHeight="1">
      <c r="A273" s="118">
        <v>45069</v>
      </c>
      <c r="B273" s="114" t="s">
        <v>1442</v>
      </c>
      <c r="C273" s="114" t="s">
        <v>697</v>
      </c>
      <c r="D273" s="114" t="s">
        <v>491</v>
      </c>
      <c r="E273" s="233" t="str">
        <f t="shared" si="3"/>
        <v>MADAME CODJO</v>
      </c>
      <c r="F273" s="114" t="s">
        <v>1443</v>
      </c>
      <c r="G273" s="114">
        <v>66542185</v>
      </c>
      <c r="H273" s="114"/>
      <c r="I273" s="114"/>
      <c r="J273" s="114" t="s">
        <v>533</v>
      </c>
      <c r="K273" s="114"/>
      <c r="L273" s="113" t="s">
        <v>1479</v>
      </c>
      <c r="M273" s="217"/>
    </row>
    <row r="274" spans="1:13" ht="15.75" customHeight="1">
      <c r="A274" s="118">
        <v>45071</v>
      </c>
      <c r="B274" s="114" t="s">
        <v>1444</v>
      </c>
      <c r="C274" s="114" t="s">
        <v>545</v>
      </c>
      <c r="D274" s="114" t="s">
        <v>1445</v>
      </c>
      <c r="E274" s="233" t="str">
        <f t="shared" si="3"/>
        <v>GBAGUIDI FRANKLIN</v>
      </c>
      <c r="F274" s="114" t="s">
        <v>1446</v>
      </c>
      <c r="G274" s="114">
        <v>62006080</v>
      </c>
      <c r="H274" s="114">
        <v>61946345</v>
      </c>
      <c r="I274" s="114"/>
      <c r="J274" s="114" t="s">
        <v>1321</v>
      </c>
      <c r="K274" s="114" t="s">
        <v>1447</v>
      </c>
      <c r="L274" s="113" t="s">
        <v>1479</v>
      </c>
      <c r="M274" s="217"/>
    </row>
    <row r="275" spans="1:13" ht="15.75" customHeight="1">
      <c r="A275" s="118">
        <v>45078</v>
      </c>
      <c r="B275" s="114" t="s">
        <v>1448</v>
      </c>
      <c r="C275" s="114" t="s">
        <v>1055</v>
      </c>
      <c r="D275" s="114" t="s">
        <v>1449</v>
      </c>
      <c r="E275" s="233" t="str">
        <f t="shared" si="3"/>
        <v>MONSIEUR DEO GRATIAS</v>
      </c>
      <c r="F275" s="114"/>
      <c r="G275" s="114">
        <v>97646172</v>
      </c>
      <c r="H275" s="114"/>
      <c r="I275" s="114"/>
      <c r="J275" s="114" t="s">
        <v>1258</v>
      </c>
      <c r="K275" s="114"/>
      <c r="L275" s="113" t="s">
        <v>1479</v>
      </c>
      <c r="M275" s="217"/>
    </row>
    <row r="276" spans="1:13" ht="15.75" customHeight="1">
      <c r="A276" s="118">
        <v>45090</v>
      </c>
      <c r="B276" s="114" t="s">
        <v>1450</v>
      </c>
      <c r="C276" s="114" t="s">
        <v>1451</v>
      </c>
      <c r="D276" s="114" t="s">
        <v>1452</v>
      </c>
      <c r="E276" s="233" t="str">
        <f t="shared" si="3"/>
        <v>AKOSSO  LIONEL</v>
      </c>
      <c r="F276" s="114" t="s">
        <v>1438</v>
      </c>
      <c r="G276" s="114">
        <v>61879596</v>
      </c>
      <c r="H276" s="114"/>
      <c r="I276" s="114"/>
      <c r="J276" s="114" t="s">
        <v>1321</v>
      </c>
      <c r="K276" s="114"/>
      <c r="L276" s="113" t="s">
        <v>1479</v>
      </c>
      <c r="M276" s="217"/>
    </row>
    <row r="277" spans="1:13" ht="15.75" customHeight="1">
      <c r="A277" s="118">
        <v>45093</v>
      </c>
      <c r="B277" s="114" t="s">
        <v>1453</v>
      </c>
      <c r="C277" s="114" t="s">
        <v>1250</v>
      </c>
      <c r="D277" s="114" t="s">
        <v>1454</v>
      </c>
      <c r="E277" s="233" t="str">
        <f t="shared" si="3"/>
        <v>MADAME  JULIENNE</v>
      </c>
      <c r="F277" s="114" t="s">
        <v>789</v>
      </c>
      <c r="G277" s="114">
        <v>95710626</v>
      </c>
      <c r="H277" s="114"/>
      <c r="I277" s="114"/>
      <c r="J277" s="114" t="s">
        <v>1455</v>
      </c>
      <c r="K277" s="114" t="s">
        <v>1456</v>
      </c>
      <c r="L277" s="113" t="s">
        <v>1479</v>
      </c>
      <c r="M277" s="217"/>
    </row>
    <row r="278" spans="1:13" ht="15.75" customHeight="1">
      <c r="A278" s="118">
        <v>45106</v>
      </c>
      <c r="B278" s="114" t="s">
        <v>1457</v>
      </c>
      <c r="C278" s="114" t="s">
        <v>1250</v>
      </c>
      <c r="D278" s="114" t="s">
        <v>1458</v>
      </c>
      <c r="E278" s="233" t="str">
        <f t="shared" si="3"/>
        <v>MADAME  KADIDJATH</v>
      </c>
      <c r="F278" s="114"/>
      <c r="G278" s="114">
        <v>95965299</v>
      </c>
      <c r="H278" s="114"/>
      <c r="I278" s="114"/>
      <c r="J278" s="114" t="s">
        <v>500</v>
      </c>
      <c r="K278" s="114"/>
      <c r="L278" s="113" t="s">
        <v>1479</v>
      </c>
      <c r="M278" s="217"/>
    </row>
    <row r="279" spans="1:13" ht="15.75" customHeight="1">
      <c r="A279" s="118">
        <v>45106</v>
      </c>
      <c r="B279" s="114" t="s">
        <v>1459</v>
      </c>
      <c r="C279" s="114" t="s">
        <v>1505</v>
      </c>
      <c r="D279" s="114" t="s">
        <v>1460</v>
      </c>
      <c r="E279" s="233" t="str">
        <f t="shared" si="3"/>
        <v>ACAKPO  FRINOCK</v>
      </c>
      <c r="F279" s="114" t="s">
        <v>1438</v>
      </c>
      <c r="G279" s="114">
        <v>62017306</v>
      </c>
      <c r="H279" s="114"/>
      <c r="I279" s="114"/>
      <c r="J279" s="114" t="s">
        <v>1461</v>
      </c>
      <c r="K279" s="114"/>
      <c r="L279" s="113" t="s">
        <v>1479</v>
      </c>
      <c r="M279" s="217"/>
    </row>
    <row r="280" spans="1:13" ht="15.75" customHeight="1">
      <c r="A280" s="118">
        <v>45122</v>
      </c>
      <c r="B280" s="114" t="s">
        <v>1506</v>
      </c>
      <c r="C280" s="114" t="s">
        <v>1507</v>
      </c>
      <c r="D280" s="114" t="s">
        <v>1508</v>
      </c>
      <c r="E280" s="233" t="str">
        <f t="shared" si="3"/>
        <v>MEGNIKPO  THERENCE</v>
      </c>
      <c r="F280" s="114" t="s">
        <v>789</v>
      </c>
      <c r="G280" s="114">
        <v>97978903</v>
      </c>
      <c r="H280" s="114"/>
      <c r="I280" s="114"/>
      <c r="J280" s="114" t="s">
        <v>1509</v>
      </c>
      <c r="K280" s="114" t="s">
        <v>1510</v>
      </c>
      <c r="L280" s="114" t="s">
        <v>1479</v>
      </c>
      <c r="M280" s="217"/>
    </row>
    <row r="281" spans="1:13" ht="15.75" customHeight="1">
      <c r="A281" s="118">
        <v>45124</v>
      </c>
      <c r="B281" s="114" t="s">
        <v>1511</v>
      </c>
      <c r="C281" s="114" t="s">
        <v>1250</v>
      </c>
      <c r="D281" s="114" t="s">
        <v>1449</v>
      </c>
      <c r="E281" s="233" t="str">
        <f t="shared" si="3"/>
        <v>MADAME  DEO GRATIAS</v>
      </c>
      <c r="F281" s="114"/>
      <c r="G281" s="114"/>
      <c r="H281" s="114"/>
      <c r="I281" s="114"/>
      <c r="J281" s="114" t="s">
        <v>1512</v>
      </c>
      <c r="K281" s="114"/>
      <c r="L281" s="114" t="s">
        <v>1479</v>
      </c>
      <c r="M281" s="217"/>
    </row>
    <row r="282" spans="1:13" ht="15.75" customHeight="1">
      <c r="A282" s="123">
        <v>45124</v>
      </c>
      <c r="B282" s="110" t="s">
        <v>1513</v>
      </c>
      <c r="C282" s="110" t="s">
        <v>1514</v>
      </c>
      <c r="D282" s="110" t="s">
        <v>1515</v>
      </c>
      <c r="E282" s="234" t="str">
        <f t="shared" si="3"/>
        <v>AGBESSI BELLE VIGNE</v>
      </c>
      <c r="G282" s="110">
        <v>91491064</v>
      </c>
      <c r="J282" s="110" t="s">
        <v>651</v>
      </c>
      <c r="K282" s="110" t="s">
        <v>1516</v>
      </c>
      <c r="L282" s="114" t="s">
        <v>1479</v>
      </c>
    </row>
    <row r="283" spans="1:13" ht="15.75" customHeight="1">
      <c r="A283" s="118">
        <v>45133</v>
      </c>
      <c r="B283" s="114" t="s">
        <v>1517</v>
      </c>
      <c r="C283" s="114" t="s">
        <v>1518</v>
      </c>
      <c r="D283" s="114" t="s">
        <v>1519</v>
      </c>
      <c r="E283" s="233" t="str">
        <f t="shared" si="3"/>
        <v>OLABOWA OLAYEMI</v>
      </c>
      <c r="F283" s="114" t="s">
        <v>1446</v>
      </c>
      <c r="G283" s="114"/>
      <c r="H283" s="114"/>
      <c r="I283" s="114"/>
      <c r="J283" s="114" t="s">
        <v>488</v>
      </c>
      <c r="K283" s="114"/>
      <c r="L283" s="114" t="s">
        <v>1479</v>
      </c>
      <c r="M283" s="217"/>
    </row>
    <row r="284" spans="1:13" ht="15.75" customHeight="1">
      <c r="A284" s="118">
        <v>45133</v>
      </c>
      <c r="B284" s="114" t="s">
        <v>1520</v>
      </c>
      <c r="C284" s="114" t="s">
        <v>1521</v>
      </c>
      <c r="D284" s="114" t="s">
        <v>1440</v>
      </c>
      <c r="E284" s="233" t="str">
        <f t="shared" si="3"/>
        <v>TOURE YASMINE</v>
      </c>
      <c r="F284" s="114" t="s">
        <v>832</v>
      </c>
      <c r="G284" s="114" t="s">
        <v>1522</v>
      </c>
      <c r="H284" s="114"/>
      <c r="I284" s="114"/>
      <c r="J284" s="114" t="s">
        <v>488</v>
      </c>
      <c r="K284" s="114"/>
      <c r="L284" s="114" t="s">
        <v>1479</v>
      </c>
      <c r="M284" s="217"/>
    </row>
    <row r="285" spans="1:13" ht="15.75" customHeight="1">
      <c r="A285" s="123">
        <v>45136</v>
      </c>
      <c r="B285" s="110" t="s">
        <v>1523</v>
      </c>
      <c r="C285" s="110" t="s">
        <v>1437</v>
      </c>
      <c r="D285" s="110" t="s">
        <v>1524</v>
      </c>
      <c r="E285" s="234" t="str">
        <f>CONCATENATE(C285," ",D285)</f>
        <v>MAMAN  JEAN PAUL</v>
      </c>
      <c r="F285" s="110" t="s">
        <v>1446</v>
      </c>
      <c r="G285" s="188">
        <v>22899530439</v>
      </c>
      <c r="J285" s="110" t="s">
        <v>1007</v>
      </c>
      <c r="K285" s="110" t="s">
        <v>1525</v>
      </c>
      <c r="L285" s="114" t="s">
        <v>1479</v>
      </c>
    </row>
    <row r="286" spans="1:13" ht="15.75" customHeight="1">
      <c r="A286" s="118">
        <v>45136</v>
      </c>
      <c r="B286" s="114" t="s">
        <v>1526</v>
      </c>
      <c r="C286" s="114" t="s">
        <v>1527</v>
      </c>
      <c r="D286" s="114" t="s">
        <v>612</v>
      </c>
      <c r="E286" s="233" t="str">
        <f>CONCATENATE(C286," ",D286)</f>
        <v>ATANVOETOU VICTOIRE</v>
      </c>
      <c r="F286" s="114"/>
      <c r="G286" s="114">
        <v>67279593</v>
      </c>
      <c r="H286" s="114"/>
      <c r="I286" s="114"/>
      <c r="J286" s="114" t="s">
        <v>500</v>
      </c>
      <c r="K286" s="114"/>
      <c r="L286" s="114" t="s">
        <v>1479</v>
      </c>
      <c r="M286" s="217"/>
    </row>
    <row r="287" spans="1:13" ht="15.75" customHeight="1">
      <c r="A287" s="118">
        <v>45140</v>
      </c>
      <c r="B287" s="114" t="s">
        <v>1528</v>
      </c>
      <c r="C287" s="114" t="s">
        <v>1529</v>
      </c>
      <c r="D287" s="114" t="s">
        <v>1530</v>
      </c>
      <c r="E287" s="233" t="str">
        <f>CONCATENATE(C287," ",D287)</f>
        <v>EDEMESSI AXEL</v>
      </c>
      <c r="F287" s="114" t="s">
        <v>1531</v>
      </c>
      <c r="G287" s="114">
        <v>96964000</v>
      </c>
      <c r="H287" s="114"/>
      <c r="I287" s="114"/>
      <c r="J287" s="114" t="s">
        <v>1532</v>
      </c>
      <c r="K287" s="114" t="s">
        <v>1199</v>
      </c>
      <c r="L287" s="114" t="s">
        <v>1479</v>
      </c>
      <c r="M287" s="217"/>
    </row>
    <row r="288" spans="1:13" ht="15.75" customHeight="1">
      <c r="A288" s="118">
        <v>45140</v>
      </c>
      <c r="B288" s="114" t="s">
        <v>1533</v>
      </c>
      <c r="C288" s="114" t="s">
        <v>1250</v>
      </c>
      <c r="D288" s="114" t="s">
        <v>1534</v>
      </c>
      <c r="E288" s="233" t="str">
        <f>CONCATENATE(C288," ",D288)</f>
        <v>MADAME  BEHANZIN</v>
      </c>
      <c r="F288" s="114" t="s">
        <v>1535</v>
      </c>
      <c r="G288" s="114"/>
      <c r="H288" s="114"/>
      <c r="I288" s="114"/>
      <c r="J288" s="114" t="s">
        <v>1229</v>
      </c>
      <c r="K288" s="114" t="s">
        <v>1536</v>
      </c>
      <c r="L288" s="114" t="s">
        <v>1479</v>
      </c>
      <c r="M288" s="217"/>
    </row>
    <row r="289" spans="1:13" ht="15.75" customHeight="1">
      <c r="A289" s="118">
        <v>45141</v>
      </c>
      <c r="B289" s="114" t="s">
        <v>1537</v>
      </c>
      <c r="C289" s="114" t="s">
        <v>1250</v>
      </c>
      <c r="D289" s="114" t="s">
        <v>1538</v>
      </c>
      <c r="E289" s="233" t="str">
        <f>CONCATENATE(C289," ",D289)</f>
        <v>MADAME  HAYIRATH</v>
      </c>
      <c r="F289" s="114" t="s">
        <v>1590</v>
      </c>
      <c r="G289" s="114">
        <v>61113717</v>
      </c>
      <c r="H289" s="114"/>
      <c r="I289" s="114"/>
      <c r="J289" s="114" t="s">
        <v>1321</v>
      </c>
      <c r="K289" s="114">
        <v>0</v>
      </c>
      <c r="L289" s="114" t="s">
        <v>1479</v>
      </c>
      <c r="M289" s="217"/>
    </row>
    <row r="290" spans="1:13" ht="15.75" customHeight="1">
      <c r="A290" s="118">
        <v>45147</v>
      </c>
      <c r="B290" s="114" t="s">
        <v>1591</v>
      </c>
      <c r="C290" s="114" t="s">
        <v>1592</v>
      </c>
      <c r="D290" s="114"/>
      <c r="E290" s="233" t="str">
        <f t="shared" ref="E290:E308" si="4">CONCATENATE(C290," ",D290)</f>
        <v xml:space="preserve">ARTJB </v>
      </c>
      <c r="F290" s="114" t="s">
        <v>1590</v>
      </c>
      <c r="G290" s="114"/>
      <c r="H290" s="114"/>
      <c r="I290" s="114"/>
      <c r="J290" s="114" t="s">
        <v>811</v>
      </c>
      <c r="K290" s="114" t="s">
        <v>489</v>
      </c>
      <c r="L290" s="114" t="s">
        <v>1479</v>
      </c>
      <c r="M290" s="217"/>
    </row>
    <row r="291" spans="1:13" ht="15.75" customHeight="1">
      <c r="A291" s="118">
        <v>45152</v>
      </c>
      <c r="B291" s="114" t="s">
        <v>1593</v>
      </c>
      <c r="C291" s="114" t="s">
        <v>1594</v>
      </c>
      <c r="D291" s="114" t="s">
        <v>1595</v>
      </c>
      <c r="E291" s="233" t="str">
        <f t="shared" si="4"/>
        <v>ODJO Victor</v>
      </c>
      <c r="F291" s="114" t="s">
        <v>1596</v>
      </c>
      <c r="G291" s="114"/>
      <c r="H291" s="114"/>
      <c r="I291" s="114"/>
      <c r="J291" s="114" t="s">
        <v>1044</v>
      </c>
      <c r="K291" s="114"/>
      <c r="L291" s="114" t="s">
        <v>1479</v>
      </c>
      <c r="M291" s="217"/>
    </row>
    <row r="292" spans="1:13" ht="15.75" customHeight="1">
      <c r="A292" s="118">
        <v>45156</v>
      </c>
      <c r="B292" s="114" t="s">
        <v>1597</v>
      </c>
      <c r="C292" s="114" t="s">
        <v>1598</v>
      </c>
      <c r="D292" s="114" t="s">
        <v>1599</v>
      </c>
      <c r="E292" s="233" t="str">
        <f t="shared" si="4"/>
        <v>AGBODJOGBE Abigael</v>
      </c>
      <c r="F292" s="114"/>
      <c r="G292" s="114"/>
      <c r="H292" s="114"/>
      <c r="I292" s="114"/>
      <c r="J292" s="114" t="s">
        <v>1600</v>
      </c>
      <c r="K292" s="114"/>
      <c r="L292" s="114" t="s">
        <v>1479</v>
      </c>
      <c r="M292" s="217"/>
    </row>
    <row r="293" spans="1:13" ht="15.75" customHeight="1">
      <c r="A293" s="118">
        <v>45160</v>
      </c>
      <c r="B293" s="114" t="s">
        <v>1601</v>
      </c>
      <c r="C293" s="114" t="s">
        <v>697</v>
      </c>
      <c r="D293" s="114" t="s">
        <v>1602</v>
      </c>
      <c r="E293" s="233" t="str">
        <f t="shared" si="4"/>
        <v>MADAME ERMINE</v>
      </c>
      <c r="F293" s="114" t="s">
        <v>1446</v>
      </c>
      <c r="G293" s="114"/>
      <c r="H293" s="114"/>
      <c r="I293" s="114"/>
      <c r="J293" s="114" t="s">
        <v>702</v>
      </c>
      <c r="K293" s="114" t="s">
        <v>1049</v>
      </c>
      <c r="L293" s="114" t="s">
        <v>1479</v>
      </c>
      <c r="M293" s="217"/>
    </row>
    <row r="294" spans="1:13" ht="15.75" customHeight="1">
      <c r="A294" s="118">
        <v>45161</v>
      </c>
      <c r="B294" s="114" t="s">
        <v>1603</v>
      </c>
      <c r="C294" s="114" t="s">
        <v>1604</v>
      </c>
      <c r="D294" s="114" t="s">
        <v>1605</v>
      </c>
      <c r="E294" s="233" t="str">
        <f t="shared" si="4"/>
        <v>HONVOU SIMONE</v>
      </c>
      <c r="F294" s="114"/>
      <c r="G294" s="114">
        <v>97379265</v>
      </c>
      <c r="H294" s="114"/>
      <c r="I294" s="114"/>
      <c r="J294" s="217" t="s">
        <v>1606</v>
      </c>
      <c r="K294" s="114" t="s">
        <v>1607</v>
      </c>
      <c r="L294" s="114" t="s">
        <v>1479</v>
      </c>
      <c r="M294" s="217"/>
    </row>
    <row r="295" spans="1:13" ht="15.75" customHeight="1">
      <c r="A295" s="118">
        <v>45163</v>
      </c>
      <c r="B295" s="114" t="s">
        <v>1608</v>
      </c>
      <c r="C295" s="114" t="s">
        <v>1250</v>
      </c>
      <c r="D295" s="114" t="s">
        <v>1609</v>
      </c>
      <c r="E295" s="233" t="s">
        <v>1610</v>
      </c>
      <c r="F295" s="114" t="s">
        <v>499</v>
      </c>
      <c r="G295" s="114"/>
      <c r="H295" s="114"/>
      <c r="I295" s="114"/>
      <c r="J295" s="114" t="s">
        <v>1229</v>
      </c>
      <c r="K295" s="114" t="s">
        <v>1536</v>
      </c>
      <c r="L295" s="114" t="s">
        <v>1479</v>
      </c>
      <c r="M295" s="217"/>
    </row>
    <row r="296" spans="1:13" ht="15.75" customHeight="1">
      <c r="A296" s="118">
        <v>45166</v>
      </c>
      <c r="B296" s="114" t="s">
        <v>1611</v>
      </c>
      <c r="C296" s="114" t="s">
        <v>1612</v>
      </c>
      <c r="D296" s="114" t="s">
        <v>1613</v>
      </c>
      <c r="E296" s="233" t="str">
        <f t="shared" si="4"/>
        <v>MONSIEUR  JOSUE</v>
      </c>
      <c r="F296" s="114" t="s">
        <v>1438</v>
      </c>
      <c r="G296" s="114">
        <v>61879288</v>
      </c>
      <c r="H296" s="114"/>
      <c r="I296" s="114"/>
      <c r="J296" s="114" t="s">
        <v>1321</v>
      </c>
      <c r="K296" s="114"/>
      <c r="L296" s="114" t="s">
        <v>1479</v>
      </c>
      <c r="M296" s="217"/>
    </row>
    <row r="297" spans="1:13" ht="15.75" customHeight="1">
      <c r="A297" s="118">
        <v>45169</v>
      </c>
      <c r="B297" s="114" t="s">
        <v>1614</v>
      </c>
      <c r="C297" s="114" t="s">
        <v>1615</v>
      </c>
      <c r="D297" s="114" t="s">
        <v>1616</v>
      </c>
      <c r="E297" s="233" t="str">
        <f t="shared" si="4"/>
        <v>BAYORO ESTHER</v>
      </c>
      <c r="F297" s="114"/>
      <c r="G297" s="114">
        <v>60893759</v>
      </c>
      <c r="H297" s="114"/>
      <c r="I297" s="114"/>
      <c r="J297" s="114" t="s">
        <v>1617</v>
      </c>
      <c r="K297" s="114" t="s">
        <v>1618</v>
      </c>
      <c r="L297" s="114" t="s">
        <v>1479</v>
      </c>
      <c r="M297" s="217"/>
    </row>
    <row r="298" spans="1:13" ht="15.75" customHeight="1">
      <c r="A298" s="118">
        <v>45173</v>
      </c>
      <c r="B298" s="114" t="s">
        <v>1619</v>
      </c>
      <c r="C298" s="114" t="s">
        <v>506</v>
      </c>
      <c r="D298" s="114" t="s">
        <v>1620</v>
      </c>
      <c r="E298" s="233" t="str">
        <f t="shared" si="4"/>
        <v>KOUVEGLO RUSHDANE</v>
      </c>
      <c r="F298" s="114"/>
      <c r="G298" s="114"/>
      <c r="H298" s="114"/>
      <c r="I298" s="114"/>
      <c r="J298" s="114" t="s">
        <v>1321</v>
      </c>
      <c r="K298" s="114"/>
      <c r="L298" s="114" t="s">
        <v>1479</v>
      </c>
      <c r="M298" s="217"/>
    </row>
    <row r="299" spans="1:13" ht="15.75" customHeight="1">
      <c r="A299" s="118">
        <v>45187</v>
      </c>
      <c r="B299" s="114" t="s">
        <v>1621</v>
      </c>
      <c r="C299" s="114" t="s">
        <v>1622</v>
      </c>
      <c r="D299" s="114" t="s">
        <v>1623</v>
      </c>
      <c r="E299" s="233" t="str">
        <f t="shared" si="4"/>
        <v>MADEGNAN   JOELLE</v>
      </c>
      <c r="F299" s="114" t="s">
        <v>789</v>
      </c>
      <c r="G299" s="114">
        <v>94506850</v>
      </c>
      <c r="H299" s="114"/>
      <c r="I299" s="114"/>
      <c r="J299" s="114" t="s">
        <v>1624</v>
      </c>
      <c r="K299" s="114"/>
      <c r="L299" s="114" t="s">
        <v>1479</v>
      </c>
      <c r="M299" s="217"/>
    </row>
    <row r="300" spans="1:13" ht="15.75" customHeight="1">
      <c r="A300" s="118">
        <v>45189</v>
      </c>
      <c r="B300" s="114" t="s">
        <v>1625</v>
      </c>
      <c r="C300" s="114" t="s">
        <v>1250</v>
      </c>
      <c r="D300" s="114" t="s">
        <v>1626</v>
      </c>
      <c r="E300" s="233" t="str">
        <f t="shared" si="4"/>
        <v>MADAME  YVONNE</v>
      </c>
      <c r="F300" s="114"/>
      <c r="G300" s="114">
        <v>45550097</v>
      </c>
      <c r="H300" s="114"/>
      <c r="I300" s="114"/>
      <c r="J300" s="114" t="s">
        <v>1321</v>
      </c>
      <c r="K300" s="114"/>
      <c r="L300" s="114" t="s">
        <v>1479</v>
      </c>
      <c r="M300" s="217"/>
    </row>
    <row r="301" spans="1:13" ht="15.75" customHeight="1">
      <c r="A301" s="118">
        <v>45191</v>
      </c>
      <c r="B301" s="114" t="s">
        <v>1627</v>
      </c>
      <c r="C301" s="114" t="s">
        <v>1628</v>
      </c>
      <c r="D301" s="114" t="s">
        <v>1438</v>
      </c>
      <c r="E301" s="233" t="str">
        <f t="shared" si="4"/>
        <v>DJIVOH MARIAMA</v>
      </c>
      <c r="F301" s="114" t="s">
        <v>1438</v>
      </c>
      <c r="G301" s="114"/>
      <c r="H301" s="114"/>
      <c r="I301" s="114"/>
      <c r="J301" s="114" t="s">
        <v>1201</v>
      </c>
      <c r="K301" s="114"/>
      <c r="L301" s="114" t="s">
        <v>1479</v>
      </c>
      <c r="M301" s="217"/>
    </row>
    <row r="302" spans="1:13" ht="15.75" customHeight="1">
      <c r="A302" s="118">
        <v>45192</v>
      </c>
      <c r="B302" s="114" t="s">
        <v>1629</v>
      </c>
      <c r="C302" s="114" t="s">
        <v>502</v>
      </c>
      <c r="D302" s="114" t="s">
        <v>1630</v>
      </c>
      <c r="E302" s="233" t="str">
        <f t="shared" si="4"/>
        <v>AHOUNOU KEVIN</v>
      </c>
      <c r="F302" s="114"/>
      <c r="G302" s="114"/>
      <c r="H302" s="114"/>
      <c r="I302" s="114"/>
      <c r="J302" s="114" t="s">
        <v>1321</v>
      </c>
      <c r="K302" s="114" t="s">
        <v>1631</v>
      </c>
      <c r="L302" s="114" t="s">
        <v>1479</v>
      </c>
      <c r="M302" s="217"/>
    </row>
    <row r="303" spans="1:13" ht="15.75" customHeight="1">
      <c r="A303" s="118">
        <v>45195</v>
      </c>
      <c r="B303" s="114" t="s">
        <v>1632</v>
      </c>
      <c r="C303" s="114" t="s">
        <v>1612</v>
      </c>
      <c r="D303" s="114" t="s">
        <v>1633</v>
      </c>
      <c r="E303" s="233" t="str">
        <f t="shared" si="4"/>
        <v>MONSIEUR  TIDJANI</v>
      </c>
      <c r="F303" s="114"/>
      <c r="G303" s="114"/>
      <c r="H303" s="114"/>
      <c r="I303" s="114"/>
      <c r="J303" s="114" t="s">
        <v>1321</v>
      </c>
      <c r="K303" s="114"/>
      <c r="L303" s="114" t="s">
        <v>1479</v>
      </c>
      <c r="M303" s="217"/>
    </row>
    <row r="304" spans="1:13" ht="15.75" customHeight="1">
      <c r="A304" s="118">
        <v>45195</v>
      </c>
      <c r="B304" s="114" t="s">
        <v>1634</v>
      </c>
      <c r="C304" s="114" t="s">
        <v>1635</v>
      </c>
      <c r="D304" s="114" t="s">
        <v>1636</v>
      </c>
      <c r="E304" s="233" t="str">
        <f t="shared" si="4"/>
        <v>AGONGLO  URSULE</v>
      </c>
      <c r="F304" s="114"/>
      <c r="G304" s="114">
        <v>66214689</v>
      </c>
      <c r="H304" s="114"/>
      <c r="I304" s="114"/>
      <c r="J304" s="114" t="s">
        <v>1321</v>
      </c>
      <c r="K304" s="114"/>
      <c r="L304" s="114" t="s">
        <v>1479</v>
      </c>
      <c r="M304" s="217"/>
    </row>
    <row r="305" spans="1:13" ht="15.75" customHeight="1">
      <c r="A305" s="118">
        <v>45208</v>
      </c>
      <c r="B305" s="114" t="s">
        <v>1637</v>
      </c>
      <c r="C305" s="114" t="s">
        <v>1638</v>
      </c>
      <c r="D305" s="114"/>
      <c r="E305" s="233" t="str">
        <f t="shared" si="4"/>
        <v xml:space="preserve">CE2C SARL </v>
      </c>
      <c r="F305" s="114"/>
      <c r="G305" s="114">
        <v>66515578</v>
      </c>
      <c r="H305" s="114"/>
      <c r="I305" s="114"/>
      <c r="J305" s="114"/>
      <c r="K305" s="114"/>
      <c r="L305" s="114" t="s">
        <v>1479</v>
      </c>
      <c r="M305" s="217"/>
    </row>
    <row r="306" spans="1:13" ht="15.75" customHeight="1">
      <c r="A306" s="118">
        <v>45219</v>
      </c>
      <c r="B306" s="114" t="s">
        <v>1639</v>
      </c>
      <c r="C306" s="114" t="s">
        <v>1640</v>
      </c>
      <c r="D306" s="114" t="s">
        <v>1641</v>
      </c>
      <c r="E306" s="233" t="str">
        <f t="shared" si="4"/>
        <v>KOUEVI S. Claudia</v>
      </c>
      <c r="F306" s="114" t="s">
        <v>1596</v>
      </c>
      <c r="G306" s="114">
        <v>66889078</v>
      </c>
      <c r="H306" s="114"/>
      <c r="I306" s="114"/>
      <c r="J306" s="114" t="s">
        <v>1642</v>
      </c>
      <c r="K306" s="114" t="s">
        <v>1643</v>
      </c>
      <c r="L306" s="114" t="s">
        <v>1479</v>
      </c>
      <c r="M306" s="217"/>
    </row>
    <row r="307" spans="1:13" ht="15.75" customHeight="1">
      <c r="A307" s="118">
        <v>45219</v>
      </c>
      <c r="B307" s="114" t="s">
        <v>1644</v>
      </c>
      <c r="C307" s="114" t="s">
        <v>1645</v>
      </c>
      <c r="D307" s="114" t="s">
        <v>1646</v>
      </c>
      <c r="E307" s="233" t="str">
        <f t="shared" si="4"/>
        <v>OLACHEMEDJI Jean</v>
      </c>
      <c r="F307" s="114" t="s">
        <v>1446</v>
      </c>
      <c r="G307" s="114">
        <v>67692441</v>
      </c>
      <c r="H307" s="114"/>
      <c r="I307" s="114"/>
      <c r="J307" s="114" t="s">
        <v>1647</v>
      </c>
      <c r="K307" s="114"/>
      <c r="L307" s="114" t="s">
        <v>1479</v>
      </c>
      <c r="M307" s="217"/>
    </row>
    <row r="308" spans="1:13" ht="15.75" customHeight="1">
      <c r="A308" s="118">
        <v>45241</v>
      </c>
      <c r="B308" s="114" t="s">
        <v>1648</v>
      </c>
      <c r="C308" s="114" t="s">
        <v>697</v>
      </c>
      <c r="D308" s="114" t="s">
        <v>1649</v>
      </c>
      <c r="E308" s="233" t="str">
        <f t="shared" si="4"/>
        <v>MADAME BIAO</v>
      </c>
      <c r="F308" s="114" t="s">
        <v>561</v>
      </c>
      <c r="G308" s="114">
        <v>96930082</v>
      </c>
      <c r="H308" s="114"/>
      <c r="I308" s="114"/>
      <c r="J308" s="114"/>
      <c r="K308" s="114"/>
      <c r="L308" s="114" t="s">
        <v>1479</v>
      </c>
      <c r="M308" s="217"/>
    </row>
    <row r="309" spans="1:13" ht="15.75" customHeight="1">
      <c r="A309" s="118">
        <v>45252</v>
      </c>
      <c r="B309" s="114" t="s">
        <v>1650</v>
      </c>
      <c r="C309" s="114" t="s">
        <v>854</v>
      </c>
      <c r="D309" s="114" t="s">
        <v>1651</v>
      </c>
      <c r="E309" s="233" t="str">
        <f>CONCATENATE(C309," ",D309)</f>
        <v>AVOGBANANON CYRILLE</v>
      </c>
      <c r="F309" s="114" t="s">
        <v>661</v>
      </c>
      <c r="G309" s="114">
        <v>96669895</v>
      </c>
      <c r="H309" s="114"/>
      <c r="I309" s="114"/>
      <c r="J309" s="114"/>
      <c r="K309" s="114" t="s">
        <v>1652</v>
      </c>
      <c r="L309" s="114" t="s">
        <v>1479</v>
      </c>
      <c r="M309" s="217"/>
    </row>
    <row r="310" spans="1:13" ht="15.75" customHeight="1">
      <c r="A310" s="118">
        <v>45253</v>
      </c>
      <c r="B310" s="114" t="s">
        <v>1653</v>
      </c>
      <c r="C310" s="114" t="s">
        <v>574</v>
      </c>
      <c r="D310" s="114" t="s">
        <v>1265</v>
      </c>
      <c r="E310" s="233" t="str">
        <f>CONCATENATE(C310," ",D310)</f>
        <v>SALANON GHISLAIN</v>
      </c>
      <c r="F310" s="114"/>
      <c r="G310" s="114"/>
      <c r="H310" s="114"/>
      <c r="I310" s="114"/>
      <c r="J310" s="114"/>
      <c r="K310" s="114"/>
      <c r="L310" s="114" t="s">
        <v>1479</v>
      </c>
      <c r="M310" s="217"/>
    </row>
    <row r="311" spans="1:13" ht="15.75" customHeight="1">
      <c r="A311" s="118">
        <v>45287</v>
      </c>
      <c r="B311" s="114" t="s">
        <v>1654</v>
      </c>
      <c r="C311" s="114" t="s">
        <v>1655</v>
      </c>
      <c r="D311" s="114" t="s">
        <v>1374</v>
      </c>
      <c r="E311" s="233" t="str">
        <f t="shared" ref="E311:E340" si="5">CONCATENATE(C311," ",D311)</f>
        <v>HOUNDEKON CARINE</v>
      </c>
      <c r="F311" s="114"/>
      <c r="G311" s="114"/>
      <c r="H311" s="114"/>
      <c r="I311" s="114"/>
      <c r="J311" s="114"/>
      <c r="K311" s="114"/>
      <c r="L311" s="114" t="s">
        <v>1479</v>
      </c>
      <c r="M311" s="217"/>
    </row>
    <row r="312" spans="1:13" ht="15.75" customHeight="1">
      <c r="A312" s="118">
        <v>45257</v>
      </c>
      <c r="B312" s="114" t="s">
        <v>1656</v>
      </c>
      <c r="C312" s="114" t="s">
        <v>1135</v>
      </c>
      <c r="D312" s="114" t="s">
        <v>1657</v>
      </c>
      <c r="E312" s="233" t="str">
        <f t="shared" si="5"/>
        <v>ASSOGBA MARTHE</v>
      </c>
      <c r="F312" s="114"/>
      <c r="G312" s="114"/>
      <c r="H312" s="114"/>
      <c r="I312" s="114"/>
      <c r="J312" s="114"/>
      <c r="K312" s="114"/>
      <c r="L312" s="114" t="s">
        <v>1479</v>
      </c>
      <c r="M312" s="217"/>
    </row>
    <row r="313" spans="1:13" ht="15.75" customHeight="1">
      <c r="A313" s="118">
        <v>45259</v>
      </c>
      <c r="B313" s="114" t="s">
        <v>1658</v>
      </c>
      <c r="C313" s="114" t="s">
        <v>1659</v>
      </c>
      <c r="D313" s="114" t="s">
        <v>1660</v>
      </c>
      <c r="E313" s="233" t="str">
        <f t="shared" si="5"/>
        <v>MISSIHOUN  PRUDENXIA</v>
      </c>
      <c r="F313" s="114"/>
      <c r="G313" s="114"/>
      <c r="H313" s="114"/>
      <c r="I313" s="114"/>
      <c r="J313" s="114"/>
      <c r="K313" s="114"/>
      <c r="L313" s="114" t="s">
        <v>1479</v>
      </c>
      <c r="M313" s="217"/>
    </row>
    <row r="314" spans="1:13" ht="15.75" customHeight="1">
      <c r="A314" s="118">
        <v>45262</v>
      </c>
      <c r="B314" s="114" t="s">
        <v>1661</v>
      </c>
      <c r="C314" s="114" t="s">
        <v>1662</v>
      </c>
      <c r="D314" s="114" t="s">
        <v>1663</v>
      </c>
      <c r="E314" s="233" t="str">
        <f t="shared" si="5"/>
        <v>TETEH ERICSSON</v>
      </c>
      <c r="F314" s="114"/>
      <c r="G314" s="114"/>
      <c r="H314" s="114"/>
      <c r="I314" s="114"/>
      <c r="J314" s="114"/>
      <c r="K314" s="114"/>
      <c r="L314" s="114" t="s">
        <v>1479</v>
      </c>
      <c r="M314" s="217"/>
    </row>
    <row r="315" spans="1:13" ht="15.75" customHeight="1">
      <c r="A315" s="118">
        <v>45264</v>
      </c>
      <c r="B315" s="114" t="s">
        <v>1664</v>
      </c>
      <c r="C315" s="114" t="s">
        <v>1665</v>
      </c>
      <c r="D315" s="114" t="s">
        <v>1666</v>
      </c>
      <c r="E315" s="233" t="str">
        <f t="shared" si="5"/>
        <v>HOUENASSOU  CYNTHIA</v>
      </c>
      <c r="F315" s="114"/>
      <c r="G315" s="114"/>
      <c r="H315" s="114"/>
      <c r="I315" s="114"/>
      <c r="J315" s="114"/>
      <c r="K315" s="114"/>
      <c r="L315" s="114" t="s">
        <v>1479</v>
      </c>
      <c r="M315" s="217"/>
    </row>
    <row r="316" spans="1:13" ht="15.75" customHeight="1">
      <c r="A316" s="118">
        <v>45266</v>
      </c>
      <c r="B316" s="114" t="s">
        <v>1667</v>
      </c>
      <c r="C316" s="114" t="s">
        <v>1668</v>
      </c>
      <c r="D316" s="114" t="s">
        <v>1669</v>
      </c>
      <c r="E316" s="233" t="str">
        <f t="shared" si="5"/>
        <v>FANOU ALIOTH</v>
      </c>
      <c r="F316" s="114"/>
      <c r="G316" s="114"/>
      <c r="H316" s="114"/>
      <c r="I316" s="114"/>
      <c r="J316" s="114"/>
      <c r="K316" s="114"/>
      <c r="L316" s="114" t="s">
        <v>1479</v>
      </c>
      <c r="M316" s="217"/>
    </row>
    <row r="317" spans="1:13" ht="15.75" customHeight="1">
      <c r="A317" s="118">
        <v>45272</v>
      </c>
      <c r="B317" s="114" t="s">
        <v>1670</v>
      </c>
      <c r="C317" s="114" t="s">
        <v>1671</v>
      </c>
      <c r="D317" s="114" t="s">
        <v>1672</v>
      </c>
      <c r="E317" s="233" t="str">
        <f t="shared" si="5"/>
        <v>GANDAHO MICHELE</v>
      </c>
      <c r="F317" s="114"/>
      <c r="G317" s="114"/>
      <c r="H317" s="114"/>
      <c r="I317" s="114"/>
      <c r="J317" s="114"/>
      <c r="K317" s="114"/>
      <c r="L317" s="114" t="s">
        <v>1479</v>
      </c>
      <c r="M317" s="217"/>
    </row>
    <row r="318" spans="1:13" ht="15.75" customHeight="1">
      <c r="A318" s="118">
        <v>45272</v>
      </c>
      <c r="B318" s="114" t="s">
        <v>1673</v>
      </c>
      <c r="C318" s="114" t="s">
        <v>1674</v>
      </c>
      <c r="D318" s="114" t="s">
        <v>1675</v>
      </c>
      <c r="E318" s="233" t="str">
        <f t="shared" si="5"/>
        <v>YAMINOU  SAFIANOU</v>
      </c>
      <c r="F318" s="114"/>
      <c r="G318" s="114"/>
      <c r="H318" s="114"/>
      <c r="I318" s="114"/>
      <c r="J318" s="114"/>
      <c r="K318" s="114"/>
      <c r="L318" s="114" t="s">
        <v>1479</v>
      </c>
      <c r="M318" s="217"/>
    </row>
    <row r="319" spans="1:13" ht="15.75" customHeight="1">
      <c r="A319" s="118">
        <v>45273</v>
      </c>
      <c r="B319" s="114" t="s">
        <v>1676</v>
      </c>
      <c r="C319" s="114" t="s">
        <v>1677</v>
      </c>
      <c r="D319" s="114" t="s">
        <v>1678</v>
      </c>
      <c r="E319" s="233" t="str">
        <f t="shared" si="5"/>
        <v>YESSOUFOU ZEKIYATH</v>
      </c>
      <c r="F319" s="114"/>
      <c r="G319" s="114"/>
      <c r="H319" s="114"/>
      <c r="I319" s="114"/>
      <c r="J319" s="114"/>
      <c r="K319" s="114"/>
      <c r="L319" s="114" t="s">
        <v>1479</v>
      </c>
      <c r="M319" s="217"/>
    </row>
    <row r="320" spans="1:13" ht="15.75" customHeight="1">
      <c r="A320" s="118">
        <v>45283</v>
      </c>
      <c r="B320" s="114" t="s">
        <v>1679</v>
      </c>
      <c r="C320" s="114" t="s">
        <v>1680</v>
      </c>
      <c r="D320" s="114" t="s">
        <v>1681</v>
      </c>
      <c r="E320" s="233" t="str">
        <f t="shared" si="5"/>
        <v>HOUESSOU ANTOINE</v>
      </c>
      <c r="F320" s="114"/>
      <c r="G320" s="114"/>
      <c r="H320" s="114"/>
      <c r="I320" s="114"/>
      <c r="J320" s="114"/>
      <c r="K320" s="114"/>
      <c r="L320" s="114" t="s">
        <v>1479</v>
      </c>
      <c r="M320" s="217"/>
    </row>
    <row r="321" spans="1:13" ht="15.75" customHeight="1">
      <c r="A321" s="118">
        <v>45287</v>
      </c>
      <c r="B321" s="114" t="s">
        <v>1682</v>
      </c>
      <c r="C321" s="114" t="s">
        <v>1683</v>
      </c>
      <c r="D321" s="114" t="s">
        <v>1684</v>
      </c>
      <c r="E321" s="233" t="str">
        <f t="shared" si="5"/>
        <v>SONOU  PAULIN</v>
      </c>
      <c r="F321" s="114"/>
      <c r="G321" s="114"/>
      <c r="H321" s="114"/>
      <c r="I321" s="114"/>
      <c r="J321" s="114"/>
      <c r="K321" s="114"/>
      <c r="L321" s="114" t="s">
        <v>1479</v>
      </c>
      <c r="M321" s="217"/>
    </row>
    <row r="322" spans="1:13" ht="15.75" customHeight="1">
      <c r="A322" s="118">
        <v>45287</v>
      </c>
      <c r="B322" s="114" t="s">
        <v>1685</v>
      </c>
      <c r="C322" s="114" t="s">
        <v>1250</v>
      </c>
      <c r="D322" s="114" t="s">
        <v>1686</v>
      </c>
      <c r="E322" s="233" t="str">
        <f t="shared" si="5"/>
        <v>MADAME  DANIELLA</v>
      </c>
      <c r="F322" s="114" t="s">
        <v>1687</v>
      </c>
      <c r="G322" s="114"/>
      <c r="H322" s="114"/>
      <c r="I322" s="114"/>
      <c r="J322" s="114"/>
      <c r="K322" s="114"/>
      <c r="L322" s="114" t="s">
        <v>1479</v>
      </c>
      <c r="M322" s="217"/>
    </row>
    <row r="323" spans="1:13" ht="15.75" customHeight="1">
      <c r="A323" s="118">
        <v>45289</v>
      </c>
      <c r="B323" s="114" t="s">
        <v>1688</v>
      </c>
      <c r="C323" s="114" t="s">
        <v>1505</v>
      </c>
      <c r="D323" s="114" t="s">
        <v>1689</v>
      </c>
      <c r="E323" s="233" t="str">
        <f t="shared" si="5"/>
        <v>ACAKPO  SYLVAIN</v>
      </c>
      <c r="F323" s="114" t="s">
        <v>1690</v>
      </c>
      <c r="G323" s="114"/>
      <c r="H323" s="114"/>
      <c r="I323" s="114"/>
      <c r="J323" s="114"/>
      <c r="K323" s="114"/>
      <c r="L323" s="114" t="s">
        <v>1479</v>
      </c>
      <c r="M323" s="217"/>
    </row>
    <row r="324" spans="1:13" ht="15.75" customHeight="1">
      <c r="A324" s="118">
        <v>45296</v>
      </c>
      <c r="B324" s="114" t="s">
        <v>1691</v>
      </c>
      <c r="C324" s="114" t="s">
        <v>697</v>
      </c>
      <c r="D324" s="114" t="s">
        <v>1692</v>
      </c>
      <c r="E324" s="233" t="str">
        <f t="shared" si="5"/>
        <v>MADAME PRUDENCIA</v>
      </c>
      <c r="F324" s="114"/>
      <c r="G324" s="114"/>
      <c r="H324" s="114"/>
      <c r="I324" s="114"/>
      <c r="J324" s="114"/>
      <c r="K324" s="114"/>
      <c r="L324" s="114" t="s">
        <v>1479</v>
      </c>
      <c r="M324" s="217"/>
    </row>
    <row r="325" spans="1:13" ht="15.75" customHeight="1">
      <c r="A325" s="118">
        <v>45296</v>
      </c>
      <c r="B325" s="114" t="s">
        <v>1693</v>
      </c>
      <c r="C325" s="114" t="s">
        <v>1694</v>
      </c>
      <c r="D325" s="114" t="s">
        <v>1695</v>
      </c>
      <c r="E325" s="233" t="str">
        <f t="shared" si="5"/>
        <v>CHIKOU OSIRIS</v>
      </c>
      <c r="F325" s="114"/>
      <c r="G325" s="114"/>
      <c r="H325" s="114"/>
      <c r="I325" s="114"/>
      <c r="J325" s="114"/>
      <c r="K325" s="114"/>
      <c r="L325" s="114" t="s">
        <v>1479</v>
      </c>
      <c r="M325" s="217"/>
    </row>
    <row r="326" spans="1:13" ht="15.75" customHeight="1">
      <c r="A326" s="118">
        <v>45297</v>
      </c>
      <c r="B326" s="114" t="s">
        <v>1696</v>
      </c>
      <c r="C326" s="114" t="s">
        <v>1697</v>
      </c>
      <c r="D326" s="114" t="s">
        <v>1698</v>
      </c>
      <c r="E326" s="233" t="str">
        <f t="shared" si="5"/>
        <v>HOUNGUE FAUSTINE</v>
      </c>
      <c r="F326" s="114" t="s">
        <v>789</v>
      </c>
      <c r="G326" s="114"/>
      <c r="H326" s="114"/>
      <c r="I326" s="114"/>
      <c r="J326" s="114"/>
      <c r="K326" s="114"/>
      <c r="L326" s="114" t="s">
        <v>1479</v>
      </c>
      <c r="M326" s="217"/>
    </row>
    <row r="327" spans="1:13" ht="15.75" customHeight="1">
      <c r="A327" s="118">
        <v>45303</v>
      </c>
      <c r="B327" s="114" t="s">
        <v>1699</v>
      </c>
      <c r="C327" s="114" t="s">
        <v>1700</v>
      </c>
      <c r="D327" s="114" t="s">
        <v>700</v>
      </c>
      <c r="E327" s="233" t="str">
        <f t="shared" si="5"/>
        <v>ADANDEDJA  ERIC</v>
      </c>
      <c r="F327" s="114" t="s">
        <v>1690</v>
      </c>
      <c r="G327" s="114"/>
      <c r="H327" s="114"/>
      <c r="I327" s="114"/>
      <c r="J327" s="114"/>
      <c r="K327" s="114"/>
      <c r="L327" s="114" t="s">
        <v>1479</v>
      </c>
      <c r="M327" s="217"/>
    </row>
    <row r="328" spans="1:13" ht="15.75" customHeight="1">
      <c r="A328" s="118">
        <v>45303</v>
      </c>
      <c r="B328" s="114" t="s">
        <v>1701</v>
      </c>
      <c r="C328" s="114" t="s">
        <v>1055</v>
      </c>
      <c r="D328" s="114" t="s">
        <v>1702</v>
      </c>
      <c r="E328" s="233" t="str">
        <f t="shared" si="5"/>
        <v>MONSIEUR BERTRAND</v>
      </c>
      <c r="F328" s="114"/>
      <c r="G328" s="114"/>
      <c r="H328" s="114"/>
      <c r="I328" s="114"/>
      <c r="J328" s="114"/>
      <c r="K328" s="114"/>
      <c r="L328" s="114" t="s">
        <v>1479</v>
      </c>
      <c r="M328" s="217"/>
    </row>
    <row r="329" spans="1:13" ht="15.75" customHeight="1">
      <c r="A329" s="118">
        <v>45303</v>
      </c>
      <c r="B329" s="114" t="s">
        <v>1703</v>
      </c>
      <c r="C329" s="114" t="s">
        <v>697</v>
      </c>
      <c r="D329" s="114" t="s">
        <v>1704</v>
      </c>
      <c r="E329" s="233" t="str">
        <f t="shared" si="5"/>
        <v>MADAME MARIETTE</v>
      </c>
      <c r="F329" s="114" t="s">
        <v>1446</v>
      </c>
      <c r="G329" s="114"/>
      <c r="H329" s="114"/>
      <c r="I329" s="114"/>
      <c r="J329" s="114"/>
      <c r="K329" s="114"/>
      <c r="L329" s="114" t="s">
        <v>1479</v>
      </c>
      <c r="M329" s="217"/>
    </row>
    <row r="330" spans="1:13" ht="15.75" customHeight="1">
      <c r="A330" s="118">
        <v>45310</v>
      </c>
      <c r="B330" s="114" t="s">
        <v>1705</v>
      </c>
      <c r="C330" s="114" t="s">
        <v>1706</v>
      </c>
      <c r="D330" s="114" t="s">
        <v>1707</v>
      </c>
      <c r="E330" s="233" t="str">
        <f t="shared" si="5"/>
        <v>BONOU ARNAUD</v>
      </c>
      <c r="F330" s="114"/>
      <c r="G330" s="114"/>
      <c r="H330" s="114"/>
      <c r="I330" s="114"/>
      <c r="J330" s="114"/>
      <c r="K330" s="114"/>
      <c r="L330" s="114" t="s">
        <v>1479</v>
      </c>
      <c r="M330" s="217"/>
    </row>
    <row r="331" spans="1:13" ht="15.75" customHeight="1">
      <c r="A331" s="118">
        <v>45339</v>
      </c>
      <c r="B331" s="114" t="s">
        <v>1708</v>
      </c>
      <c r="C331" s="114" t="s">
        <v>1709</v>
      </c>
      <c r="D331" s="114" t="s">
        <v>1710</v>
      </c>
      <c r="E331" s="233" t="str">
        <f t="shared" si="5"/>
        <v>KETEKE ISAI</v>
      </c>
      <c r="F331" s="114"/>
      <c r="G331" s="114"/>
      <c r="H331" s="114"/>
      <c r="I331" s="114"/>
      <c r="J331" s="114"/>
      <c r="K331" s="114"/>
      <c r="L331" s="114" t="s">
        <v>1479</v>
      </c>
      <c r="M331" s="217"/>
    </row>
    <row r="332" spans="1:13" ht="15.75" customHeight="1">
      <c r="A332" s="118">
        <v>45317</v>
      </c>
      <c r="B332" s="114" t="s">
        <v>1733</v>
      </c>
      <c r="C332" s="114" t="s">
        <v>697</v>
      </c>
      <c r="D332" s="114" t="s">
        <v>1711</v>
      </c>
      <c r="E332" s="233" t="str">
        <f t="shared" si="5"/>
        <v>MADAME AGUESSY</v>
      </c>
      <c r="F332" s="114"/>
      <c r="G332" s="114"/>
      <c r="H332" s="114"/>
      <c r="I332" s="114"/>
      <c r="J332" s="114"/>
      <c r="K332" s="114"/>
      <c r="L332" s="114" t="s">
        <v>1479</v>
      </c>
      <c r="M332" s="217"/>
    </row>
    <row r="333" spans="1:13" ht="15.75" customHeight="1">
      <c r="A333" s="118">
        <v>44955</v>
      </c>
      <c r="B333" s="114" t="s">
        <v>1712</v>
      </c>
      <c r="C333" s="114" t="s">
        <v>697</v>
      </c>
      <c r="D333" s="114" t="s">
        <v>1713</v>
      </c>
      <c r="E333" s="233" t="str">
        <f t="shared" si="5"/>
        <v>MADAME FAGLA</v>
      </c>
      <c r="F333" s="114" t="s">
        <v>789</v>
      </c>
      <c r="G333" s="114"/>
      <c r="H333" s="114"/>
      <c r="I333" s="114"/>
      <c r="J333" s="114"/>
      <c r="K333" s="114"/>
      <c r="L333" s="114" t="s">
        <v>1479</v>
      </c>
      <c r="M333" s="217"/>
    </row>
    <row r="334" spans="1:13" ht="15.75" customHeight="1">
      <c r="A334" s="118">
        <v>45329</v>
      </c>
      <c r="B334" s="114" t="s">
        <v>1714</v>
      </c>
      <c r="C334" s="114" t="s">
        <v>1055</v>
      </c>
      <c r="D334" s="114" t="s">
        <v>1715</v>
      </c>
      <c r="E334" s="233" t="str">
        <f t="shared" si="5"/>
        <v>MONSIEUR WAKILU</v>
      </c>
      <c r="F334" s="114"/>
      <c r="G334" s="114"/>
      <c r="H334" s="114"/>
      <c r="I334" s="114"/>
      <c r="J334" s="114"/>
      <c r="K334" s="114"/>
      <c r="L334" s="114" t="s">
        <v>1479</v>
      </c>
      <c r="M334" s="217"/>
    </row>
    <row r="335" spans="1:13" ht="15.75" customHeight="1">
      <c r="A335" s="118">
        <v>45336</v>
      </c>
      <c r="B335" s="114" t="s">
        <v>1716</v>
      </c>
      <c r="C335" s="114" t="s">
        <v>1135</v>
      </c>
      <c r="D335" s="114" t="s">
        <v>1717</v>
      </c>
      <c r="E335" s="233" t="str">
        <f t="shared" si="5"/>
        <v>ASSOGBA IDA</v>
      </c>
      <c r="F335" s="114"/>
      <c r="G335" s="114"/>
      <c r="H335" s="114"/>
      <c r="I335" s="114"/>
      <c r="J335" s="114"/>
      <c r="K335" s="114"/>
      <c r="L335" s="114" t="s">
        <v>1479</v>
      </c>
      <c r="M335" s="217"/>
    </row>
    <row r="336" spans="1:13" ht="15.75" customHeight="1">
      <c r="A336" s="118">
        <v>45338</v>
      </c>
      <c r="B336" s="114" t="s">
        <v>1718</v>
      </c>
      <c r="C336" s="114" t="s">
        <v>1719</v>
      </c>
      <c r="D336" s="114" t="s">
        <v>1720</v>
      </c>
      <c r="E336" s="233" t="str">
        <f t="shared" si="5"/>
        <v>BOVIS PAO</v>
      </c>
      <c r="F336" s="114"/>
      <c r="G336" s="114"/>
      <c r="H336" s="114"/>
      <c r="I336" s="114"/>
      <c r="J336" s="114"/>
      <c r="K336" s="114"/>
      <c r="L336" s="114" t="s">
        <v>1479</v>
      </c>
      <c r="M336" s="217"/>
    </row>
    <row r="337" spans="1:13" ht="15.75" customHeight="1">
      <c r="A337" s="118">
        <v>45344</v>
      </c>
      <c r="B337" s="114" t="s">
        <v>1721</v>
      </c>
      <c r="C337" s="114" t="s">
        <v>697</v>
      </c>
      <c r="D337" s="114" t="s">
        <v>1722</v>
      </c>
      <c r="E337" s="233" t="str">
        <f t="shared" si="5"/>
        <v>MADAME ALINE AKPO</v>
      </c>
      <c r="F337" s="114" t="s">
        <v>1723</v>
      </c>
      <c r="G337" s="114">
        <v>97927130</v>
      </c>
      <c r="H337" s="114"/>
      <c r="I337" s="114"/>
      <c r="J337" s="114"/>
      <c r="K337" s="114"/>
      <c r="L337" s="114" t="s">
        <v>1479</v>
      </c>
      <c r="M337" s="217"/>
    </row>
    <row r="338" spans="1:13" ht="15.75" customHeight="1">
      <c r="A338" s="118">
        <v>45352</v>
      </c>
      <c r="B338" s="114" t="s">
        <v>1724</v>
      </c>
      <c r="C338" s="114" t="s">
        <v>1275</v>
      </c>
      <c r="D338" s="114" t="s">
        <v>1725</v>
      </c>
      <c r="E338" s="233" t="str">
        <f t="shared" si="5"/>
        <v>MAMAN MARIAME</v>
      </c>
      <c r="F338" s="114"/>
      <c r="G338" s="114"/>
      <c r="H338" s="114"/>
      <c r="I338" s="114"/>
      <c r="J338" s="114"/>
      <c r="K338" s="114"/>
      <c r="L338" s="114" t="s">
        <v>1479</v>
      </c>
      <c r="M338" s="217"/>
    </row>
    <row r="339" spans="1:13" ht="15.75" customHeight="1">
      <c r="A339" s="118">
        <v>45352</v>
      </c>
      <c r="B339" s="114" t="s">
        <v>1726</v>
      </c>
      <c r="C339" s="114" t="s">
        <v>1727</v>
      </c>
      <c r="D339" s="114" t="s">
        <v>1728</v>
      </c>
      <c r="E339" s="233" t="str">
        <f t="shared" si="5"/>
        <v>HOTEL TAHITI</v>
      </c>
      <c r="F339" s="114" t="s">
        <v>1729</v>
      </c>
      <c r="G339" s="114"/>
      <c r="H339" s="114"/>
      <c r="I339" s="114"/>
      <c r="J339" s="114"/>
      <c r="K339" s="114"/>
      <c r="L339" s="114" t="s">
        <v>1479</v>
      </c>
      <c r="M339" s="217"/>
    </row>
    <row r="340" spans="1:13" ht="15.75" customHeight="1">
      <c r="A340" s="118">
        <v>45357</v>
      </c>
      <c r="B340" s="114" t="s">
        <v>1730</v>
      </c>
      <c r="C340" s="114" t="s">
        <v>850</v>
      </c>
      <c r="D340" s="114" t="s">
        <v>1731</v>
      </c>
      <c r="E340" s="233" t="str">
        <f t="shared" si="5"/>
        <v>AMINOU ISLAMIA</v>
      </c>
      <c r="F340" s="114"/>
      <c r="G340" s="114"/>
      <c r="H340" s="114"/>
      <c r="I340" s="114"/>
      <c r="J340" s="114" t="s">
        <v>1007</v>
      </c>
      <c r="K340" s="114" t="s">
        <v>1732</v>
      </c>
      <c r="L340" s="114" t="s">
        <v>1479</v>
      </c>
      <c r="M340" s="217"/>
    </row>
    <row r="341" spans="1:13" ht="15.75" customHeight="1">
      <c r="A341" s="118"/>
      <c r="B341" s="114"/>
      <c r="C341" s="114"/>
      <c r="D341" s="114"/>
      <c r="E341" s="233"/>
      <c r="F341" s="114"/>
      <c r="G341" s="114"/>
      <c r="H341" s="114"/>
      <c r="I341" s="114"/>
      <c r="J341" s="114"/>
      <c r="K341" s="114"/>
      <c r="L341" s="114"/>
      <c r="M341" s="217"/>
    </row>
    <row r="342" spans="1:13" ht="15.75" customHeight="1">
      <c r="A342" s="118"/>
      <c r="B342" s="114"/>
      <c r="C342" s="114"/>
      <c r="D342" s="114"/>
      <c r="E342" s="233"/>
      <c r="F342" s="114"/>
      <c r="G342" s="114"/>
      <c r="H342" s="114"/>
      <c r="I342" s="114"/>
      <c r="J342" s="114"/>
      <c r="K342" s="114"/>
      <c r="L342" s="114"/>
      <c r="M342" s="217"/>
    </row>
    <row r="343" spans="1:13" ht="15.75" customHeight="1">
      <c r="A343" s="118"/>
      <c r="B343" s="114"/>
      <c r="C343" s="114"/>
      <c r="D343" s="114"/>
      <c r="E343" s="233"/>
      <c r="F343" s="114"/>
      <c r="G343" s="114"/>
      <c r="H343" s="114"/>
      <c r="I343" s="114"/>
      <c r="J343" s="114"/>
      <c r="K343" s="114"/>
      <c r="L343" s="114"/>
      <c r="M343" s="217"/>
    </row>
    <row r="344" spans="1:13" ht="15.75" customHeight="1">
      <c r="A344" s="118"/>
      <c r="B344" s="114"/>
      <c r="C344" s="114"/>
      <c r="D344" s="114"/>
      <c r="E344" s="233"/>
      <c r="F344" s="114"/>
      <c r="G344" s="114"/>
      <c r="H344" s="114"/>
      <c r="I344" s="114"/>
      <c r="J344" s="114"/>
      <c r="K344" s="114"/>
      <c r="L344" s="114"/>
      <c r="M344" s="217"/>
    </row>
    <row r="345" spans="1:13" ht="15.75" customHeight="1">
      <c r="A345" s="118"/>
      <c r="B345" s="114"/>
      <c r="C345" s="114"/>
      <c r="D345" s="114"/>
      <c r="E345" s="233"/>
      <c r="F345" s="114"/>
      <c r="G345" s="114"/>
      <c r="H345" s="114"/>
      <c r="I345" s="114"/>
      <c r="J345" s="114"/>
      <c r="K345" s="114"/>
      <c r="L345" s="114"/>
      <c r="M345" s="217"/>
    </row>
    <row r="346" spans="1:13" ht="15.75" customHeight="1">
      <c r="A346" s="118"/>
      <c r="B346" s="114"/>
      <c r="C346" s="114"/>
      <c r="D346" s="114"/>
      <c r="E346" s="233"/>
      <c r="F346" s="114"/>
      <c r="G346" s="114"/>
      <c r="H346" s="114"/>
      <c r="I346" s="114"/>
      <c r="J346" s="114"/>
      <c r="K346" s="114"/>
      <c r="L346" s="114"/>
      <c r="M346" s="217"/>
    </row>
    <row r="347" spans="1:13" ht="15.75" customHeight="1">
      <c r="A347" s="118"/>
      <c r="B347" s="114"/>
      <c r="C347" s="114"/>
      <c r="D347" s="114"/>
      <c r="E347" s="233"/>
      <c r="F347" s="114"/>
      <c r="G347" s="114"/>
      <c r="H347" s="114"/>
      <c r="I347" s="114"/>
      <c r="J347" s="114"/>
      <c r="K347" s="114"/>
      <c r="L347" s="114"/>
      <c r="M347" s="217"/>
    </row>
    <row r="348" spans="1:13" ht="15.75" customHeight="1">
      <c r="A348" s="118"/>
      <c r="B348" s="114"/>
      <c r="C348" s="114"/>
      <c r="D348" s="114"/>
      <c r="E348" s="233"/>
      <c r="F348" s="114"/>
      <c r="G348" s="114"/>
      <c r="H348" s="114"/>
      <c r="I348" s="114"/>
      <c r="J348" s="114"/>
      <c r="K348" s="114"/>
      <c r="L348" s="114"/>
      <c r="M348" s="217"/>
    </row>
    <row r="349" spans="1:13" ht="15.75" customHeight="1">
      <c r="A349" s="118"/>
      <c r="B349" s="114"/>
      <c r="C349" s="114"/>
      <c r="D349" s="114"/>
      <c r="E349" s="233"/>
      <c r="F349" s="114"/>
      <c r="G349" s="114"/>
      <c r="H349" s="114"/>
      <c r="I349" s="114"/>
      <c r="J349" s="114"/>
      <c r="K349" s="114"/>
      <c r="L349" s="114"/>
      <c r="M349" s="217"/>
    </row>
    <row r="350" spans="1:13" ht="15.75" customHeight="1">
      <c r="A350" s="118"/>
      <c r="B350" s="114"/>
      <c r="C350" s="114"/>
      <c r="D350" s="114"/>
      <c r="E350" s="233"/>
      <c r="F350" s="114"/>
      <c r="G350" s="114"/>
      <c r="H350" s="114"/>
      <c r="I350" s="114"/>
      <c r="J350" s="114"/>
      <c r="K350" s="114"/>
      <c r="L350" s="114"/>
      <c r="M350" s="217"/>
    </row>
    <row r="351" spans="1:13" ht="15.75" customHeight="1">
      <c r="A351" s="118"/>
      <c r="B351" s="114"/>
      <c r="C351" s="114"/>
      <c r="D351" s="114"/>
      <c r="E351" s="233"/>
      <c r="F351" s="114"/>
      <c r="G351" s="114"/>
      <c r="H351" s="114"/>
      <c r="I351" s="114"/>
      <c r="J351" s="114"/>
      <c r="K351" s="114"/>
      <c r="L351" s="114"/>
      <c r="M351" s="217"/>
    </row>
    <row r="352" spans="1:13" ht="15.75" customHeight="1">
      <c r="A352" s="118"/>
      <c r="B352" s="114"/>
      <c r="C352" s="114"/>
      <c r="D352" s="114"/>
      <c r="E352" s="233"/>
      <c r="F352" s="114"/>
      <c r="G352" s="114"/>
      <c r="H352" s="114"/>
      <c r="I352" s="114"/>
      <c r="J352" s="114"/>
      <c r="K352" s="114"/>
      <c r="L352" s="114"/>
      <c r="M352" s="217"/>
    </row>
    <row r="353" spans="1:13" ht="15.75" customHeight="1">
      <c r="A353" s="118"/>
      <c r="B353" s="114"/>
      <c r="C353" s="114"/>
      <c r="D353" s="114"/>
      <c r="E353" s="233"/>
      <c r="F353" s="114"/>
      <c r="G353" s="114"/>
      <c r="H353" s="114"/>
      <c r="I353" s="114"/>
      <c r="J353" s="114"/>
      <c r="K353" s="114"/>
      <c r="L353" s="114"/>
      <c r="M353" s="217"/>
    </row>
    <row r="354" spans="1:13" ht="15.75" customHeight="1">
      <c r="A354" s="118"/>
      <c r="B354" s="114"/>
      <c r="C354" s="114"/>
      <c r="D354" s="114"/>
      <c r="E354" s="233"/>
      <c r="F354" s="114"/>
      <c r="G354" s="114"/>
      <c r="H354" s="114"/>
      <c r="I354" s="114"/>
      <c r="J354" s="114"/>
      <c r="K354" s="114"/>
      <c r="L354" s="114"/>
      <c r="M354" s="217"/>
    </row>
    <row r="355" spans="1:13" ht="15.75" customHeight="1">
      <c r="A355" s="118"/>
      <c r="B355" s="114"/>
      <c r="C355" s="114"/>
      <c r="D355" s="114"/>
      <c r="E355" s="233"/>
      <c r="F355" s="114"/>
      <c r="G355" s="114"/>
      <c r="H355" s="114"/>
      <c r="I355" s="114"/>
      <c r="J355" s="114"/>
      <c r="K355" s="114"/>
      <c r="L355" s="114"/>
      <c r="M355" s="217"/>
    </row>
    <row r="356" spans="1:13" ht="15.75" customHeight="1">
      <c r="A356" s="118"/>
      <c r="B356" s="114"/>
      <c r="C356" s="114"/>
      <c r="D356" s="114"/>
      <c r="E356" s="233"/>
      <c r="F356" s="114"/>
      <c r="G356" s="114"/>
      <c r="H356" s="114"/>
      <c r="I356" s="114"/>
      <c r="J356" s="114"/>
      <c r="K356" s="114"/>
      <c r="L356" s="114"/>
      <c r="M356" s="217"/>
    </row>
    <row r="357" spans="1:13" ht="15.75" customHeight="1">
      <c r="A357" s="118"/>
      <c r="B357" s="114"/>
      <c r="C357" s="114"/>
      <c r="D357" s="114"/>
      <c r="E357" s="233"/>
      <c r="F357" s="114"/>
      <c r="G357" s="114"/>
      <c r="H357" s="114"/>
      <c r="I357" s="114"/>
      <c r="J357" s="114"/>
      <c r="K357" s="114"/>
      <c r="L357" s="114"/>
      <c r="M357" s="217"/>
    </row>
    <row r="358" spans="1:13" ht="15.75" customHeight="1">
      <c r="A358" s="118"/>
      <c r="B358" s="114"/>
      <c r="C358" s="114"/>
      <c r="D358" s="114"/>
      <c r="E358" s="233"/>
      <c r="F358" s="114"/>
      <c r="G358" s="114"/>
      <c r="H358" s="114"/>
      <c r="I358" s="114"/>
      <c r="J358" s="114"/>
      <c r="K358" s="114"/>
      <c r="L358" s="114"/>
      <c r="M358" s="217"/>
    </row>
    <row r="359" spans="1:13" ht="15.75" customHeight="1">
      <c r="A359" s="118"/>
      <c r="B359" s="114"/>
      <c r="C359" s="114"/>
      <c r="D359" s="114"/>
      <c r="E359" s="233"/>
      <c r="F359" s="114"/>
      <c r="G359" s="114"/>
      <c r="H359" s="114"/>
      <c r="I359" s="114"/>
      <c r="J359" s="114"/>
      <c r="K359" s="114"/>
      <c r="L359" s="114"/>
      <c r="M359" s="217"/>
    </row>
    <row r="360" spans="1:13" ht="15.75" customHeight="1">
      <c r="A360" s="118"/>
      <c r="B360" s="114"/>
      <c r="C360" s="114"/>
      <c r="D360" s="114"/>
      <c r="E360" s="233"/>
      <c r="F360" s="114"/>
      <c r="G360" s="114"/>
      <c r="H360" s="114"/>
      <c r="I360" s="114"/>
      <c r="J360" s="114"/>
      <c r="K360" s="114"/>
      <c r="L360" s="114"/>
      <c r="M360" s="217"/>
    </row>
    <row r="361" spans="1:13" ht="15.75" customHeight="1">
      <c r="A361" s="118"/>
      <c r="B361" s="114"/>
      <c r="C361" s="114"/>
      <c r="D361" s="114"/>
      <c r="E361" s="233"/>
      <c r="F361" s="114"/>
      <c r="G361" s="114"/>
      <c r="H361" s="114"/>
      <c r="I361" s="114"/>
      <c r="J361" s="114"/>
      <c r="K361" s="114"/>
      <c r="L361" s="114"/>
      <c r="M361" s="217"/>
    </row>
    <row r="362" spans="1:13" ht="15.75" customHeight="1">
      <c r="A362" s="118"/>
      <c r="B362" s="114"/>
      <c r="C362" s="114"/>
      <c r="D362" s="114"/>
      <c r="E362" s="233"/>
      <c r="F362" s="114"/>
      <c r="G362" s="114"/>
      <c r="H362" s="114"/>
      <c r="I362" s="114"/>
      <c r="J362" s="114"/>
      <c r="K362" s="114"/>
      <c r="L362" s="114"/>
      <c r="M362" s="217"/>
    </row>
    <row r="363" spans="1:13" ht="15.75" customHeight="1">
      <c r="A363" s="118"/>
      <c r="B363" s="114"/>
      <c r="C363" s="114"/>
      <c r="D363" s="114"/>
      <c r="E363" s="233"/>
      <c r="F363" s="114"/>
      <c r="G363" s="114"/>
      <c r="H363" s="114"/>
      <c r="I363" s="114"/>
      <c r="J363" s="114"/>
      <c r="K363" s="114"/>
      <c r="L363" s="114"/>
      <c r="M363" s="217"/>
    </row>
    <row r="364" spans="1:13" ht="15.75" customHeight="1">
      <c r="A364" s="118"/>
      <c r="B364" s="114"/>
      <c r="C364" s="114"/>
      <c r="D364" s="114"/>
      <c r="E364" s="233"/>
      <c r="F364" s="114"/>
      <c r="G364" s="114"/>
      <c r="H364" s="114"/>
      <c r="I364" s="114"/>
      <c r="J364" s="114"/>
      <c r="K364" s="114"/>
      <c r="L364" s="114"/>
      <c r="M364" s="217"/>
    </row>
    <row r="365" spans="1:13" ht="15.75" customHeight="1">
      <c r="A365" s="118"/>
      <c r="B365" s="114"/>
      <c r="C365" s="114"/>
      <c r="D365" s="114"/>
      <c r="E365" s="233"/>
      <c r="F365" s="114"/>
      <c r="G365" s="114"/>
      <c r="H365" s="114"/>
      <c r="I365" s="114"/>
      <c r="J365" s="114"/>
      <c r="K365" s="114"/>
      <c r="L365" s="114"/>
      <c r="M365" s="217"/>
    </row>
    <row r="366" spans="1:13" ht="15.75" customHeight="1">
      <c r="A366" s="118"/>
      <c r="B366" s="114"/>
      <c r="C366" s="114"/>
      <c r="D366" s="114"/>
      <c r="E366" s="233"/>
      <c r="F366" s="114"/>
      <c r="G366" s="114"/>
      <c r="H366" s="114"/>
      <c r="I366" s="114"/>
      <c r="J366" s="114"/>
      <c r="K366" s="114"/>
      <c r="L366" s="114"/>
      <c r="M366" s="217"/>
    </row>
    <row r="367" spans="1:13" ht="15.75" customHeight="1">
      <c r="A367" s="118"/>
      <c r="B367" s="114"/>
      <c r="C367" s="114"/>
      <c r="D367" s="114"/>
      <c r="E367" s="233"/>
      <c r="F367" s="114"/>
      <c r="G367" s="114"/>
      <c r="H367" s="114"/>
      <c r="I367" s="114"/>
      <c r="J367" s="114"/>
      <c r="K367" s="114"/>
      <c r="L367" s="114"/>
      <c r="M367" s="217"/>
    </row>
    <row r="368" spans="1:13" ht="15.75" customHeight="1">
      <c r="A368" s="118"/>
      <c r="B368" s="114"/>
      <c r="C368" s="114"/>
      <c r="D368" s="114"/>
      <c r="E368" s="233"/>
      <c r="F368" s="114"/>
      <c r="G368" s="114"/>
      <c r="H368" s="114"/>
      <c r="I368" s="114"/>
      <c r="J368" s="114"/>
      <c r="K368" s="114"/>
      <c r="L368" s="114"/>
      <c r="M368" s="217"/>
    </row>
    <row r="369" spans="1:13" ht="15.75" customHeight="1">
      <c r="A369" s="118"/>
      <c r="B369" s="114"/>
      <c r="C369" s="114"/>
      <c r="D369" s="114"/>
      <c r="E369" s="233"/>
      <c r="F369" s="114"/>
      <c r="G369" s="114"/>
      <c r="H369" s="114"/>
      <c r="I369" s="114"/>
      <c r="J369" s="114"/>
      <c r="K369" s="114"/>
      <c r="L369" s="114"/>
      <c r="M369" s="217"/>
    </row>
    <row r="370" spans="1:13" ht="15.75" customHeight="1">
      <c r="A370" s="118"/>
      <c r="B370" s="114"/>
      <c r="C370" s="114"/>
      <c r="D370" s="114"/>
      <c r="E370" s="233"/>
      <c r="F370" s="114"/>
      <c r="G370" s="114"/>
      <c r="H370" s="114"/>
      <c r="I370" s="114"/>
      <c r="J370" s="114"/>
      <c r="K370" s="114"/>
      <c r="L370" s="114"/>
      <c r="M370" s="217"/>
    </row>
    <row r="371" spans="1:13" ht="15.75" customHeight="1">
      <c r="A371" s="118"/>
      <c r="B371" s="114"/>
      <c r="C371" s="114"/>
      <c r="D371" s="114"/>
      <c r="E371" s="233"/>
      <c r="F371" s="114"/>
      <c r="G371" s="114"/>
      <c r="H371" s="114"/>
      <c r="I371" s="114"/>
      <c r="J371" s="114"/>
      <c r="K371" s="114"/>
      <c r="L371" s="114"/>
      <c r="M371" s="217"/>
    </row>
    <row r="372" spans="1:13" ht="15.75" customHeight="1">
      <c r="A372" s="118"/>
      <c r="B372" s="114"/>
      <c r="C372" s="114"/>
      <c r="D372" s="114"/>
      <c r="E372" s="233"/>
      <c r="F372" s="114"/>
      <c r="G372" s="114"/>
      <c r="H372" s="114"/>
      <c r="I372" s="114"/>
      <c r="J372" s="114"/>
      <c r="K372" s="114"/>
      <c r="L372" s="114"/>
      <c r="M372" s="217"/>
    </row>
    <row r="373" spans="1:13" ht="15.75" customHeight="1">
      <c r="A373" s="118"/>
      <c r="B373" s="114"/>
      <c r="C373" s="114"/>
      <c r="D373" s="114"/>
      <c r="E373" s="233"/>
      <c r="F373" s="114"/>
      <c r="G373" s="114"/>
      <c r="H373" s="114"/>
      <c r="I373" s="114"/>
      <c r="J373" s="114"/>
      <c r="K373" s="114"/>
      <c r="L373" s="114"/>
      <c r="M373" s="217"/>
    </row>
    <row r="374" spans="1:13" ht="15.75" customHeight="1">
      <c r="A374" s="118"/>
      <c r="B374" s="114"/>
      <c r="C374" s="114"/>
      <c r="D374" s="114"/>
      <c r="E374" s="233"/>
      <c r="F374" s="114"/>
      <c r="G374" s="114"/>
      <c r="H374" s="114"/>
      <c r="I374" s="114"/>
      <c r="J374" s="114"/>
      <c r="K374" s="114"/>
      <c r="L374" s="114"/>
      <c r="M374" s="217"/>
    </row>
    <row r="375" spans="1:13" ht="15.75" customHeight="1">
      <c r="A375" s="118"/>
      <c r="B375" s="114"/>
      <c r="C375" s="114"/>
      <c r="D375" s="114"/>
      <c r="E375" s="233"/>
      <c r="F375" s="114"/>
      <c r="G375" s="114"/>
      <c r="H375" s="114"/>
      <c r="I375" s="114"/>
      <c r="J375" s="114"/>
      <c r="K375" s="114"/>
      <c r="L375" s="114"/>
      <c r="M375" s="217"/>
    </row>
    <row r="376" spans="1:13" ht="15.75" customHeight="1">
      <c r="A376" s="118"/>
      <c r="B376" s="114"/>
      <c r="C376" s="114"/>
      <c r="D376" s="114"/>
      <c r="E376" s="233"/>
      <c r="F376" s="114"/>
      <c r="G376" s="114"/>
      <c r="H376" s="114"/>
      <c r="I376" s="114"/>
      <c r="J376" s="114"/>
      <c r="K376" s="114"/>
      <c r="L376" s="114"/>
      <c r="M376" s="217"/>
    </row>
    <row r="377" spans="1:13" ht="15.75" customHeight="1">
      <c r="A377" s="118"/>
      <c r="B377" s="114"/>
      <c r="C377" s="114"/>
      <c r="D377" s="114"/>
      <c r="E377" s="233"/>
      <c r="F377" s="114"/>
      <c r="G377" s="114"/>
      <c r="H377" s="114"/>
      <c r="I377" s="114"/>
      <c r="J377" s="114"/>
      <c r="K377" s="114"/>
      <c r="L377" s="114"/>
      <c r="M377" s="217"/>
    </row>
    <row r="378" spans="1:13" ht="15.75" customHeight="1">
      <c r="A378" s="118"/>
      <c r="B378" s="114"/>
      <c r="C378" s="114"/>
      <c r="D378" s="114"/>
      <c r="E378" s="233"/>
      <c r="F378" s="114"/>
      <c r="G378" s="114"/>
      <c r="H378" s="114"/>
      <c r="I378" s="114"/>
      <c r="J378" s="114"/>
      <c r="K378" s="114"/>
      <c r="L378" s="114"/>
      <c r="M378" s="217"/>
    </row>
    <row r="379" spans="1:13" ht="15.75" customHeight="1">
      <c r="A379" s="118"/>
      <c r="B379" s="114"/>
      <c r="C379" s="114"/>
      <c r="D379" s="114"/>
      <c r="E379" s="233"/>
      <c r="F379" s="114"/>
      <c r="G379" s="114"/>
      <c r="H379" s="114"/>
      <c r="I379" s="114"/>
      <c r="J379" s="114"/>
      <c r="K379" s="114"/>
      <c r="L379" s="114"/>
      <c r="M379" s="217"/>
    </row>
    <row r="380" spans="1:13" ht="15.75" customHeight="1">
      <c r="A380" s="118"/>
      <c r="B380" s="114"/>
      <c r="C380" s="114"/>
      <c r="D380" s="114"/>
      <c r="E380" s="233"/>
      <c r="F380" s="114"/>
      <c r="G380" s="114"/>
      <c r="H380" s="114"/>
      <c r="I380" s="114"/>
      <c r="J380" s="114"/>
      <c r="K380" s="114"/>
      <c r="L380" s="114"/>
      <c r="M380" s="217"/>
    </row>
    <row r="381" spans="1:13" ht="15.75" customHeight="1">
      <c r="A381" s="118"/>
      <c r="B381" s="114"/>
      <c r="C381" s="114"/>
      <c r="D381" s="114"/>
      <c r="E381" s="233"/>
      <c r="F381" s="114"/>
      <c r="G381" s="114"/>
      <c r="H381" s="114"/>
      <c r="I381" s="114"/>
      <c r="J381" s="114"/>
      <c r="K381" s="114"/>
      <c r="L381" s="114"/>
      <c r="M381" s="217"/>
    </row>
    <row r="382" spans="1:13" ht="15.75" customHeight="1">
      <c r="A382" s="118"/>
      <c r="B382" s="114"/>
      <c r="C382" s="114"/>
      <c r="D382" s="114"/>
      <c r="E382" s="233"/>
      <c r="F382" s="114"/>
      <c r="G382" s="114"/>
      <c r="H382" s="114"/>
      <c r="I382" s="114"/>
      <c r="J382" s="114"/>
      <c r="K382" s="114"/>
      <c r="L382" s="114"/>
      <c r="M382" s="217"/>
    </row>
    <row r="383" spans="1:13" ht="15.75" customHeight="1">
      <c r="A383" s="118"/>
      <c r="B383" s="114"/>
      <c r="C383" s="114"/>
      <c r="D383" s="114"/>
      <c r="E383" s="233"/>
      <c r="F383" s="114"/>
      <c r="G383" s="114"/>
      <c r="H383" s="114"/>
      <c r="I383" s="114"/>
      <c r="J383" s="114"/>
      <c r="K383" s="114"/>
      <c r="L383" s="114"/>
      <c r="M383" s="217"/>
    </row>
    <row r="384" spans="1:13" ht="15.75" customHeight="1">
      <c r="A384" s="118"/>
      <c r="B384" s="114"/>
      <c r="C384" s="114"/>
      <c r="D384" s="114"/>
      <c r="E384" s="233"/>
      <c r="F384" s="114"/>
      <c r="G384" s="114"/>
      <c r="H384" s="114"/>
      <c r="I384" s="114"/>
      <c r="J384" s="114"/>
      <c r="K384" s="114"/>
      <c r="L384" s="114"/>
      <c r="M384" s="217"/>
    </row>
  </sheetData>
  <conditionalFormatting sqref="G166:G170 G184:G281 G283:G284 G286:G340 G2:G164">
    <cfRule type="duplicateValues" dxfId="20" priority="2"/>
  </conditionalFormatting>
  <conditionalFormatting sqref="G171:G183">
    <cfRule type="duplicateValues" dxfId="19" priority="1"/>
  </conditionalFormatting>
  <conditionalFormatting sqref="G341:G1048576">
    <cfRule type="duplicateValues" dxfId="18" priority="4"/>
  </conditionalFormatting>
  <dataValidations count="1">
    <dataValidation type="list" allowBlank="1" showInputMessage="1" showErrorMessage="1" sqref="L3:L1048576" xr:uid="{C43F84DA-BCD7-4390-9C3B-170A05FB9EA3}">
      <formula1>" Client partenaire, Grand client, Heureux de vous avoir"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6E52-3DEA-4521-BF4E-17F70DD98CB7}">
  <sheetPr>
    <tabColor rgb="FFFFFF00"/>
  </sheetPr>
  <dimension ref="B1:AA51"/>
  <sheetViews>
    <sheetView topLeftCell="A4" zoomScale="90" zoomScaleNormal="90" workbookViewId="0">
      <selection activeCell="N14" sqref="N14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5.109375" style="12" customWidth="1"/>
    <col min="16" max="16" width="5.5546875" style="9" customWidth="1"/>
    <col min="17" max="17" width="3.77734375" style="11" customWidth="1"/>
    <col min="18" max="18" width="4.88671875" style="12" customWidth="1"/>
    <col min="19" max="19" width="5.109375" style="12" customWidth="1"/>
    <col min="20" max="20" width="6.77734375" style="12" customWidth="1"/>
    <col min="21" max="21" width="5.109375" style="12" customWidth="1"/>
    <col min="22" max="24" width="5.109375" style="13" customWidth="1"/>
    <col min="25" max="25" width="13.88671875" style="14" customWidth="1"/>
    <col min="26" max="16384" width="8.88671875" style="14"/>
  </cols>
  <sheetData>
    <row r="1" spans="2:26" ht="15" customHeight="1"/>
    <row r="2" spans="2:26" ht="81" customHeight="1">
      <c r="Z2"/>
    </row>
    <row r="3" spans="2:26" ht="18.600000000000001" customHeight="1">
      <c r="B3" s="382" t="s">
        <v>1797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2:26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6" s="3" customFormat="1" ht="13.95" customHeight="1">
      <c r="D5" s="142"/>
      <c r="L5" s="389" t="s">
        <v>1468</v>
      </c>
      <c r="M5" s="390"/>
      <c r="N5" s="390"/>
      <c r="O5" s="390"/>
      <c r="P5" s="390"/>
      <c r="Q5" s="391"/>
      <c r="R5" s="157"/>
      <c r="S5" s="157"/>
      <c r="T5" s="157"/>
      <c r="U5" s="157"/>
      <c r="V5" s="124"/>
      <c r="W5" s="124"/>
      <c r="Y5"/>
    </row>
    <row r="6" spans="2:26" s="3" customFormat="1" ht="13.95" customHeight="1" thickBot="1">
      <c r="B6" s="408" t="s">
        <v>1476</v>
      </c>
      <c r="C6" s="408"/>
      <c r="D6" s="408"/>
      <c r="E6" s="407">
        <f ca="1">TODAY()</f>
        <v>45531</v>
      </c>
      <c r="F6" s="407"/>
      <c r="G6" s="407"/>
      <c r="H6" s="158"/>
      <c r="L6" s="392"/>
      <c r="M6" s="393"/>
      <c r="N6" s="393"/>
      <c r="O6" s="393"/>
      <c r="P6" s="393"/>
      <c r="Q6" s="394"/>
      <c r="S6" s="400" t="s">
        <v>145</v>
      </c>
      <c r="T6" s="400"/>
      <c r="U6" s="400"/>
      <c r="V6" s="395">
        <f>IF(E8="Normal",WORKDAY.INTL(I7,3,11,Fériés!A:A),IF(E8="Express",WORKDAY.INTL(I7,1,11,Fériés!A:A)))</f>
        <v>45145</v>
      </c>
      <c r="W6" s="395"/>
      <c r="X6" s="395"/>
      <c r="Y6" s="162"/>
    </row>
    <row r="7" spans="2:26" s="3" customFormat="1" ht="13.95" customHeight="1">
      <c r="B7" s="398" t="s">
        <v>143</v>
      </c>
      <c r="C7" s="398"/>
      <c r="D7" s="398"/>
      <c r="E7" s="3">
        <v>1001</v>
      </c>
      <c r="F7" s="135" t="s">
        <v>1475</v>
      </c>
      <c r="G7" s="160" t="s">
        <v>484</v>
      </c>
      <c r="H7" s="161" t="s">
        <v>1475</v>
      </c>
      <c r="I7" s="409">
        <v>45141</v>
      </c>
      <c r="J7" s="409"/>
      <c r="L7" s="401" t="s">
        <v>1469</v>
      </c>
      <c r="M7" s="402"/>
      <c r="N7" s="402"/>
      <c r="O7" s="402"/>
      <c r="P7" s="402"/>
      <c r="Q7" s="403"/>
      <c r="S7" s="396" t="s">
        <v>148</v>
      </c>
      <c r="T7" s="396"/>
      <c r="U7" s="396"/>
      <c r="V7" s="397">
        <f>WORKDAY.INTL(V6,-1,11,Fériés!A:A)</f>
        <v>45143</v>
      </c>
      <c r="W7" s="397"/>
      <c r="X7" s="397"/>
    </row>
    <row r="8" spans="2:26" s="3" customFormat="1" ht="13.95" customHeight="1" thickBot="1">
      <c r="B8" s="398" t="s">
        <v>1477</v>
      </c>
      <c r="C8" s="398"/>
      <c r="D8" s="398"/>
      <c r="E8" s="399" t="s">
        <v>1478</v>
      </c>
      <c r="F8" s="399"/>
      <c r="G8" s="399"/>
      <c r="I8" s="135"/>
      <c r="L8" s="404"/>
      <c r="M8" s="405"/>
      <c r="N8" s="405"/>
      <c r="O8" s="405"/>
      <c r="P8" s="405"/>
      <c r="Q8" s="406"/>
      <c r="R8" s="130"/>
      <c r="S8" s="130"/>
      <c r="T8" s="130"/>
      <c r="U8" s="130"/>
      <c r="V8" s="128"/>
      <c r="W8" s="128"/>
      <c r="X8" s="128"/>
    </row>
    <row r="9" spans="2:26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</row>
    <row r="10" spans="2:26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6" s="146" customFormat="1" ht="19.05" customHeight="1">
      <c r="D11" s="410" t="s">
        <v>146</v>
      </c>
      <c r="E11" s="411"/>
      <c r="F11" s="412"/>
      <c r="G11" s="410" t="s">
        <v>144</v>
      </c>
      <c r="H11" s="411"/>
      <c r="I11" s="411"/>
      <c r="J11" s="412"/>
      <c r="K11" s="410" t="s">
        <v>1464</v>
      </c>
      <c r="L11" s="411"/>
      <c r="M11" s="412"/>
      <c r="N11" s="383" t="s">
        <v>1467</v>
      </c>
      <c r="O11" s="384"/>
      <c r="P11" s="385"/>
      <c r="Q11" s="410" t="s">
        <v>1462</v>
      </c>
      <c r="R11" s="412"/>
      <c r="S11" s="164" t="s">
        <v>1465</v>
      </c>
      <c r="T11" s="164" t="s">
        <v>157</v>
      </c>
      <c r="V11" s="145"/>
      <c r="W11" s="145"/>
      <c r="X11" s="147"/>
    </row>
    <row r="12" spans="2:26" s="153" customFormat="1" ht="19.05" customHeight="1">
      <c r="B12" s="152"/>
      <c r="D12" s="177" t="str">
        <f>G7</f>
        <v>CP1AM</v>
      </c>
      <c r="E12" s="178"/>
      <c r="F12" s="179"/>
      <c r="G12" s="416" t="str">
        <f>VLOOKUP(D12,'Base Clients'!B:E,4,FALSE)</f>
        <v>AHOUNOU KEKE MELENE</v>
      </c>
      <c r="H12" s="417"/>
      <c r="I12" s="417"/>
      <c r="J12" s="418"/>
      <c r="K12" s="413" t="str">
        <f>VLOOKUP(D12,'Base Clients'!B:L,11,FALSE)</f>
        <v>Client partenaire</v>
      </c>
      <c r="L12" s="414"/>
      <c r="M12" s="415"/>
      <c r="N12" s="386" t="s">
        <v>102</v>
      </c>
      <c r="O12" s="387"/>
      <c r="P12" s="388"/>
      <c r="Q12" s="419" t="str">
        <f>VLOOKUP(D12,'Base Clients'!B:K,10,FALSE)</f>
        <v>1 KM</v>
      </c>
      <c r="R12" s="420"/>
      <c r="S12" s="159" t="s">
        <v>1466</v>
      </c>
      <c r="T12" s="159" t="s">
        <v>1466</v>
      </c>
      <c r="U12" s="152"/>
      <c r="V12" s="154"/>
      <c r="W12" s="154"/>
      <c r="X12" s="155"/>
    </row>
    <row r="13" spans="2:26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</row>
    <row r="14" spans="2:26" s="1" customFormat="1" ht="29.4" customHeight="1">
      <c r="B14" s="136" t="s">
        <v>0</v>
      </c>
      <c r="C14" s="137" t="s">
        <v>149</v>
      </c>
      <c r="D14" s="358" t="s">
        <v>150</v>
      </c>
      <c r="E14" s="359"/>
      <c r="F14" s="359"/>
      <c r="G14" s="359"/>
      <c r="H14" s="359"/>
      <c r="I14" s="359"/>
      <c r="J14" s="360"/>
      <c r="K14" s="361" t="s">
        <v>1471</v>
      </c>
      <c r="L14" s="362"/>
      <c r="M14" s="138" t="s">
        <v>1472</v>
      </c>
      <c r="N14" s="163" t="s">
        <v>1473</v>
      </c>
      <c r="O14" s="139" t="s">
        <v>153</v>
      </c>
      <c r="P14" s="138" t="s">
        <v>151</v>
      </c>
      <c r="Q14" s="372" t="s">
        <v>152</v>
      </c>
      <c r="R14" s="372"/>
      <c r="S14" s="358" t="s">
        <v>154</v>
      </c>
      <c r="T14" s="360"/>
      <c r="U14" s="349" t="s">
        <v>1562</v>
      </c>
      <c r="V14" s="350"/>
      <c r="W14" s="380" t="s">
        <v>155</v>
      </c>
      <c r="X14" s="381"/>
    </row>
    <row r="15" spans="2:26" s="17" customFormat="1" ht="18" customHeight="1">
      <c r="B15" s="15">
        <v>1</v>
      </c>
      <c r="C15" s="5" t="s">
        <v>40</v>
      </c>
      <c r="D15" s="354" t="str">
        <f>IFERROR(VLOOKUP(C15,'Full list.23'!C:K,9,FALSE),0)</f>
        <v>Complet Local (CL2)</v>
      </c>
      <c r="E15" s="355"/>
      <c r="F15" s="355"/>
      <c r="G15" s="355"/>
      <c r="H15" s="355"/>
      <c r="I15" s="355"/>
      <c r="J15" s="356"/>
      <c r="K15" s="363" t="s">
        <v>1804</v>
      </c>
      <c r="L15" s="364"/>
      <c r="M15" s="16">
        <v>1</v>
      </c>
      <c r="N15" s="16">
        <v>1.2</v>
      </c>
      <c r="O15" s="16">
        <v>2</v>
      </c>
      <c r="P15" s="16">
        <v>2</v>
      </c>
      <c r="Q15" s="353">
        <f>IFERROR(MROUND(VLOOKUP(C15,'Full list.23'!C:G,5,FALSE)/M15*N15,5),0)</f>
        <v>1260</v>
      </c>
      <c r="R15" s="353"/>
      <c r="S15" s="351">
        <f>IFERROR(MROUND(IF(O15=0,Q15,IF(O15=1,Q15*0.95,IF(O15=2,Q15*0.93,IF(O15=3,Q15*0.9)))),5),0)</f>
        <v>1170</v>
      </c>
      <c r="T15" s="352"/>
      <c r="U15" s="376">
        <f>Q15*P15</f>
        <v>2520</v>
      </c>
      <c r="V15" s="377"/>
      <c r="W15" s="351">
        <f>S15*P15</f>
        <v>2340</v>
      </c>
      <c r="X15" s="352"/>
    </row>
    <row r="16" spans="2:26" s="17" customFormat="1" ht="18" customHeight="1">
      <c r="B16" s="15">
        <v>2</v>
      </c>
      <c r="C16" s="5" t="s">
        <v>20</v>
      </c>
      <c r="D16" s="354" t="str">
        <f>IFERROR(VLOOKUP(C16,'Full list.23'!C:K,9,FALSE),0)</f>
        <v>Chemise (CH)</v>
      </c>
      <c r="E16" s="355"/>
      <c r="F16" s="355"/>
      <c r="G16" s="355"/>
      <c r="H16" s="355"/>
      <c r="I16" s="355"/>
      <c r="J16" s="356"/>
      <c r="K16" s="363" t="s">
        <v>1474</v>
      </c>
      <c r="L16" s="364"/>
      <c r="M16" s="16">
        <v>1</v>
      </c>
      <c r="N16" s="16">
        <v>1</v>
      </c>
      <c r="O16" s="16">
        <v>2</v>
      </c>
      <c r="P16" s="16">
        <v>3</v>
      </c>
      <c r="Q16" s="353">
        <f>IFERROR(MROUND(VLOOKUP(C16,'Full list.23'!C:G,5,FALSE)/M16*N16,5),0)</f>
        <v>700</v>
      </c>
      <c r="R16" s="353"/>
      <c r="S16" s="351">
        <f t="shared" ref="S16:S32" si="0">IFERROR(MROUND(IF(O16=0,Q16,IF(O16=1,Q16*0.95,IF(O16=2,Q16*0.93,IF(O16=3,Q16*0.9)))),5),0)</f>
        <v>650</v>
      </c>
      <c r="T16" s="352"/>
      <c r="U16" s="376">
        <f t="shared" ref="U16:U32" si="1">Q16*P16</f>
        <v>2100</v>
      </c>
      <c r="V16" s="377"/>
      <c r="W16" s="351">
        <f t="shared" ref="W16:W20" si="2">S16*P16</f>
        <v>1950</v>
      </c>
      <c r="X16" s="352"/>
    </row>
    <row r="17" spans="2:24" s="17" customFormat="1" ht="18" customHeight="1">
      <c r="B17" s="15">
        <v>3</v>
      </c>
      <c r="C17" s="5" t="s">
        <v>22</v>
      </c>
      <c r="D17" s="354" t="str">
        <f>IFERROR(VLOOKUP(C17,'Full list.23'!C:K,9,FALSE),0)</f>
        <v>Pantalon (PA)</v>
      </c>
      <c r="E17" s="355"/>
      <c r="F17" s="355"/>
      <c r="G17" s="355"/>
      <c r="H17" s="355"/>
      <c r="I17" s="355"/>
      <c r="J17" s="356"/>
      <c r="K17" s="363" t="s">
        <v>1474</v>
      </c>
      <c r="L17" s="364"/>
      <c r="M17" s="16">
        <v>1</v>
      </c>
      <c r="N17" s="16">
        <v>1</v>
      </c>
      <c r="O17" s="16">
        <v>2</v>
      </c>
      <c r="P17" s="16">
        <v>5</v>
      </c>
      <c r="Q17" s="353">
        <f>IFERROR(MROUND(VLOOKUP(C17,'Full list.23'!C:G,5,FALSE)/M17*N17,5),0)</f>
        <v>700</v>
      </c>
      <c r="R17" s="353"/>
      <c r="S17" s="351">
        <f t="shared" si="0"/>
        <v>650</v>
      </c>
      <c r="T17" s="352"/>
      <c r="U17" s="376">
        <f t="shared" si="1"/>
        <v>3500</v>
      </c>
      <c r="V17" s="377"/>
      <c r="W17" s="351">
        <f t="shared" si="2"/>
        <v>3250</v>
      </c>
      <c r="X17" s="352"/>
    </row>
    <row r="18" spans="2:24" s="17" customFormat="1" ht="18" customHeight="1">
      <c r="B18" s="15">
        <v>4</v>
      </c>
      <c r="C18" s="5"/>
      <c r="D18" s="354">
        <f>IFERROR(VLOOKUP(C18,'Full list.23'!C:K,9,FALSE),0)</f>
        <v>0</v>
      </c>
      <c r="E18" s="355"/>
      <c r="F18" s="355"/>
      <c r="G18" s="355"/>
      <c r="H18" s="355"/>
      <c r="I18" s="355"/>
      <c r="J18" s="356"/>
      <c r="K18" s="363" t="s">
        <v>1474</v>
      </c>
      <c r="L18" s="364"/>
      <c r="M18" s="16">
        <v>1</v>
      </c>
      <c r="N18" s="16">
        <v>1</v>
      </c>
      <c r="O18" s="16">
        <v>0</v>
      </c>
      <c r="P18" s="16"/>
      <c r="Q18" s="353">
        <f>IFERROR(MROUND(VLOOKUP(C18,'Full list.23'!C:G,5,FALSE)/M18*N18,5),0)</f>
        <v>0</v>
      </c>
      <c r="R18" s="353"/>
      <c r="S18" s="351">
        <f t="shared" si="0"/>
        <v>0</v>
      </c>
      <c r="T18" s="352"/>
      <c r="U18" s="376">
        <f t="shared" si="1"/>
        <v>0</v>
      </c>
      <c r="V18" s="377"/>
      <c r="W18" s="351">
        <f t="shared" si="2"/>
        <v>0</v>
      </c>
      <c r="X18" s="352"/>
    </row>
    <row r="19" spans="2:24" s="17" customFormat="1" ht="18" customHeight="1">
      <c r="B19" s="15">
        <v>5</v>
      </c>
      <c r="C19" s="5"/>
      <c r="D19" s="354">
        <f>IFERROR(VLOOKUP(C19,'Full list.23'!C:K,9,FALSE),0)</f>
        <v>0</v>
      </c>
      <c r="E19" s="355"/>
      <c r="F19" s="355"/>
      <c r="G19" s="355"/>
      <c r="H19" s="355"/>
      <c r="I19" s="355"/>
      <c r="J19" s="356"/>
      <c r="K19" s="363" t="s">
        <v>1474</v>
      </c>
      <c r="L19" s="364"/>
      <c r="M19" s="16">
        <v>1</v>
      </c>
      <c r="N19" s="16">
        <v>1</v>
      </c>
      <c r="O19" s="16">
        <v>0</v>
      </c>
      <c r="P19" s="16"/>
      <c r="Q19" s="353">
        <f>IFERROR(MROUND(VLOOKUP(C19,'Full list.23'!C:G,5,FALSE)/M19*N19,5),0)</f>
        <v>0</v>
      </c>
      <c r="R19" s="353"/>
      <c r="S19" s="351">
        <f t="shared" si="0"/>
        <v>0</v>
      </c>
      <c r="T19" s="352"/>
      <c r="U19" s="376">
        <f t="shared" si="1"/>
        <v>0</v>
      </c>
      <c r="V19" s="377"/>
      <c r="W19" s="351">
        <f t="shared" si="2"/>
        <v>0</v>
      </c>
      <c r="X19" s="352"/>
    </row>
    <row r="20" spans="2:24" s="17" customFormat="1" ht="18" customHeight="1">
      <c r="B20" s="15">
        <v>6</v>
      </c>
      <c r="C20" s="5"/>
      <c r="D20" s="354">
        <f>IFERROR(VLOOKUP(C20,'Full list.23'!C:K,9,FALSE),0)</f>
        <v>0</v>
      </c>
      <c r="E20" s="355"/>
      <c r="F20" s="355"/>
      <c r="G20" s="355"/>
      <c r="H20" s="355"/>
      <c r="I20" s="355"/>
      <c r="J20" s="356"/>
      <c r="K20" s="365" t="s">
        <v>1474</v>
      </c>
      <c r="L20" s="365"/>
      <c r="M20" s="16">
        <v>1</v>
      </c>
      <c r="N20" s="16">
        <v>1</v>
      </c>
      <c r="O20" s="16">
        <v>0</v>
      </c>
      <c r="P20" s="16"/>
      <c r="Q20" s="353">
        <f>IFERROR(MROUND(VLOOKUP(C20,'Full list.23'!C:G,5,FALSE)/M20*N20,5),0)</f>
        <v>0</v>
      </c>
      <c r="R20" s="353"/>
      <c r="S20" s="357">
        <f t="shared" si="0"/>
        <v>0</v>
      </c>
      <c r="T20" s="357"/>
      <c r="U20" s="353">
        <f t="shared" si="1"/>
        <v>0</v>
      </c>
      <c r="V20" s="353"/>
      <c r="W20" s="357">
        <f t="shared" si="2"/>
        <v>0</v>
      </c>
      <c r="X20" s="357"/>
    </row>
    <row r="21" spans="2:24" s="17" customFormat="1" ht="18" customHeight="1">
      <c r="B21" s="15">
        <v>7</v>
      </c>
      <c r="C21" s="5"/>
      <c r="D21" s="354">
        <f>IFERROR(VLOOKUP(C21,'Full list.23'!C:K,9,FALSE),0)</f>
        <v>0</v>
      </c>
      <c r="E21" s="355"/>
      <c r="F21" s="355"/>
      <c r="G21" s="355"/>
      <c r="H21" s="355"/>
      <c r="I21" s="355"/>
      <c r="J21" s="356"/>
      <c r="K21" s="365" t="s">
        <v>1474</v>
      </c>
      <c r="L21" s="365"/>
      <c r="M21" s="16">
        <v>1</v>
      </c>
      <c r="N21" s="16">
        <v>1</v>
      </c>
      <c r="O21" s="16">
        <v>0</v>
      </c>
      <c r="P21" s="16"/>
      <c r="Q21" s="353">
        <f>IFERROR(MROUND(VLOOKUP(C21,'Full list.23'!C:G,5,FALSE)/M21*N21,5),0)</f>
        <v>0</v>
      </c>
      <c r="R21" s="353"/>
      <c r="S21" s="357">
        <f t="shared" si="0"/>
        <v>0</v>
      </c>
      <c r="T21" s="357"/>
      <c r="U21" s="353">
        <f t="shared" si="1"/>
        <v>0</v>
      </c>
      <c r="V21" s="353"/>
      <c r="W21" s="357">
        <f t="shared" ref="W21:W32" si="3">S21*P21</f>
        <v>0</v>
      </c>
      <c r="X21" s="357"/>
    </row>
    <row r="22" spans="2:24" s="17" customFormat="1" ht="18" customHeight="1">
      <c r="B22" s="15">
        <v>8</v>
      </c>
      <c r="C22" s="5"/>
      <c r="D22" s="354">
        <f>IFERROR(VLOOKUP(C22,'Full list.23'!C:K,9,FALSE),0)</f>
        <v>0</v>
      </c>
      <c r="E22" s="355"/>
      <c r="F22" s="355"/>
      <c r="G22" s="355"/>
      <c r="H22" s="355"/>
      <c r="I22" s="355"/>
      <c r="J22" s="356"/>
      <c r="K22" s="365" t="s">
        <v>1474</v>
      </c>
      <c r="L22" s="365"/>
      <c r="M22" s="16">
        <v>1</v>
      </c>
      <c r="N22" s="16">
        <v>1</v>
      </c>
      <c r="O22" s="16">
        <v>0</v>
      </c>
      <c r="P22" s="16"/>
      <c r="Q22" s="353">
        <f>IFERROR(MROUND(VLOOKUP(C22,'Full list.23'!C:G,5,FALSE)/M22*N22,5),0)</f>
        <v>0</v>
      </c>
      <c r="R22" s="353"/>
      <c r="S22" s="357">
        <f t="shared" si="0"/>
        <v>0</v>
      </c>
      <c r="T22" s="357"/>
      <c r="U22" s="353">
        <f t="shared" si="1"/>
        <v>0</v>
      </c>
      <c r="V22" s="353"/>
      <c r="W22" s="357">
        <f t="shared" si="3"/>
        <v>0</v>
      </c>
      <c r="X22" s="357"/>
    </row>
    <row r="23" spans="2:24" s="17" customFormat="1" ht="18" customHeight="1">
      <c r="B23" s="15">
        <v>9</v>
      </c>
      <c r="C23" s="5"/>
      <c r="D23" s="354">
        <f>IFERROR(VLOOKUP(C23,'Full list.23'!C:K,9,FALSE),0)</f>
        <v>0</v>
      </c>
      <c r="E23" s="355"/>
      <c r="F23" s="355"/>
      <c r="G23" s="355"/>
      <c r="H23" s="355"/>
      <c r="I23" s="355"/>
      <c r="J23" s="356"/>
      <c r="K23" s="365" t="s">
        <v>1474</v>
      </c>
      <c r="L23" s="365"/>
      <c r="M23" s="16">
        <v>1</v>
      </c>
      <c r="N23" s="16">
        <v>1</v>
      </c>
      <c r="O23" s="16">
        <v>0</v>
      </c>
      <c r="P23" s="16"/>
      <c r="Q23" s="353">
        <f>IFERROR(MROUND(VLOOKUP(C23,'Full list.23'!C:G,5,FALSE)/M23*N23,5),0)</f>
        <v>0</v>
      </c>
      <c r="R23" s="353"/>
      <c r="S23" s="357">
        <f t="shared" si="0"/>
        <v>0</v>
      </c>
      <c r="T23" s="357"/>
      <c r="U23" s="353">
        <f t="shared" si="1"/>
        <v>0</v>
      </c>
      <c r="V23" s="353"/>
      <c r="W23" s="357">
        <f t="shared" si="3"/>
        <v>0</v>
      </c>
      <c r="X23" s="357"/>
    </row>
    <row r="24" spans="2:24" s="17" customFormat="1" ht="18" customHeight="1">
      <c r="B24" s="15">
        <v>10</v>
      </c>
      <c r="C24" s="5"/>
      <c r="D24" s="354">
        <f>IFERROR(VLOOKUP(C24,'Full list.23'!C:K,9,FALSE),0)</f>
        <v>0</v>
      </c>
      <c r="E24" s="355"/>
      <c r="F24" s="355"/>
      <c r="G24" s="355"/>
      <c r="H24" s="355"/>
      <c r="I24" s="355"/>
      <c r="J24" s="356"/>
      <c r="K24" s="365" t="s">
        <v>1474</v>
      </c>
      <c r="L24" s="365"/>
      <c r="M24" s="16">
        <v>1</v>
      </c>
      <c r="N24" s="16">
        <v>1</v>
      </c>
      <c r="O24" s="16">
        <v>0</v>
      </c>
      <c r="P24" s="16"/>
      <c r="Q24" s="353">
        <f>IFERROR(MROUND(VLOOKUP(C24,'Full list.23'!C:G,5,FALSE)/M24*N24,5),0)</f>
        <v>0</v>
      </c>
      <c r="R24" s="353"/>
      <c r="S24" s="357">
        <f t="shared" si="0"/>
        <v>0</v>
      </c>
      <c r="T24" s="357"/>
      <c r="U24" s="353">
        <f t="shared" si="1"/>
        <v>0</v>
      </c>
      <c r="V24" s="353"/>
      <c r="W24" s="357">
        <f t="shared" si="3"/>
        <v>0</v>
      </c>
      <c r="X24" s="357"/>
    </row>
    <row r="25" spans="2:24" s="17" customFormat="1" ht="18" customHeight="1">
      <c r="B25" s="15">
        <v>11</v>
      </c>
      <c r="C25" s="5"/>
      <c r="D25" s="354">
        <f>IFERROR(VLOOKUP(C25,'Full list.23'!C:K,9,FALSE),0)</f>
        <v>0</v>
      </c>
      <c r="E25" s="355"/>
      <c r="F25" s="355"/>
      <c r="G25" s="355"/>
      <c r="H25" s="355"/>
      <c r="I25" s="355"/>
      <c r="J25" s="356"/>
      <c r="K25" s="365" t="s">
        <v>1474</v>
      </c>
      <c r="L25" s="365"/>
      <c r="M25" s="16">
        <v>1</v>
      </c>
      <c r="N25" s="16">
        <v>1</v>
      </c>
      <c r="O25" s="16">
        <v>0</v>
      </c>
      <c r="P25" s="16"/>
      <c r="Q25" s="353">
        <f>IFERROR(MROUND(VLOOKUP(C25,'Full list.23'!C:G,5,FALSE)/M25*N25,5),0)</f>
        <v>0</v>
      </c>
      <c r="R25" s="353"/>
      <c r="S25" s="357">
        <f t="shared" si="0"/>
        <v>0</v>
      </c>
      <c r="T25" s="357"/>
      <c r="U25" s="353">
        <f t="shared" si="1"/>
        <v>0</v>
      </c>
      <c r="V25" s="353"/>
      <c r="W25" s="357">
        <f t="shared" si="3"/>
        <v>0</v>
      </c>
      <c r="X25" s="357"/>
    </row>
    <row r="26" spans="2:24" s="17" customFormat="1" ht="18" customHeight="1">
      <c r="B26" s="15">
        <v>12</v>
      </c>
      <c r="C26" s="5"/>
      <c r="D26" s="354">
        <f>IFERROR(VLOOKUP(C26,'Full list.23'!C:K,9,FALSE),0)</f>
        <v>0</v>
      </c>
      <c r="E26" s="355"/>
      <c r="F26" s="355"/>
      <c r="G26" s="355"/>
      <c r="H26" s="355"/>
      <c r="I26" s="355"/>
      <c r="J26" s="356"/>
      <c r="K26" s="365" t="s">
        <v>1474</v>
      </c>
      <c r="L26" s="365"/>
      <c r="M26" s="16">
        <v>1</v>
      </c>
      <c r="N26" s="16">
        <v>1</v>
      </c>
      <c r="O26" s="16">
        <v>0</v>
      </c>
      <c r="P26" s="16"/>
      <c r="Q26" s="353">
        <f>IFERROR(MROUND(VLOOKUP(C26,'Full list.23'!C:G,5,FALSE)/M26*N26,5),0)</f>
        <v>0</v>
      </c>
      <c r="R26" s="353"/>
      <c r="S26" s="357">
        <f t="shared" si="0"/>
        <v>0</v>
      </c>
      <c r="T26" s="357"/>
      <c r="U26" s="353">
        <f t="shared" si="1"/>
        <v>0</v>
      </c>
      <c r="V26" s="353"/>
      <c r="W26" s="357">
        <f t="shared" si="3"/>
        <v>0</v>
      </c>
      <c r="X26" s="357"/>
    </row>
    <row r="27" spans="2:24" s="17" customFormat="1" ht="18" customHeight="1">
      <c r="B27" s="15">
        <v>13</v>
      </c>
      <c r="C27" s="5"/>
      <c r="D27" s="354">
        <f>IFERROR(VLOOKUP(C27,'Full list.23'!C:K,9,FALSE),0)</f>
        <v>0</v>
      </c>
      <c r="E27" s="355"/>
      <c r="F27" s="355"/>
      <c r="G27" s="355"/>
      <c r="H27" s="355"/>
      <c r="I27" s="355"/>
      <c r="J27" s="356"/>
      <c r="K27" s="365" t="s">
        <v>1474</v>
      </c>
      <c r="L27" s="365"/>
      <c r="M27" s="16">
        <v>1</v>
      </c>
      <c r="N27" s="16">
        <v>1</v>
      </c>
      <c r="O27" s="16">
        <v>0</v>
      </c>
      <c r="P27" s="16"/>
      <c r="Q27" s="353">
        <f>IFERROR(MROUND(VLOOKUP(C27,'Full list.23'!C:G,5,FALSE)/M27*N27,5),0)</f>
        <v>0</v>
      </c>
      <c r="R27" s="353"/>
      <c r="S27" s="357">
        <f t="shared" si="0"/>
        <v>0</v>
      </c>
      <c r="T27" s="357"/>
      <c r="U27" s="353">
        <f t="shared" si="1"/>
        <v>0</v>
      </c>
      <c r="V27" s="353"/>
      <c r="W27" s="357">
        <f t="shared" si="3"/>
        <v>0</v>
      </c>
      <c r="X27" s="357"/>
    </row>
    <row r="28" spans="2:24" s="17" customFormat="1" ht="18" customHeight="1">
      <c r="B28" s="15">
        <v>14</v>
      </c>
      <c r="C28" s="5"/>
      <c r="D28" s="354">
        <f>IFERROR(VLOOKUP(C28,'Full list.23'!C:K,9,FALSE),0)</f>
        <v>0</v>
      </c>
      <c r="E28" s="355"/>
      <c r="F28" s="355"/>
      <c r="G28" s="355"/>
      <c r="H28" s="355"/>
      <c r="I28" s="355"/>
      <c r="J28" s="356"/>
      <c r="K28" s="365" t="s">
        <v>1474</v>
      </c>
      <c r="L28" s="365"/>
      <c r="M28" s="16">
        <v>1</v>
      </c>
      <c r="N28" s="16">
        <v>1</v>
      </c>
      <c r="O28" s="16">
        <v>0</v>
      </c>
      <c r="P28" s="16"/>
      <c r="Q28" s="353">
        <f>IFERROR(MROUND(VLOOKUP(C28,'Full list.23'!C:G,5,FALSE)/M28*N28,5),0)</f>
        <v>0</v>
      </c>
      <c r="R28" s="353"/>
      <c r="S28" s="357">
        <f t="shared" si="0"/>
        <v>0</v>
      </c>
      <c r="T28" s="357"/>
      <c r="U28" s="353">
        <f t="shared" si="1"/>
        <v>0</v>
      </c>
      <c r="V28" s="353"/>
      <c r="W28" s="357">
        <f t="shared" si="3"/>
        <v>0</v>
      </c>
      <c r="X28" s="357"/>
    </row>
    <row r="29" spans="2:24" s="17" customFormat="1" ht="18" customHeight="1">
      <c r="B29" s="15">
        <v>15</v>
      </c>
      <c r="C29" s="5"/>
      <c r="D29" s="354">
        <f>IFERROR(VLOOKUP(C29,'Full list.23'!C:K,9,FALSE),0)</f>
        <v>0</v>
      </c>
      <c r="E29" s="355"/>
      <c r="F29" s="355"/>
      <c r="G29" s="355"/>
      <c r="H29" s="355"/>
      <c r="I29" s="355"/>
      <c r="J29" s="356"/>
      <c r="K29" s="365" t="s">
        <v>1474</v>
      </c>
      <c r="L29" s="365"/>
      <c r="M29" s="16">
        <v>1</v>
      </c>
      <c r="N29" s="16">
        <v>1</v>
      </c>
      <c r="O29" s="16">
        <v>0</v>
      </c>
      <c r="P29" s="16"/>
      <c r="Q29" s="353">
        <f>IFERROR(MROUND(VLOOKUP(C29,'Full list.23'!C:G,5,FALSE)/M29*N29,5),0)</f>
        <v>0</v>
      </c>
      <c r="R29" s="353"/>
      <c r="S29" s="357">
        <f t="shared" si="0"/>
        <v>0</v>
      </c>
      <c r="T29" s="357"/>
      <c r="U29" s="353">
        <f t="shared" si="1"/>
        <v>0</v>
      </c>
      <c r="V29" s="353"/>
      <c r="W29" s="357">
        <f t="shared" si="3"/>
        <v>0</v>
      </c>
      <c r="X29" s="357"/>
    </row>
    <row r="30" spans="2:24" s="17" customFormat="1" ht="18" customHeight="1">
      <c r="B30" s="15">
        <v>16</v>
      </c>
      <c r="C30" s="5"/>
      <c r="D30" s="354">
        <f>IFERROR(VLOOKUP(C30,'Full list.23'!C:K,9,FALSE),0)</f>
        <v>0</v>
      </c>
      <c r="E30" s="355"/>
      <c r="F30" s="355"/>
      <c r="G30" s="355"/>
      <c r="H30" s="355"/>
      <c r="I30" s="355"/>
      <c r="J30" s="356"/>
      <c r="K30" s="365" t="s">
        <v>1474</v>
      </c>
      <c r="L30" s="365"/>
      <c r="M30" s="16">
        <v>1</v>
      </c>
      <c r="N30" s="16">
        <v>1</v>
      </c>
      <c r="O30" s="16">
        <v>0</v>
      </c>
      <c r="P30" s="16"/>
      <c r="Q30" s="353">
        <f>IFERROR(MROUND(VLOOKUP(C30,'Full list.23'!C:G,5,FALSE)/M30*N30,5),0)</f>
        <v>0</v>
      </c>
      <c r="R30" s="353"/>
      <c r="S30" s="357">
        <f t="shared" si="0"/>
        <v>0</v>
      </c>
      <c r="T30" s="357"/>
      <c r="U30" s="353">
        <f t="shared" si="1"/>
        <v>0</v>
      </c>
      <c r="V30" s="353"/>
      <c r="W30" s="357">
        <f t="shared" si="3"/>
        <v>0</v>
      </c>
      <c r="X30" s="357"/>
    </row>
    <row r="31" spans="2:24" s="17" customFormat="1" ht="17.55" customHeight="1">
      <c r="B31" s="15">
        <v>17</v>
      </c>
      <c r="C31" s="5"/>
      <c r="D31" s="354">
        <f>IFERROR(VLOOKUP(C31,'Full list.23'!C:K,9,FALSE),0)</f>
        <v>0</v>
      </c>
      <c r="E31" s="355"/>
      <c r="F31" s="355"/>
      <c r="G31" s="355"/>
      <c r="H31" s="355"/>
      <c r="I31" s="355"/>
      <c r="J31" s="356"/>
      <c r="K31" s="365" t="s">
        <v>1474</v>
      </c>
      <c r="L31" s="365"/>
      <c r="M31" s="16">
        <v>1</v>
      </c>
      <c r="N31" s="16">
        <v>1</v>
      </c>
      <c r="O31" s="16">
        <v>0</v>
      </c>
      <c r="P31" s="16"/>
      <c r="Q31" s="353">
        <f>IFERROR(MROUND(VLOOKUP(C31,'Full list.23'!C:G,5,FALSE)/M31*N31,5),0)</f>
        <v>0</v>
      </c>
      <c r="R31" s="353"/>
      <c r="S31" s="357">
        <f t="shared" si="0"/>
        <v>0</v>
      </c>
      <c r="T31" s="357"/>
      <c r="U31" s="353">
        <f t="shared" si="1"/>
        <v>0</v>
      </c>
      <c r="V31" s="353"/>
      <c r="W31" s="357">
        <f t="shared" si="3"/>
        <v>0</v>
      </c>
      <c r="X31" s="357"/>
    </row>
    <row r="32" spans="2:24" s="17" customFormat="1" ht="15" customHeight="1">
      <c r="B32" s="15">
        <v>20</v>
      </c>
      <c r="C32" s="5"/>
      <c r="D32" s="354">
        <f>IFERROR(VLOOKUP(C32,'Full list.23'!C:K,9,FALSE),0)</f>
        <v>0</v>
      </c>
      <c r="E32" s="355"/>
      <c r="F32" s="355"/>
      <c r="G32" s="355"/>
      <c r="H32" s="355"/>
      <c r="I32" s="355"/>
      <c r="J32" s="356"/>
      <c r="K32" s="365" t="s">
        <v>1474</v>
      </c>
      <c r="L32" s="365"/>
      <c r="M32" s="16">
        <v>1</v>
      </c>
      <c r="N32" s="16">
        <v>1</v>
      </c>
      <c r="O32" s="16">
        <v>0</v>
      </c>
      <c r="P32" s="16"/>
      <c r="Q32" s="353">
        <f>IFERROR(MROUND(VLOOKUP(C32,'Full list.23'!C:G,5,FALSE)/M32*N32,5),0)</f>
        <v>0</v>
      </c>
      <c r="R32" s="353"/>
      <c r="S32" s="351">
        <f t="shared" si="0"/>
        <v>0</v>
      </c>
      <c r="T32" s="352"/>
      <c r="U32" s="353">
        <f t="shared" si="1"/>
        <v>0</v>
      </c>
      <c r="V32" s="353"/>
      <c r="W32" s="357">
        <f t="shared" si="3"/>
        <v>0</v>
      </c>
      <c r="X32" s="357"/>
    </row>
    <row r="33" spans="2:27" ht="15.45" customHeight="1" thickBot="1">
      <c r="B33" s="258"/>
      <c r="C33" s="259"/>
      <c r="D33" s="373" t="s">
        <v>1561</v>
      </c>
      <c r="E33" s="374"/>
      <c r="F33" s="374"/>
      <c r="G33" s="374"/>
      <c r="H33" s="374"/>
      <c r="I33" s="374"/>
      <c r="J33" s="374"/>
      <c r="K33" s="374"/>
      <c r="L33" s="374"/>
      <c r="M33" s="375"/>
      <c r="N33" s="269">
        <v>0</v>
      </c>
      <c r="O33" s="366">
        <v>0</v>
      </c>
      <c r="P33" s="367"/>
      <c r="Q33" s="458">
        <v>0</v>
      </c>
      <c r="R33" s="459"/>
      <c r="S33" s="456">
        <v>0</v>
      </c>
      <c r="T33" s="456"/>
      <c r="U33" s="457">
        <f>+O33*N33</f>
        <v>0</v>
      </c>
      <c r="V33" s="457"/>
      <c r="W33" s="449">
        <f>S33*N33</f>
        <v>0</v>
      </c>
      <c r="X33" s="449"/>
      <c r="AA33" s="18"/>
    </row>
    <row r="34" spans="2:27" s="17" customFormat="1" ht="15" customHeight="1" thickBot="1">
      <c r="B34" s="464" t="s">
        <v>1780</v>
      </c>
      <c r="C34" s="465"/>
      <c r="D34" s="465"/>
      <c r="E34" s="465"/>
      <c r="F34" s="465"/>
      <c r="G34" s="466">
        <v>10</v>
      </c>
      <c r="H34" s="467"/>
      <c r="I34" s="464" t="s">
        <v>1752</v>
      </c>
      <c r="J34" s="465"/>
      <c r="K34" s="465"/>
      <c r="L34" s="465"/>
      <c r="M34" s="465"/>
      <c r="N34" s="465"/>
      <c r="O34" s="370">
        <f>SUM(P15:P32)</f>
        <v>10</v>
      </c>
      <c r="P34" s="371"/>
      <c r="Q34" s="463" t="s">
        <v>1753</v>
      </c>
      <c r="R34" s="378"/>
      <c r="S34" s="378"/>
      <c r="T34" s="378"/>
      <c r="U34" s="378">
        <f>SUM(U15:V33)</f>
        <v>8120</v>
      </c>
      <c r="V34" s="378"/>
      <c r="W34" s="378">
        <f>SUM(W15:X33)</f>
        <v>7540</v>
      </c>
      <c r="X34" s="379"/>
    </row>
    <row r="35" spans="2:27" ht="15.45" customHeight="1">
      <c r="C35" s="242"/>
      <c r="D35" s="263"/>
      <c r="E35" s="243"/>
      <c r="F35" s="243"/>
      <c r="G35" s="243"/>
      <c r="H35" s="243"/>
      <c r="I35" s="468" t="s">
        <v>156</v>
      </c>
      <c r="J35" s="469"/>
      <c r="K35" s="469"/>
      <c r="L35" s="469"/>
      <c r="M35" s="469"/>
      <c r="N35" s="470"/>
      <c r="O35" s="368">
        <v>1</v>
      </c>
      <c r="P35" s="369"/>
      <c r="Q35" s="460">
        <v>500</v>
      </c>
      <c r="R35" s="461"/>
      <c r="S35" s="461"/>
      <c r="T35" s="462"/>
      <c r="U35" s="460">
        <f>O35*Q35</f>
        <v>500</v>
      </c>
      <c r="V35" s="461"/>
      <c r="W35" s="461"/>
      <c r="X35" s="462"/>
    </row>
    <row r="36" spans="2:27" ht="15.45" customHeight="1">
      <c r="C36" s="242"/>
      <c r="D36" s="263"/>
      <c r="E36" s="243"/>
      <c r="F36" s="243"/>
      <c r="G36" s="243"/>
      <c r="H36" s="243" t="s">
        <v>157</v>
      </c>
      <c r="I36" s="471" t="s">
        <v>157</v>
      </c>
      <c r="J36" s="472"/>
      <c r="K36" s="472"/>
      <c r="L36" s="472"/>
      <c r="M36" s="472"/>
      <c r="N36" s="473"/>
      <c r="O36" s="474">
        <v>1</v>
      </c>
      <c r="P36" s="475"/>
      <c r="Q36" s="450">
        <v>1000</v>
      </c>
      <c r="R36" s="451"/>
      <c r="S36" s="451"/>
      <c r="T36" s="452"/>
      <c r="U36" s="450">
        <f t="shared" ref="U36:U37" si="4">O36*Q36</f>
        <v>1000</v>
      </c>
      <c r="V36" s="451"/>
      <c r="W36" s="451"/>
      <c r="X36" s="452"/>
    </row>
    <row r="37" spans="2:27" ht="15.45" customHeight="1">
      <c r="C37" s="242"/>
      <c r="D37" s="263"/>
      <c r="E37" s="243"/>
      <c r="F37" s="243"/>
      <c r="G37" s="243"/>
      <c r="H37" s="243" t="s">
        <v>1561</v>
      </c>
      <c r="I37" s="471" t="s">
        <v>1561</v>
      </c>
      <c r="J37" s="472"/>
      <c r="K37" s="472"/>
      <c r="L37" s="472"/>
      <c r="M37" s="472"/>
      <c r="N37" s="473"/>
      <c r="O37" s="474">
        <v>2</v>
      </c>
      <c r="P37" s="475"/>
      <c r="Q37" s="450">
        <v>1000</v>
      </c>
      <c r="R37" s="451"/>
      <c r="S37" s="451"/>
      <c r="T37" s="452"/>
      <c r="U37" s="450">
        <f t="shared" si="4"/>
        <v>2000</v>
      </c>
      <c r="V37" s="451"/>
      <c r="W37" s="451"/>
      <c r="X37" s="452"/>
    </row>
    <row r="38" spans="2:27" ht="16.5" customHeight="1">
      <c r="B38" s="441"/>
      <c r="C38" s="442"/>
      <c r="D38" s="442"/>
      <c r="E38" s="442"/>
      <c r="F38" s="442"/>
      <c r="G38" s="442"/>
      <c r="H38" s="442"/>
      <c r="I38" s="442"/>
      <c r="J38" s="442"/>
      <c r="K38" s="442"/>
      <c r="L38" s="442"/>
      <c r="M38" s="443"/>
      <c r="N38" s="264"/>
      <c r="O38" s="444"/>
      <c r="P38" s="445"/>
      <c r="Q38" s="446" t="s">
        <v>158</v>
      </c>
      <c r="R38" s="447"/>
      <c r="S38" s="447"/>
      <c r="T38" s="448"/>
      <c r="U38" s="422">
        <f>SUM(U34:V37)</f>
        <v>11620</v>
      </c>
      <c r="V38" s="423"/>
      <c r="W38" s="422">
        <f>+W34+U35+U36+U37</f>
        <v>11040</v>
      </c>
      <c r="X38" s="423"/>
      <c r="Y38" s="165"/>
    </row>
    <row r="39" spans="2:27" ht="16.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453" t="s">
        <v>159</v>
      </c>
      <c r="S39" s="454"/>
      <c r="T39" s="455"/>
      <c r="U39" s="424">
        <f>1-(W34/U34)</f>
        <v>7.1428571428571397E-2</v>
      </c>
      <c r="V39" s="425"/>
      <c r="W39" s="428">
        <f>U34-W34</f>
        <v>580</v>
      </c>
      <c r="X39" s="429"/>
    </row>
    <row r="40" spans="2:27" ht="16.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432" t="s">
        <v>160</v>
      </c>
      <c r="S40" s="433"/>
      <c r="T40" s="434"/>
      <c r="U40" s="426">
        <v>0</v>
      </c>
      <c r="V40" s="427"/>
      <c r="W40" s="430">
        <v>0</v>
      </c>
      <c r="X40" s="431"/>
    </row>
    <row r="41" spans="2:27" ht="16.5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432" t="s">
        <v>161</v>
      </c>
      <c r="S41" s="433"/>
      <c r="T41" s="434"/>
      <c r="U41" s="426">
        <v>0</v>
      </c>
      <c r="V41" s="427"/>
      <c r="W41" s="430">
        <v>0</v>
      </c>
      <c r="X41" s="431"/>
    </row>
    <row r="42" spans="2:27" ht="16.5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432" t="s">
        <v>162</v>
      </c>
      <c r="S42" s="433"/>
      <c r="T42" s="434"/>
      <c r="U42" s="435">
        <v>5000</v>
      </c>
      <c r="V42" s="436"/>
      <c r="W42" s="430">
        <v>0</v>
      </c>
      <c r="X42" s="431"/>
    </row>
    <row r="43" spans="2:27" ht="16.5" customHeight="1">
      <c r="B43" s="19"/>
      <c r="K43" s="9"/>
      <c r="L43" s="9"/>
      <c r="M43" s="12"/>
      <c r="O43" s="9"/>
      <c r="R43" s="437" t="s">
        <v>163</v>
      </c>
      <c r="S43" s="438"/>
      <c r="T43" s="438"/>
      <c r="U43" s="439">
        <f>+W38-U42</f>
        <v>6040</v>
      </c>
      <c r="V43" s="439"/>
      <c r="W43" s="439"/>
      <c r="X43" s="440"/>
    </row>
    <row r="44" spans="2:27" ht="6" customHeight="1">
      <c r="B44" s="19"/>
      <c r="D44" s="166"/>
      <c r="K44" s="9"/>
      <c r="L44" s="9"/>
      <c r="M44" s="12"/>
      <c r="O44" s="9"/>
      <c r="Q44" s="167"/>
      <c r="R44" s="267"/>
      <c r="S44" s="267"/>
      <c r="T44" s="267"/>
      <c r="U44" s="268"/>
      <c r="V44" s="268"/>
      <c r="W44" s="268"/>
      <c r="X44" s="268"/>
    </row>
    <row r="45" spans="2:27" s="170" customFormat="1" ht="19.95" customHeight="1">
      <c r="B45" s="421" t="s">
        <v>1480</v>
      </c>
      <c r="C45" s="421"/>
      <c r="D45" s="421"/>
      <c r="E45" s="421"/>
      <c r="F45" s="421"/>
      <c r="G45" s="421"/>
      <c r="H45" s="421"/>
      <c r="I45" s="421"/>
      <c r="J45" s="421"/>
      <c r="K45" s="421"/>
      <c r="L45" s="421"/>
      <c r="M45" s="421"/>
      <c r="N45" s="421"/>
      <c r="O45" s="421"/>
      <c r="P45" s="421"/>
      <c r="Q45" s="421"/>
      <c r="R45" s="421"/>
      <c r="S45" s="421"/>
      <c r="T45" s="421"/>
      <c r="U45" s="421"/>
      <c r="V45" s="421"/>
      <c r="W45" s="421"/>
      <c r="X45" s="421"/>
    </row>
    <row r="46" spans="2:27" s="266" customFormat="1" ht="5.55" customHeight="1">
      <c r="B46" s="265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</row>
    <row r="47" spans="2:27" ht="15.45" customHeight="1">
      <c r="B47" s="171" t="s">
        <v>164</v>
      </c>
      <c r="C47" s="171"/>
      <c r="D47" s="172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3"/>
      <c r="S47" s="173"/>
      <c r="T47" s="173"/>
      <c r="U47" s="173"/>
      <c r="V47" s="174"/>
      <c r="W47" s="174"/>
      <c r="X47" s="174"/>
    </row>
    <row r="48" spans="2:27" ht="19.95" customHeight="1">
      <c r="Q48" s="21"/>
      <c r="V48" s="20"/>
      <c r="W48" s="20"/>
      <c r="X48" s="20"/>
    </row>
    <row r="49" spans="17:24" ht="19.95" customHeight="1">
      <c r="Q49" s="21"/>
      <c r="V49" s="20"/>
      <c r="W49" s="20"/>
      <c r="X49" s="20"/>
    </row>
    <row r="50" spans="17:24" ht="19.95" customHeight="1"/>
    <row r="51" spans="17:24" ht="19.95" customHeight="1"/>
  </sheetData>
  <sheetProtection selectLockedCells="1"/>
  <mergeCells count="181">
    <mergeCell ref="I34:N34"/>
    <mergeCell ref="B34:F34"/>
    <mergeCell ref="G34:H34"/>
    <mergeCell ref="I35:N35"/>
    <mergeCell ref="I36:N36"/>
    <mergeCell ref="I37:N37"/>
    <mergeCell ref="Q35:T35"/>
    <mergeCell ref="Q36:T36"/>
    <mergeCell ref="O36:P36"/>
    <mergeCell ref="O37:P37"/>
    <mergeCell ref="W33:X33"/>
    <mergeCell ref="Q37:T37"/>
    <mergeCell ref="R39:T39"/>
    <mergeCell ref="R40:T40"/>
    <mergeCell ref="R41:T41"/>
    <mergeCell ref="W41:X41"/>
    <mergeCell ref="S33:T33"/>
    <mergeCell ref="U33:V33"/>
    <mergeCell ref="Q33:R33"/>
    <mergeCell ref="U35:X35"/>
    <mergeCell ref="U36:X36"/>
    <mergeCell ref="U37:X37"/>
    <mergeCell ref="Q34:T34"/>
    <mergeCell ref="B45:X45"/>
    <mergeCell ref="U38:V38"/>
    <mergeCell ref="U39:V39"/>
    <mergeCell ref="U40:V40"/>
    <mergeCell ref="U41:V41"/>
    <mergeCell ref="W38:X38"/>
    <mergeCell ref="W39:X39"/>
    <mergeCell ref="W40:X40"/>
    <mergeCell ref="R42:T42"/>
    <mergeCell ref="U42:V42"/>
    <mergeCell ref="W42:X42"/>
    <mergeCell ref="R43:T43"/>
    <mergeCell ref="U43:X43"/>
    <mergeCell ref="B38:M38"/>
    <mergeCell ref="O38:P38"/>
    <mergeCell ref="Q38:T38"/>
    <mergeCell ref="B3:X3"/>
    <mergeCell ref="N11:P11"/>
    <mergeCell ref="N12:P12"/>
    <mergeCell ref="L5:Q6"/>
    <mergeCell ref="V6:X6"/>
    <mergeCell ref="S7:U7"/>
    <mergeCell ref="V7:X7"/>
    <mergeCell ref="B8:D8"/>
    <mergeCell ref="E8:G8"/>
    <mergeCell ref="S6:U6"/>
    <mergeCell ref="L7:Q8"/>
    <mergeCell ref="E6:G6"/>
    <mergeCell ref="B6:D6"/>
    <mergeCell ref="I7:J7"/>
    <mergeCell ref="B7:D7"/>
    <mergeCell ref="D11:F11"/>
    <mergeCell ref="G11:J11"/>
    <mergeCell ref="Q11:R11"/>
    <mergeCell ref="K11:M11"/>
    <mergeCell ref="K12:M12"/>
    <mergeCell ref="G12:J12"/>
    <mergeCell ref="Q12:R12"/>
    <mergeCell ref="W14:X14"/>
    <mergeCell ref="S16:T16"/>
    <mergeCell ref="U16:V16"/>
    <mergeCell ref="W27:X27"/>
    <mergeCell ref="W28:X28"/>
    <mergeCell ref="W29:X29"/>
    <mergeCell ref="W21:X21"/>
    <mergeCell ref="W22:X22"/>
    <mergeCell ref="W23:X23"/>
    <mergeCell ref="W24:X24"/>
    <mergeCell ref="W25:X25"/>
    <mergeCell ref="W26:X26"/>
    <mergeCell ref="U21:V21"/>
    <mergeCell ref="W15:X15"/>
    <mergeCell ref="W16:X16"/>
    <mergeCell ref="W17:X17"/>
    <mergeCell ref="W18:X18"/>
    <mergeCell ref="W19:X19"/>
    <mergeCell ref="W20:X20"/>
    <mergeCell ref="S28:T28"/>
    <mergeCell ref="U28:V28"/>
    <mergeCell ref="S27:T27"/>
    <mergeCell ref="U27:V27"/>
    <mergeCell ref="U22:V22"/>
    <mergeCell ref="U19:V19"/>
    <mergeCell ref="D16:J16"/>
    <mergeCell ref="U20:V20"/>
    <mergeCell ref="D17:J17"/>
    <mergeCell ref="S17:T17"/>
    <mergeCell ref="U18:V18"/>
    <mergeCell ref="K17:L17"/>
    <mergeCell ref="Q19:R19"/>
    <mergeCell ref="Q20:R20"/>
    <mergeCell ref="D18:J18"/>
    <mergeCell ref="S18:T18"/>
    <mergeCell ref="U17:V17"/>
    <mergeCell ref="Q16:R16"/>
    <mergeCell ref="U15:V15"/>
    <mergeCell ref="W34:X34"/>
    <mergeCell ref="S31:T31"/>
    <mergeCell ref="U31:V31"/>
    <mergeCell ref="D29:J29"/>
    <mergeCell ref="S29:T29"/>
    <mergeCell ref="U29:V29"/>
    <mergeCell ref="D30:J30"/>
    <mergeCell ref="S30:T30"/>
    <mergeCell ref="U30:V30"/>
    <mergeCell ref="D32:J32"/>
    <mergeCell ref="U34:V34"/>
    <mergeCell ref="K30:L30"/>
    <mergeCell ref="K31:L31"/>
    <mergeCell ref="K32:L32"/>
    <mergeCell ref="W30:X30"/>
    <mergeCell ref="W31:X31"/>
    <mergeCell ref="W32:X32"/>
    <mergeCell ref="D20:J20"/>
    <mergeCell ref="S20:T20"/>
    <mergeCell ref="Q17:R17"/>
    <mergeCell ref="S25:T25"/>
    <mergeCell ref="Q18:R18"/>
    <mergeCell ref="K18:L18"/>
    <mergeCell ref="U25:V25"/>
    <mergeCell ref="D26:J26"/>
    <mergeCell ref="S26:T26"/>
    <mergeCell ref="U26:V26"/>
    <mergeCell ref="D23:J23"/>
    <mergeCell ref="S23:T23"/>
    <mergeCell ref="U23:V23"/>
    <mergeCell ref="D24:J24"/>
    <mergeCell ref="S24:T24"/>
    <mergeCell ref="U24:V24"/>
    <mergeCell ref="Q24:R24"/>
    <mergeCell ref="D27:J27"/>
    <mergeCell ref="D25:J25"/>
    <mergeCell ref="O33:P33"/>
    <mergeCell ref="O35:P35"/>
    <mergeCell ref="O34:P34"/>
    <mergeCell ref="S14:T14"/>
    <mergeCell ref="S15:T15"/>
    <mergeCell ref="Q21:R21"/>
    <mergeCell ref="Q22:R22"/>
    <mergeCell ref="Q23:R23"/>
    <mergeCell ref="K21:L21"/>
    <mergeCell ref="Q25:R25"/>
    <mergeCell ref="Q26:R26"/>
    <mergeCell ref="Q27:R27"/>
    <mergeCell ref="Q28:R28"/>
    <mergeCell ref="Q29:R29"/>
    <mergeCell ref="Q14:R14"/>
    <mergeCell ref="K16:L16"/>
    <mergeCell ref="K19:L19"/>
    <mergeCell ref="K20:L20"/>
    <mergeCell ref="D19:J19"/>
    <mergeCell ref="S19:T19"/>
    <mergeCell ref="Q15:R15"/>
    <mergeCell ref="D33:M33"/>
    <mergeCell ref="U14:V14"/>
    <mergeCell ref="S32:T32"/>
    <mergeCell ref="U32:V32"/>
    <mergeCell ref="D31:J31"/>
    <mergeCell ref="Q31:R31"/>
    <mergeCell ref="D22:J22"/>
    <mergeCell ref="S22:T22"/>
    <mergeCell ref="D14:J14"/>
    <mergeCell ref="K14:L14"/>
    <mergeCell ref="D15:J15"/>
    <mergeCell ref="K15:L15"/>
    <mergeCell ref="K26:L26"/>
    <mergeCell ref="K27:L27"/>
    <mergeCell ref="K28:L28"/>
    <mergeCell ref="K29:L29"/>
    <mergeCell ref="K22:L22"/>
    <mergeCell ref="K23:L23"/>
    <mergeCell ref="K24:L24"/>
    <mergeCell ref="K25:L25"/>
    <mergeCell ref="Q32:R32"/>
    <mergeCell ref="D21:J21"/>
    <mergeCell ref="S21:T21"/>
    <mergeCell ref="Q30:R30"/>
    <mergeCell ref="D28:J28"/>
  </mergeCells>
  <phoneticPr fontId="32" type="noConversion"/>
  <dataValidations count="4">
    <dataValidation type="list" allowBlank="1" showInputMessage="1" showErrorMessage="1" sqref="N12" xr:uid="{93250F63-06EE-45BA-9C43-0DADAB55E6AE}">
      <formula1>"N/A,Tchéké,Kankpé,Gankpo"</formula1>
    </dataValidation>
    <dataValidation type="list" allowBlank="1" showInputMessage="1" showErrorMessage="1" sqref="S12:T12" xr:uid="{B8D6C406-AE03-43ED-A87A-90B3CDC76845}">
      <formula1>"OUI,NON"</formula1>
    </dataValidation>
    <dataValidation type="list" allowBlank="1" showInputMessage="1" showErrorMessage="1" sqref="E8:G8" xr:uid="{51AC9A40-2B44-44E0-BDE5-C021E7EB484C}">
      <formula1>"Normal"</formula1>
    </dataValidation>
    <dataValidation type="list" allowBlank="1" showInputMessage="1" showErrorMessage="1" sqref="K15:L32" xr:uid="{9265376D-2D8E-431D-9066-DC61929D340D}">
      <formula1>"Bébé,Enfant,Repassage,Express,_"</formula1>
    </dataValidation>
  </dataValidations>
  <pageMargins left="0.1" right="0.1" top="0.25" bottom="0.25" header="0.3" footer="0.3"/>
  <pageSetup paperSize="9" scale="8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0B75-51F5-4795-A22F-45FF7929345C}">
  <dimension ref="A1:C3"/>
  <sheetViews>
    <sheetView workbookViewId="0"/>
  </sheetViews>
  <sheetFormatPr baseColWidth="10" defaultRowHeight="14.4"/>
  <sheetData>
    <row r="1" spans="1:3">
      <c r="A1" t="s">
        <v>1798</v>
      </c>
      <c r="B1" t="s">
        <v>1799</v>
      </c>
      <c r="C1" t="s">
        <v>1800</v>
      </c>
    </row>
    <row r="2" spans="1:3">
      <c r="A2">
        <v>1</v>
      </c>
      <c r="B2" t="s">
        <v>1801</v>
      </c>
      <c r="C2" t="s">
        <v>1802</v>
      </c>
    </row>
    <row r="3" spans="1:3">
      <c r="A3">
        <v>1</v>
      </c>
      <c r="B3" t="s">
        <v>1801</v>
      </c>
      <c r="C3" t="s">
        <v>1803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478D-9A87-47F5-9A66-867DDC34AF93}">
  <sheetPr>
    <tabColor rgb="FF7030A0"/>
  </sheetPr>
  <dimension ref="B1:AA52"/>
  <sheetViews>
    <sheetView topLeftCell="B2" zoomScale="98" zoomScaleNormal="98" workbookViewId="0">
      <selection activeCell="B3" sqref="B3:X3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10937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88671875" style="10" customWidth="1"/>
    <col min="10" max="10" width="2.21875" style="10" customWidth="1"/>
    <col min="11" max="12" width="5.109375" style="9" customWidth="1"/>
    <col min="13" max="13" width="5.109375" style="12" customWidth="1"/>
    <col min="14" max="14" width="5.5546875" style="9" customWidth="1"/>
    <col min="15" max="15" width="4.33203125" style="9" customWidth="1"/>
    <col min="16" max="16" width="4.44140625" style="9" customWidth="1"/>
    <col min="17" max="17" width="3.77734375" style="11" customWidth="1"/>
    <col min="18" max="18" width="4.21875" style="12" customWidth="1"/>
    <col min="19" max="19" width="4.6640625" style="12" customWidth="1"/>
    <col min="20" max="20" width="5.77734375" style="12" customWidth="1"/>
    <col min="21" max="21" width="6.44140625" style="12" customWidth="1"/>
    <col min="22" max="22" width="4.44140625" style="13" customWidth="1"/>
    <col min="23" max="23" width="4.77734375" style="13" customWidth="1"/>
    <col min="24" max="24" width="5.109375" style="13" customWidth="1"/>
    <col min="25" max="25" width="13.88671875" style="14" customWidth="1"/>
    <col min="26" max="16384" width="8.88671875" style="14"/>
  </cols>
  <sheetData>
    <row r="1" spans="2:26" ht="15" customHeight="1"/>
    <row r="2" spans="2:26" ht="68.55" customHeight="1">
      <c r="Z2"/>
    </row>
    <row r="3" spans="2:26" ht="18.600000000000001" customHeight="1">
      <c r="B3" s="382" t="s">
        <v>1797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2:26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6" s="3" customFormat="1" ht="13.95" customHeight="1">
      <c r="D5" s="142"/>
      <c r="K5"/>
      <c r="L5" s="389" t="s">
        <v>1468</v>
      </c>
      <c r="M5" s="390"/>
      <c r="N5" s="390"/>
      <c r="O5" s="390"/>
      <c r="P5" s="390"/>
      <c r="Q5" s="391"/>
      <c r="R5" s="157"/>
      <c r="S5" s="157"/>
      <c r="T5" s="157"/>
      <c r="U5" s="157"/>
      <c r="V5" s="124"/>
      <c r="W5" s="124"/>
      <c r="Y5"/>
    </row>
    <row r="6" spans="2:26" s="3" customFormat="1" ht="13.95" customHeight="1" thickBot="1">
      <c r="B6" s="408" t="s">
        <v>1476</v>
      </c>
      <c r="C6" s="408"/>
      <c r="D6" s="408"/>
      <c r="E6" s="407">
        <f ca="1">TODAY()</f>
        <v>45531</v>
      </c>
      <c r="F6" s="407"/>
      <c r="G6" s="407"/>
      <c r="H6" s="158"/>
      <c r="K6"/>
      <c r="L6" s="392"/>
      <c r="M6" s="393"/>
      <c r="N6" s="393"/>
      <c r="O6" s="393"/>
      <c r="P6" s="393"/>
      <c r="Q6" s="394"/>
      <c r="S6" s="400" t="s">
        <v>145</v>
      </c>
      <c r="T6" s="400"/>
      <c r="U6" s="400"/>
      <c r="V6" s="395">
        <f>IF(E8="Normal",WORKDAY.INTL(I7,3,11,Fériés!A:A),IF(E8="Express",WORKDAY.INTL(I7,1,11,Fériés!A:A)))</f>
        <v>45142</v>
      </c>
      <c r="W6" s="395"/>
      <c r="X6" s="395"/>
      <c r="Y6" s="162"/>
    </row>
    <row r="7" spans="2:26" s="3" customFormat="1" ht="13.95" customHeight="1">
      <c r="B7" s="398" t="s">
        <v>143</v>
      </c>
      <c r="C7" s="398"/>
      <c r="D7" s="398"/>
      <c r="E7" s="3">
        <v>1001</v>
      </c>
      <c r="F7" s="135" t="s">
        <v>1475</v>
      </c>
      <c r="G7" s="160" t="s">
        <v>1730</v>
      </c>
      <c r="H7" s="161" t="s">
        <v>1475</v>
      </c>
      <c r="I7" s="409">
        <v>45141</v>
      </c>
      <c r="J7" s="409"/>
      <c r="K7"/>
      <c r="L7" s="401" t="s">
        <v>1469</v>
      </c>
      <c r="M7" s="402"/>
      <c r="N7" s="402"/>
      <c r="O7" s="402"/>
      <c r="P7" s="402"/>
      <c r="Q7" s="403"/>
      <c r="S7" s="396" t="s">
        <v>148</v>
      </c>
      <c r="T7" s="396"/>
      <c r="U7" s="396"/>
      <c r="V7" s="397">
        <f>WORKDAY.INTL(V6,-1,11,Fériés!A:A)</f>
        <v>45141</v>
      </c>
      <c r="W7" s="397"/>
      <c r="X7" s="397"/>
    </row>
    <row r="8" spans="2:26" s="3" customFormat="1" ht="13.95" customHeight="1" thickBot="1">
      <c r="B8" s="502" t="s">
        <v>1477</v>
      </c>
      <c r="C8" s="502"/>
      <c r="D8" s="502"/>
      <c r="E8" s="503" t="s">
        <v>175</v>
      </c>
      <c r="F8" s="503"/>
      <c r="G8" s="503"/>
      <c r="I8" s="135"/>
      <c r="K8"/>
      <c r="L8" s="404"/>
      <c r="M8" s="405"/>
      <c r="N8" s="405"/>
      <c r="O8" s="405"/>
      <c r="P8" s="405"/>
      <c r="Q8" s="406"/>
      <c r="R8" s="130"/>
      <c r="S8" s="130"/>
      <c r="T8" s="130"/>
      <c r="U8" s="130"/>
      <c r="V8" s="128"/>
      <c r="W8" s="128"/>
      <c r="X8" s="128"/>
    </row>
    <row r="9" spans="2:26" s="3" customFormat="1" ht="12.45" customHeight="1">
      <c r="D9" s="142"/>
      <c r="I9" s="135"/>
      <c r="K9"/>
      <c r="L9" s="151"/>
      <c r="M9" s="127"/>
      <c r="N9" s="151"/>
      <c r="O9" s="151"/>
      <c r="P9" s="151"/>
      <c r="R9" s="130"/>
      <c r="S9" s="130"/>
      <c r="T9" s="130"/>
      <c r="U9" s="130"/>
      <c r="V9" s="128"/>
      <c r="W9" s="128"/>
      <c r="X9" s="128"/>
    </row>
    <row r="10" spans="2:26" s="131" customFormat="1" ht="12" customHeight="1">
      <c r="E10" s="156"/>
      <c r="F10" s="149"/>
      <c r="G10" s="149"/>
      <c r="H10" s="205"/>
      <c r="I10" s="205"/>
      <c r="K10" s="134"/>
      <c r="L10" s="4"/>
      <c r="M10" s="4"/>
      <c r="N10" s="156" t="s">
        <v>1470</v>
      </c>
      <c r="O10" s="4"/>
      <c r="P10" s="4"/>
      <c r="Q10" s="4"/>
      <c r="R10" s="205"/>
      <c r="S10" s="130"/>
      <c r="T10" s="130"/>
      <c r="U10" s="130"/>
      <c r="V10" s="128"/>
      <c r="W10" s="128"/>
      <c r="X10" s="128"/>
    </row>
    <row r="11" spans="2:26" s="146" customFormat="1" ht="19.05" customHeight="1">
      <c r="E11"/>
      <c r="F11" s="410" t="s">
        <v>146</v>
      </c>
      <c r="G11" s="412"/>
      <c r="H11" s="202" t="s">
        <v>144</v>
      </c>
      <c r="I11" s="203"/>
      <c r="J11" s="203"/>
      <c r="K11" s="204"/>
      <c r="L11" s="202" t="s">
        <v>1464</v>
      </c>
      <c r="M11" s="203"/>
      <c r="N11" s="204"/>
      <c r="O11" s="199" t="s">
        <v>1467</v>
      </c>
      <c r="P11" s="200"/>
      <c r="Q11" s="201"/>
      <c r="R11" s="202" t="s">
        <v>1462</v>
      </c>
      <c r="S11" s="204"/>
      <c r="T11" s="164" t="s">
        <v>1465</v>
      </c>
      <c r="U11" s="164" t="s">
        <v>157</v>
      </c>
      <c r="V11" s="145"/>
      <c r="W11" s="145"/>
      <c r="X11" s="147"/>
    </row>
    <row r="12" spans="2:26" s="153" customFormat="1" ht="19.05" customHeight="1">
      <c r="B12" s="152"/>
      <c r="E12"/>
      <c r="F12" s="504" t="str">
        <f>G7</f>
        <v>CP333AI</v>
      </c>
      <c r="G12" s="505"/>
      <c r="H12" s="476" t="str">
        <f>VLOOKUP(G7,'Base Clients'!B:E,4,FALSE)</f>
        <v>AMINOU ISLAMIA</v>
      </c>
      <c r="I12" s="477"/>
      <c r="J12" s="477"/>
      <c r="K12" s="478"/>
      <c r="L12" s="386" t="str">
        <f>VLOOKUP(G7,'Base Clients'!B:L,11,FALSE)</f>
        <v>Heureux de vous avoir</v>
      </c>
      <c r="M12" s="387"/>
      <c r="N12" s="388"/>
      <c r="O12" s="386" t="s">
        <v>102</v>
      </c>
      <c r="P12" s="387"/>
      <c r="Q12" s="388"/>
      <c r="R12" s="419" t="str">
        <f>VLOOKUP(G7,'Base Clients'!B:K,10,FALSE)</f>
        <v>13KM</v>
      </c>
      <c r="S12" s="420"/>
      <c r="T12" s="159" t="s">
        <v>1466</v>
      </c>
      <c r="U12" s="159" t="s">
        <v>1466</v>
      </c>
      <c r="V12" s="154"/>
      <c r="W12" s="154"/>
      <c r="X12" s="155"/>
    </row>
    <row r="13" spans="2:26" s="3" customFormat="1" ht="13.5" customHeight="1">
      <c r="B13"/>
      <c r="C13"/>
      <c r="D13" s="143"/>
      <c r="E13"/>
      <c r="F13"/>
      <c r="G13"/>
      <c r="H13"/>
      <c r="I13" s="134"/>
      <c r="J13" s="134"/>
      <c r="K13" s="129"/>
      <c r="L13" s="129"/>
      <c r="M13" s="131"/>
      <c r="N13" s="151"/>
      <c r="O13" s="151"/>
      <c r="P13" s="151"/>
      <c r="Q13"/>
      <c r="R13" s="131"/>
      <c r="S13" s="131"/>
      <c r="T13" s="131"/>
      <c r="U13" s="131"/>
      <c r="V13" s="132"/>
      <c r="W13" s="132"/>
      <c r="X13" s="133"/>
    </row>
    <row r="14" spans="2:26" s="1" customFormat="1" ht="29.4" customHeight="1">
      <c r="B14" s="136" t="s">
        <v>0</v>
      </c>
      <c r="C14" s="137" t="s">
        <v>149</v>
      </c>
      <c r="D14" s="358" t="s">
        <v>150</v>
      </c>
      <c r="E14" s="359"/>
      <c r="F14" s="359"/>
      <c r="G14" s="359"/>
      <c r="H14" s="359"/>
      <c r="I14" s="359"/>
      <c r="J14" s="360"/>
      <c r="K14" s="138" t="s">
        <v>1472</v>
      </c>
      <c r="L14" s="163" t="s">
        <v>1473</v>
      </c>
      <c r="M14" s="139" t="s">
        <v>153</v>
      </c>
      <c r="N14" s="138" t="s">
        <v>151</v>
      </c>
      <c r="O14" s="501" t="s">
        <v>152</v>
      </c>
      <c r="P14" s="501"/>
      <c r="Q14" s="500" t="s">
        <v>1560</v>
      </c>
      <c r="R14" s="500"/>
      <c r="S14" s="358" t="s">
        <v>154</v>
      </c>
      <c r="T14" s="360"/>
      <c r="U14" s="349" t="s">
        <v>1562</v>
      </c>
      <c r="V14" s="350"/>
      <c r="W14" s="380" t="s">
        <v>155</v>
      </c>
      <c r="X14" s="381"/>
    </row>
    <row r="15" spans="2:26" s="17" customFormat="1" ht="18" customHeight="1">
      <c r="B15" s="15">
        <v>1</v>
      </c>
      <c r="C15" s="5" t="s">
        <v>20</v>
      </c>
      <c r="D15" s="354" t="str">
        <f>IFERROR(VLOOKUP(C15,'Full list.23'!C:K,9,FALSE),0)</f>
        <v>Chemise (CH)</v>
      </c>
      <c r="E15" s="355"/>
      <c r="F15" s="355"/>
      <c r="G15" s="355"/>
      <c r="H15" s="355"/>
      <c r="I15" s="355"/>
      <c r="J15" s="356"/>
      <c r="K15" s="16">
        <v>1</v>
      </c>
      <c r="L15" s="16">
        <v>1</v>
      </c>
      <c r="M15" s="16">
        <v>3</v>
      </c>
      <c r="N15" s="16">
        <v>3</v>
      </c>
      <c r="O15" s="496">
        <f>IFERROR(MROUND(VLOOKUP(C15,'Full list.23'!C:G,5,FALSE)/K15*L15,5),0)</f>
        <v>700</v>
      </c>
      <c r="P15" s="497"/>
      <c r="Q15" s="206">
        <f>IFERROR(MROUND(VLOOKUP(C15,'Full list.23'!C:G,5,FALSE)/K15*L15*1.45,5),0)</f>
        <v>1015</v>
      </c>
      <c r="R15" s="207"/>
      <c r="S15" s="498">
        <f>IFERROR(MROUND(IF(M15=0,Q15,IF(M15=1,Q15*0.95,IF(M15=2,Q15*0.93,IF(M15=3,Q15*0.9)))),5),0)</f>
        <v>915</v>
      </c>
      <c r="T15" s="499"/>
      <c r="U15" s="376">
        <f>Q15*N15</f>
        <v>3045</v>
      </c>
      <c r="V15" s="377"/>
      <c r="W15" s="351">
        <f t="shared" ref="W15:W32" si="0">S15*N15</f>
        <v>2745</v>
      </c>
      <c r="X15" s="352"/>
    </row>
    <row r="16" spans="2:26" s="17" customFormat="1" ht="18" customHeight="1">
      <c r="B16" s="15">
        <v>2</v>
      </c>
      <c r="C16" s="5" t="s">
        <v>34</v>
      </c>
      <c r="D16" s="354" t="str">
        <f>IFERROR(VLOOKUP(C16,'Full list.23'!C:K,9,FALSE),0)</f>
        <v>Robe (RO)</v>
      </c>
      <c r="E16" s="355"/>
      <c r="F16" s="355"/>
      <c r="G16" s="355"/>
      <c r="H16" s="355"/>
      <c r="I16" s="355"/>
      <c r="J16" s="356"/>
      <c r="K16" s="16">
        <v>1</v>
      </c>
      <c r="L16" s="16">
        <v>1</v>
      </c>
      <c r="M16" s="16">
        <v>3</v>
      </c>
      <c r="N16" s="16">
        <v>2</v>
      </c>
      <c r="O16" s="496">
        <f>IFERROR(MROUND(VLOOKUP(C16,'Full list.23'!C:G,5,FALSE)/K16*L16,5),0)</f>
        <v>700</v>
      </c>
      <c r="P16" s="497"/>
      <c r="Q16" s="206">
        <f>IFERROR(MROUND(VLOOKUP(C16,'Full list.23'!C:G,5,FALSE)/K16*L16*1.45,5),0)</f>
        <v>1015</v>
      </c>
      <c r="R16" s="207"/>
      <c r="S16" s="498">
        <f t="shared" ref="S16:S32" si="1">IFERROR(MROUND(IF(M16=0,Q16,IF(M16=1,Q16*0.95,IF(M16=2,Q16*0.93,IF(M16=3,Q16*0.9)))),5),0)</f>
        <v>915</v>
      </c>
      <c r="T16" s="499"/>
      <c r="U16" s="376">
        <f t="shared" ref="U16:U32" si="2">Q16*N16</f>
        <v>2030</v>
      </c>
      <c r="V16" s="377"/>
      <c r="W16" s="351">
        <f t="shared" si="0"/>
        <v>1830</v>
      </c>
      <c r="X16" s="352"/>
    </row>
    <row r="17" spans="2:24" s="17" customFormat="1" ht="18" customHeight="1">
      <c r="B17" s="15">
        <v>3</v>
      </c>
      <c r="C17" s="5" t="s">
        <v>399</v>
      </c>
      <c r="D17" s="354" t="str">
        <f>IFERROR(VLOOKUP(C17,'Full list.23'!C:K,9,FALSE),0)</f>
        <v>Ensemble Drap (ED)</v>
      </c>
      <c r="E17" s="355"/>
      <c r="F17" s="355"/>
      <c r="G17" s="355"/>
      <c r="H17" s="355"/>
      <c r="I17" s="355"/>
      <c r="J17" s="356"/>
      <c r="K17" s="16">
        <v>1</v>
      </c>
      <c r="L17" s="16">
        <v>1.2</v>
      </c>
      <c r="M17" s="16">
        <v>3</v>
      </c>
      <c r="N17" s="16">
        <v>5</v>
      </c>
      <c r="O17" s="496">
        <f>IFERROR(MROUND(VLOOKUP(C17,'Full list.23'!C:G,5,FALSE)/K17*L17,5),0)</f>
        <v>3240</v>
      </c>
      <c r="P17" s="497"/>
      <c r="Q17" s="206">
        <f>IFERROR(MROUND(VLOOKUP(C17,'Full list.23'!C:G,5,FALSE)/K17*L17*1.45,5),0)</f>
        <v>4700</v>
      </c>
      <c r="R17" s="207"/>
      <c r="S17" s="498">
        <f t="shared" si="1"/>
        <v>4230</v>
      </c>
      <c r="T17" s="499"/>
      <c r="U17" s="376">
        <f t="shared" si="2"/>
        <v>23500</v>
      </c>
      <c r="V17" s="377"/>
      <c r="W17" s="351">
        <f t="shared" si="0"/>
        <v>21150</v>
      </c>
      <c r="X17" s="352"/>
    </row>
    <row r="18" spans="2:24" s="17" customFormat="1" ht="18" customHeight="1">
      <c r="B18" s="15">
        <v>4</v>
      </c>
      <c r="C18" s="5"/>
      <c r="D18" s="354">
        <f>IFERROR(VLOOKUP(C18,'Full list.23'!C:K,9,FALSE),0)</f>
        <v>0</v>
      </c>
      <c r="E18" s="355"/>
      <c r="F18" s="355"/>
      <c r="G18" s="355"/>
      <c r="H18" s="355"/>
      <c r="I18" s="355"/>
      <c r="J18" s="356"/>
      <c r="K18" s="16">
        <v>1</v>
      </c>
      <c r="L18" s="16">
        <v>1</v>
      </c>
      <c r="M18" s="16">
        <v>0</v>
      </c>
      <c r="N18" s="16"/>
      <c r="O18" s="496">
        <f>IFERROR(MROUND(VLOOKUP(C18,'Full list.23'!C:G,5,FALSE)/K18*L18,5),0)</f>
        <v>0</v>
      </c>
      <c r="P18" s="497"/>
      <c r="Q18" s="206">
        <f>IFERROR(MROUND(VLOOKUP(C18,'Full list.23'!C:G,5,FALSE)/K18*L18*1.45,5),0)</f>
        <v>0</v>
      </c>
      <c r="R18" s="207"/>
      <c r="S18" s="498">
        <f t="shared" si="1"/>
        <v>0</v>
      </c>
      <c r="T18" s="499"/>
      <c r="U18" s="376">
        <f t="shared" si="2"/>
        <v>0</v>
      </c>
      <c r="V18" s="377"/>
      <c r="W18" s="351">
        <f>S18*N18</f>
        <v>0</v>
      </c>
      <c r="X18" s="352"/>
    </row>
    <row r="19" spans="2:24" s="17" customFormat="1" ht="18" customHeight="1">
      <c r="B19" s="15">
        <v>5</v>
      </c>
      <c r="C19" s="5"/>
      <c r="D19" s="354">
        <f>IFERROR(VLOOKUP(C19,'Full list.23'!C:K,9,FALSE),0)</f>
        <v>0</v>
      </c>
      <c r="E19" s="355"/>
      <c r="F19" s="355"/>
      <c r="G19" s="355"/>
      <c r="H19" s="355"/>
      <c r="I19" s="355"/>
      <c r="J19" s="356"/>
      <c r="K19" s="16">
        <v>1</v>
      </c>
      <c r="L19" s="16">
        <v>1</v>
      </c>
      <c r="M19" s="16">
        <v>0</v>
      </c>
      <c r="N19" s="16"/>
      <c r="O19" s="496">
        <f>IFERROR(MROUND(VLOOKUP(C19,'Full list.23'!C:G,5,FALSE)/K19*L19,5),0)</f>
        <v>0</v>
      </c>
      <c r="P19" s="497"/>
      <c r="Q19" s="206">
        <f>IFERROR(MROUND(VLOOKUP(C19,'Full list.23'!C:G,5,FALSE)/K19*L19*1.45,5),0)</f>
        <v>0</v>
      </c>
      <c r="R19" s="207"/>
      <c r="S19" s="498">
        <f t="shared" si="1"/>
        <v>0</v>
      </c>
      <c r="T19" s="499"/>
      <c r="U19" s="376">
        <f t="shared" si="2"/>
        <v>0</v>
      </c>
      <c r="V19" s="377"/>
      <c r="W19" s="351">
        <f t="shared" si="0"/>
        <v>0</v>
      </c>
      <c r="X19" s="352"/>
    </row>
    <row r="20" spans="2:24" s="17" customFormat="1" ht="18" customHeight="1">
      <c r="B20" s="15">
        <v>6</v>
      </c>
      <c r="C20" s="5"/>
      <c r="D20" s="354">
        <f>IFERROR(VLOOKUP(C20,'Full list.23'!C:K,9,FALSE),0)</f>
        <v>0</v>
      </c>
      <c r="E20" s="355"/>
      <c r="F20" s="355"/>
      <c r="G20" s="355"/>
      <c r="H20" s="355"/>
      <c r="I20" s="355"/>
      <c r="J20" s="356"/>
      <c r="K20" s="16">
        <v>1</v>
      </c>
      <c r="L20" s="16">
        <v>1</v>
      </c>
      <c r="M20" s="16">
        <v>0</v>
      </c>
      <c r="N20" s="16"/>
      <c r="O20" s="496">
        <f>IFERROR(MROUND(VLOOKUP(C20,'Full list.23'!C:G,5,FALSE)/K20*L20,5),0)</f>
        <v>0</v>
      </c>
      <c r="P20" s="497"/>
      <c r="Q20" s="206">
        <f>IFERROR(MROUND(VLOOKUP(C20,'Full list.23'!C:G,5,FALSE)/K20*L20*1.45,5),0)</f>
        <v>0</v>
      </c>
      <c r="R20" s="207"/>
      <c r="S20" s="498">
        <f t="shared" si="1"/>
        <v>0</v>
      </c>
      <c r="T20" s="499"/>
      <c r="U20" s="353">
        <f t="shared" si="2"/>
        <v>0</v>
      </c>
      <c r="V20" s="353"/>
      <c r="W20" s="357">
        <f t="shared" si="0"/>
        <v>0</v>
      </c>
      <c r="X20" s="357"/>
    </row>
    <row r="21" spans="2:24" s="17" customFormat="1" ht="18" customHeight="1">
      <c r="B21" s="15">
        <v>7</v>
      </c>
      <c r="C21" s="5"/>
      <c r="D21" s="354">
        <f>IFERROR(VLOOKUP(C21,'Full list.23'!C:K,9,FALSE),0)</f>
        <v>0</v>
      </c>
      <c r="E21" s="355"/>
      <c r="F21" s="355"/>
      <c r="G21" s="355"/>
      <c r="H21" s="355"/>
      <c r="I21" s="355"/>
      <c r="J21" s="356"/>
      <c r="K21" s="16">
        <v>1</v>
      </c>
      <c r="L21" s="16">
        <v>1</v>
      </c>
      <c r="M21" s="16">
        <v>0</v>
      </c>
      <c r="N21" s="16"/>
      <c r="O21" s="496">
        <f>IFERROR(MROUND(VLOOKUP(C21,'Full list.23'!C:G,5,FALSE)/K21*L21,5),0)</f>
        <v>0</v>
      </c>
      <c r="P21" s="497"/>
      <c r="Q21" s="206">
        <f>IFERROR(MROUND(VLOOKUP(C21,'Full list.23'!C:G,5,FALSE)/K21*L21*1.45,5),0)</f>
        <v>0</v>
      </c>
      <c r="R21" s="207"/>
      <c r="S21" s="351">
        <f t="shared" si="1"/>
        <v>0</v>
      </c>
      <c r="T21" s="352"/>
      <c r="U21" s="353">
        <f t="shared" si="2"/>
        <v>0</v>
      </c>
      <c r="V21" s="353"/>
      <c r="W21" s="357">
        <f t="shared" si="0"/>
        <v>0</v>
      </c>
      <c r="X21" s="357"/>
    </row>
    <row r="22" spans="2:24" s="17" customFormat="1" ht="18" customHeight="1">
      <c r="B22" s="15">
        <v>8</v>
      </c>
      <c r="C22" s="5"/>
      <c r="D22" s="354">
        <f>IFERROR(VLOOKUP(C22,'Full list.23'!C:K,9,FALSE),0)</f>
        <v>0</v>
      </c>
      <c r="E22" s="355"/>
      <c r="F22" s="355"/>
      <c r="G22" s="355"/>
      <c r="H22" s="355"/>
      <c r="I22" s="355"/>
      <c r="J22" s="356"/>
      <c r="K22" s="16">
        <v>1</v>
      </c>
      <c r="L22" s="16">
        <v>1</v>
      </c>
      <c r="M22" s="16">
        <v>0</v>
      </c>
      <c r="N22" s="16"/>
      <c r="O22" s="496">
        <f>IFERROR(MROUND(VLOOKUP(C22,'Full list.23'!C:G,5,FALSE)/K22*L22,5),0)</f>
        <v>0</v>
      </c>
      <c r="P22" s="497"/>
      <c r="Q22" s="206">
        <f>IFERROR(MROUND(VLOOKUP(C22,'Full list.23'!C:G,5,FALSE)/K22*L22*1.45,5),0)</f>
        <v>0</v>
      </c>
      <c r="R22" s="207"/>
      <c r="S22" s="351">
        <f t="shared" si="1"/>
        <v>0</v>
      </c>
      <c r="T22" s="352"/>
      <c r="U22" s="353">
        <f t="shared" si="2"/>
        <v>0</v>
      </c>
      <c r="V22" s="353"/>
      <c r="W22" s="357">
        <f t="shared" si="0"/>
        <v>0</v>
      </c>
      <c r="X22" s="357"/>
    </row>
    <row r="23" spans="2:24" s="17" customFormat="1" ht="18" customHeight="1">
      <c r="B23" s="15">
        <v>9</v>
      </c>
      <c r="C23" s="5"/>
      <c r="D23" s="354">
        <f>IFERROR(VLOOKUP(C23,'Full list.23'!C:K,9,FALSE),0)</f>
        <v>0</v>
      </c>
      <c r="E23" s="355"/>
      <c r="F23" s="355"/>
      <c r="G23" s="355"/>
      <c r="H23" s="355"/>
      <c r="I23" s="355"/>
      <c r="J23" s="356"/>
      <c r="K23" s="16">
        <v>1</v>
      </c>
      <c r="L23" s="16">
        <v>1</v>
      </c>
      <c r="M23" s="16">
        <v>0</v>
      </c>
      <c r="N23" s="16"/>
      <c r="O23" s="496">
        <f>IFERROR(MROUND(VLOOKUP(C23,'Full list.23'!C:G,5,FALSE)/K23*L23,5),0)</f>
        <v>0</v>
      </c>
      <c r="P23" s="497"/>
      <c r="Q23" s="206">
        <f>IFERROR(MROUND(VLOOKUP(C23,'Full list.23'!C:G,5,FALSE)/K23*L23*1.45,5),0)</f>
        <v>0</v>
      </c>
      <c r="R23" s="207"/>
      <c r="S23" s="351">
        <f t="shared" si="1"/>
        <v>0</v>
      </c>
      <c r="T23" s="352"/>
      <c r="U23" s="353">
        <f t="shared" si="2"/>
        <v>0</v>
      </c>
      <c r="V23" s="353"/>
      <c r="W23" s="357">
        <f t="shared" si="0"/>
        <v>0</v>
      </c>
      <c r="X23" s="357"/>
    </row>
    <row r="24" spans="2:24" s="17" customFormat="1" ht="18" customHeight="1">
      <c r="B24" s="15">
        <v>10</v>
      </c>
      <c r="C24" s="5"/>
      <c r="D24" s="354">
        <f>IFERROR(VLOOKUP(C24,'Full list.23'!C:K,9,FALSE),0)</f>
        <v>0</v>
      </c>
      <c r="E24" s="355"/>
      <c r="F24" s="355"/>
      <c r="G24" s="355"/>
      <c r="H24" s="355"/>
      <c r="I24" s="355"/>
      <c r="J24" s="356"/>
      <c r="K24" s="16">
        <v>1</v>
      </c>
      <c r="L24" s="16">
        <v>1</v>
      </c>
      <c r="M24" s="16">
        <v>0</v>
      </c>
      <c r="N24" s="16"/>
      <c r="O24" s="496">
        <f>IFERROR(MROUND(VLOOKUP(C24,'Full list.23'!C:G,5,FALSE)/K24*L24,5),0)</f>
        <v>0</v>
      </c>
      <c r="P24" s="497"/>
      <c r="Q24" s="206">
        <f>IFERROR(MROUND(VLOOKUP(C24,'Full list.23'!C:G,5,FALSE)/K24*L24*1.45,5),0)</f>
        <v>0</v>
      </c>
      <c r="R24" s="207"/>
      <c r="S24" s="351">
        <f t="shared" si="1"/>
        <v>0</v>
      </c>
      <c r="T24" s="352"/>
      <c r="U24" s="353">
        <f t="shared" si="2"/>
        <v>0</v>
      </c>
      <c r="V24" s="353"/>
      <c r="W24" s="357">
        <f t="shared" si="0"/>
        <v>0</v>
      </c>
      <c r="X24" s="357"/>
    </row>
    <row r="25" spans="2:24" s="17" customFormat="1" ht="18" hidden="1" customHeight="1">
      <c r="B25" s="15">
        <v>11</v>
      </c>
      <c r="C25" s="5"/>
      <c r="D25" s="354">
        <f>IFERROR(VLOOKUP(C25,'Full list.23'!C:K,9,FALSE),0)</f>
        <v>0</v>
      </c>
      <c r="E25" s="355"/>
      <c r="F25" s="355"/>
      <c r="G25" s="355"/>
      <c r="H25" s="355"/>
      <c r="I25" s="355"/>
      <c r="J25" s="356"/>
      <c r="K25" s="16">
        <v>1</v>
      </c>
      <c r="L25" s="16">
        <v>1</v>
      </c>
      <c r="M25" s="16">
        <v>0</v>
      </c>
      <c r="N25" s="16"/>
      <c r="O25" s="496">
        <f>IFERROR(MROUND(VLOOKUP(C25,'Full list.23'!C:G,5,FALSE)/K25*L25,5),0)</f>
        <v>0</v>
      </c>
      <c r="P25" s="497"/>
      <c r="Q25" s="206">
        <f>IFERROR(MROUND(VLOOKUP(C25,'Full list.23'!C:G,5,FALSE)/K25*L25*1.45,5),0)</f>
        <v>0</v>
      </c>
      <c r="R25" s="207"/>
      <c r="S25" s="351">
        <f t="shared" si="1"/>
        <v>0</v>
      </c>
      <c r="T25" s="352"/>
      <c r="U25" s="353">
        <f t="shared" si="2"/>
        <v>0</v>
      </c>
      <c r="V25" s="353"/>
      <c r="W25" s="357">
        <f t="shared" si="0"/>
        <v>0</v>
      </c>
      <c r="X25" s="357"/>
    </row>
    <row r="26" spans="2:24" s="17" customFormat="1" ht="18" hidden="1" customHeight="1">
      <c r="B26" s="15">
        <v>12</v>
      </c>
      <c r="C26" s="5"/>
      <c r="D26" s="354">
        <f>IFERROR(VLOOKUP(C26,'Full list.23'!C:K,9,FALSE),0)</f>
        <v>0</v>
      </c>
      <c r="E26" s="355"/>
      <c r="F26" s="355"/>
      <c r="G26" s="355"/>
      <c r="H26" s="355"/>
      <c r="I26" s="355"/>
      <c r="J26" s="356"/>
      <c r="K26" s="16">
        <v>1</v>
      </c>
      <c r="L26" s="16">
        <v>1</v>
      </c>
      <c r="M26" s="16">
        <v>0</v>
      </c>
      <c r="N26" s="16"/>
      <c r="O26" s="496">
        <f>IFERROR(MROUND(VLOOKUP(C26,'Full list.23'!C:G,5,FALSE)/K26*L26,5),0)</f>
        <v>0</v>
      </c>
      <c r="P26" s="497"/>
      <c r="Q26" s="206">
        <f>IFERROR(MROUND(VLOOKUP(C26,'Full list.23'!C:G,5,FALSE)/K26*L26*1.45,5),0)</f>
        <v>0</v>
      </c>
      <c r="R26" s="207"/>
      <c r="S26" s="351">
        <f t="shared" si="1"/>
        <v>0</v>
      </c>
      <c r="T26" s="352"/>
      <c r="U26" s="353">
        <f t="shared" si="2"/>
        <v>0</v>
      </c>
      <c r="V26" s="353"/>
      <c r="W26" s="357">
        <f t="shared" si="0"/>
        <v>0</v>
      </c>
      <c r="X26" s="357"/>
    </row>
    <row r="27" spans="2:24" s="17" customFormat="1" ht="18" hidden="1" customHeight="1">
      <c r="B27" s="15">
        <v>13</v>
      </c>
      <c r="C27" s="5"/>
      <c r="D27" s="354">
        <f>IFERROR(VLOOKUP(C27,'Full list.23'!C:K,9,FALSE),0)</f>
        <v>0</v>
      </c>
      <c r="E27" s="355"/>
      <c r="F27" s="355"/>
      <c r="G27" s="355"/>
      <c r="H27" s="355"/>
      <c r="I27" s="355"/>
      <c r="J27" s="356"/>
      <c r="K27" s="16">
        <v>1</v>
      </c>
      <c r="L27" s="16">
        <v>1</v>
      </c>
      <c r="M27" s="16">
        <v>0</v>
      </c>
      <c r="N27" s="16"/>
      <c r="O27" s="496">
        <f>IFERROR(MROUND(VLOOKUP(C27,'Full list.23'!C:G,5,FALSE)/K27*L27,5),0)</f>
        <v>0</v>
      </c>
      <c r="P27" s="497"/>
      <c r="Q27" s="206">
        <f>IFERROR(MROUND(VLOOKUP(C27,'Full list.23'!C:G,5,FALSE)/K27*L27*1.45,5),0)</f>
        <v>0</v>
      </c>
      <c r="R27" s="207"/>
      <c r="S27" s="351">
        <f t="shared" si="1"/>
        <v>0</v>
      </c>
      <c r="T27" s="352"/>
      <c r="U27" s="353">
        <f t="shared" si="2"/>
        <v>0</v>
      </c>
      <c r="V27" s="353"/>
      <c r="W27" s="357">
        <f t="shared" si="0"/>
        <v>0</v>
      </c>
      <c r="X27" s="357"/>
    </row>
    <row r="28" spans="2:24" s="17" customFormat="1" ht="18" hidden="1" customHeight="1">
      <c r="B28" s="15">
        <v>14</v>
      </c>
      <c r="C28" s="5"/>
      <c r="D28" s="354">
        <f>IFERROR(VLOOKUP(C28,'Full list.23'!C:K,9,FALSE),0)</f>
        <v>0</v>
      </c>
      <c r="E28" s="355"/>
      <c r="F28" s="355"/>
      <c r="G28" s="355"/>
      <c r="H28" s="355"/>
      <c r="I28" s="355"/>
      <c r="J28" s="356"/>
      <c r="K28" s="16">
        <v>1</v>
      </c>
      <c r="L28" s="16">
        <v>1</v>
      </c>
      <c r="M28" s="16">
        <v>0</v>
      </c>
      <c r="N28" s="16"/>
      <c r="O28" s="496">
        <f>IFERROR(MROUND(VLOOKUP(C28,'Full list.23'!C:G,5,FALSE)/K28*L28,5),0)</f>
        <v>0</v>
      </c>
      <c r="P28" s="497"/>
      <c r="Q28" s="206">
        <f>IFERROR(MROUND(VLOOKUP(C28,'Full list.23'!C:G,5,FALSE)/K28*L28*1.45,5),0)</f>
        <v>0</v>
      </c>
      <c r="R28" s="207"/>
      <c r="S28" s="351">
        <f t="shared" si="1"/>
        <v>0</v>
      </c>
      <c r="T28" s="352"/>
      <c r="U28" s="353">
        <f t="shared" si="2"/>
        <v>0</v>
      </c>
      <c r="V28" s="353"/>
      <c r="W28" s="357">
        <f t="shared" si="0"/>
        <v>0</v>
      </c>
      <c r="X28" s="357"/>
    </row>
    <row r="29" spans="2:24" s="17" customFormat="1" ht="18" hidden="1" customHeight="1">
      <c r="B29" s="15">
        <v>15</v>
      </c>
      <c r="C29" s="5"/>
      <c r="D29" s="354">
        <f>IFERROR(VLOOKUP(C29,'Full list.23'!C:K,9,FALSE),0)</f>
        <v>0</v>
      </c>
      <c r="E29" s="355"/>
      <c r="F29" s="355"/>
      <c r="G29" s="355"/>
      <c r="H29" s="355"/>
      <c r="I29" s="355"/>
      <c r="J29" s="356"/>
      <c r="K29" s="16">
        <v>1</v>
      </c>
      <c r="L29" s="16">
        <v>1</v>
      </c>
      <c r="M29" s="16">
        <v>0</v>
      </c>
      <c r="N29" s="16"/>
      <c r="O29" s="496">
        <f>IFERROR(MROUND(VLOOKUP(C29,'Full list.23'!C:G,5,FALSE)/K29*L29,5),0)</f>
        <v>0</v>
      </c>
      <c r="P29" s="497"/>
      <c r="Q29" s="206">
        <f>IFERROR(MROUND(VLOOKUP(C29,'Full list.23'!C:G,5,FALSE)/K29*L29*1.45,5),0)</f>
        <v>0</v>
      </c>
      <c r="R29" s="207"/>
      <c r="S29" s="351">
        <f t="shared" si="1"/>
        <v>0</v>
      </c>
      <c r="T29" s="352"/>
      <c r="U29" s="353">
        <f t="shared" si="2"/>
        <v>0</v>
      </c>
      <c r="V29" s="353"/>
      <c r="W29" s="357">
        <f t="shared" si="0"/>
        <v>0</v>
      </c>
      <c r="X29" s="357"/>
    </row>
    <row r="30" spans="2:24" s="17" customFormat="1" ht="18" hidden="1" customHeight="1">
      <c r="B30" s="15">
        <v>16</v>
      </c>
      <c r="C30" s="5"/>
      <c r="D30" s="354">
        <f>IFERROR(VLOOKUP(C30,'Full list.23'!C:K,9,FALSE),0)</f>
        <v>0</v>
      </c>
      <c r="E30" s="355"/>
      <c r="F30" s="355"/>
      <c r="G30" s="355"/>
      <c r="H30" s="355"/>
      <c r="I30" s="355"/>
      <c r="J30" s="356"/>
      <c r="K30" s="16">
        <v>1</v>
      </c>
      <c r="L30" s="16">
        <v>1</v>
      </c>
      <c r="M30" s="16">
        <v>0</v>
      </c>
      <c r="N30" s="16"/>
      <c r="O30" s="496">
        <f>IFERROR(MROUND(VLOOKUP(C30,'Full list.23'!C:G,5,FALSE)/K30*L30,5),0)</f>
        <v>0</v>
      </c>
      <c r="P30" s="497"/>
      <c r="Q30" s="206">
        <f>IFERROR(MROUND(VLOOKUP(C30,'Full list.23'!C:G,5,FALSE)/K30*L30*1.45,5),0)</f>
        <v>0</v>
      </c>
      <c r="R30" s="207"/>
      <c r="S30" s="351">
        <f t="shared" si="1"/>
        <v>0</v>
      </c>
      <c r="T30" s="352"/>
      <c r="U30" s="353">
        <f t="shared" si="2"/>
        <v>0</v>
      </c>
      <c r="V30" s="353"/>
      <c r="W30" s="357">
        <f t="shared" si="0"/>
        <v>0</v>
      </c>
      <c r="X30" s="357"/>
    </row>
    <row r="31" spans="2:24" s="17" customFormat="1" ht="17.55" hidden="1" customHeight="1">
      <c r="B31" s="15">
        <v>17</v>
      </c>
      <c r="C31" s="5"/>
      <c r="D31" s="354">
        <f>IFERROR(VLOOKUP(C31,'Full list.23'!C:K,9,FALSE),0)</f>
        <v>0</v>
      </c>
      <c r="E31" s="355"/>
      <c r="F31" s="355"/>
      <c r="G31" s="355"/>
      <c r="H31" s="355"/>
      <c r="I31" s="355"/>
      <c r="J31" s="356"/>
      <c r="K31" s="16">
        <v>1</v>
      </c>
      <c r="L31" s="16">
        <v>1</v>
      </c>
      <c r="M31" s="16">
        <v>0</v>
      </c>
      <c r="N31" s="16"/>
      <c r="O31" s="496">
        <f>IFERROR(MROUND(VLOOKUP(C31,'Full list.23'!C:G,5,FALSE)/K31*L31,5),0)</f>
        <v>0</v>
      </c>
      <c r="P31" s="497"/>
      <c r="Q31" s="206">
        <f>IFERROR(MROUND(VLOOKUP(C31,'Full list.23'!C:G,5,FALSE)/K31*L31*1.45,5),0)</f>
        <v>0</v>
      </c>
      <c r="R31" s="207"/>
      <c r="S31" s="351">
        <f t="shared" si="1"/>
        <v>0</v>
      </c>
      <c r="T31" s="352"/>
      <c r="U31" s="353">
        <f t="shared" si="2"/>
        <v>0</v>
      </c>
      <c r="V31" s="353"/>
      <c r="W31" s="357">
        <f t="shared" si="0"/>
        <v>0</v>
      </c>
      <c r="X31" s="357"/>
    </row>
    <row r="32" spans="2:24" s="17" customFormat="1" ht="15" hidden="1" customHeight="1">
      <c r="B32" s="15">
        <v>20</v>
      </c>
      <c r="C32" s="5"/>
      <c r="D32" s="354">
        <f>IFERROR(VLOOKUP(C32,'Full list.23'!C:K,9,FALSE),0)</f>
        <v>0</v>
      </c>
      <c r="E32" s="355"/>
      <c r="F32" s="355"/>
      <c r="G32" s="355"/>
      <c r="H32" s="355"/>
      <c r="I32" s="355"/>
      <c r="J32" s="356"/>
      <c r="K32" s="16">
        <v>1</v>
      </c>
      <c r="L32" s="16">
        <v>1</v>
      </c>
      <c r="M32" s="16">
        <v>0</v>
      </c>
      <c r="N32" s="16"/>
      <c r="O32" s="496">
        <f>IFERROR(MROUND(VLOOKUP(C32,'Full list.23'!C:G,5,FALSE)/K32*L32,5),0)</f>
        <v>0</v>
      </c>
      <c r="P32" s="497"/>
      <c r="Q32" s="206">
        <f>IFERROR(MROUND(VLOOKUP(C32,'Full list.23'!C:G,5,FALSE)/K32*L32*1.45,5),0)</f>
        <v>0</v>
      </c>
      <c r="R32" s="207"/>
      <c r="S32" s="351">
        <f t="shared" si="1"/>
        <v>0</v>
      </c>
      <c r="T32" s="352"/>
      <c r="U32" s="353">
        <f t="shared" si="2"/>
        <v>0</v>
      </c>
      <c r="V32" s="353"/>
      <c r="W32" s="357">
        <f t="shared" si="0"/>
        <v>0</v>
      </c>
      <c r="X32" s="357"/>
    </row>
    <row r="33" spans="2:27" s="260" customFormat="1" ht="15.45" customHeight="1" thickBot="1">
      <c r="B33" s="258"/>
      <c r="C33" s="259"/>
      <c r="D33" s="373" t="s">
        <v>1561</v>
      </c>
      <c r="E33" s="374"/>
      <c r="F33" s="374"/>
      <c r="G33" s="374"/>
      <c r="H33" s="374"/>
      <c r="I33" s="374"/>
      <c r="J33" s="374"/>
      <c r="K33" s="374"/>
      <c r="L33" s="374"/>
      <c r="M33" s="375"/>
      <c r="N33" s="262">
        <v>1</v>
      </c>
      <c r="O33" s="509">
        <v>1000</v>
      </c>
      <c r="P33" s="510"/>
      <c r="Q33" s="510"/>
      <c r="R33" s="511"/>
      <c r="S33" s="489">
        <v>0</v>
      </c>
      <c r="T33" s="489"/>
      <c r="U33" s="490">
        <f>O33*N33</f>
        <v>1000</v>
      </c>
      <c r="V33" s="491"/>
      <c r="W33" s="492">
        <f>+S33*N33</f>
        <v>0</v>
      </c>
      <c r="X33" s="493"/>
      <c r="AA33" s="261"/>
    </row>
    <row r="34" spans="2:27" s="9" customFormat="1" ht="15" customHeight="1" thickBot="1">
      <c r="B34" s="529" t="s">
        <v>1780</v>
      </c>
      <c r="C34" s="527"/>
      <c r="D34" s="527"/>
      <c r="E34" s="527"/>
      <c r="F34" s="466">
        <v>0</v>
      </c>
      <c r="G34" s="467"/>
      <c r="H34" s="529" t="s">
        <v>1752</v>
      </c>
      <c r="I34" s="527"/>
      <c r="J34" s="527"/>
      <c r="K34" s="527"/>
      <c r="L34" s="527"/>
      <c r="M34" s="527">
        <f>SUM(N15:N32)</f>
        <v>10</v>
      </c>
      <c r="N34" s="528"/>
      <c r="O34" s="524" t="s">
        <v>1753</v>
      </c>
      <c r="P34" s="525"/>
      <c r="Q34" s="525"/>
      <c r="R34" s="525"/>
      <c r="S34" s="525"/>
      <c r="T34" s="526"/>
      <c r="U34" s="487">
        <f>SUM(U15:V33)</f>
        <v>29575</v>
      </c>
      <c r="V34" s="488"/>
      <c r="W34" s="522">
        <f>SUM(W15:X33)</f>
        <v>25725</v>
      </c>
      <c r="X34" s="523"/>
    </row>
    <row r="35" spans="2:27" ht="14.55" customHeight="1" thickBot="1">
      <c r="C35" s="242"/>
      <c r="E35" s="243"/>
      <c r="F35" s="243"/>
      <c r="G35" s="243"/>
      <c r="H35" s="513" t="s">
        <v>156</v>
      </c>
      <c r="I35" s="513"/>
      <c r="J35" s="513"/>
      <c r="K35" s="513"/>
      <c r="L35" s="513"/>
      <c r="M35" s="512">
        <v>4</v>
      </c>
      <c r="N35" s="512"/>
      <c r="O35" s="516">
        <v>200</v>
      </c>
      <c r="P35" s="517"/>
      <c r="Q35" s="517"/>
      <c r="R35" s="518"/>
      <c r="S35" s="506">
        <f>+M35*O35</f>
        <v>800</v>
      </c>
      <c r="T35" s="507"/>
      <c r="U35" s="507"/>
      <c r="V35" s="507"/>
      <c r="W35" s="507"/>
      <c r="X35" s="508"/>
    </row>
    <row r="36" spans="2:27" ht="14.55" customHeight="1" thickBot="1">
      <c r="C36" s="242"/>
      <c r="E36" s="243"/>
      <c r="F36" s="243"/>
      <c r="G36" s="243"/>
      <c r="H36" s="514" t="s">
        <v>157</v>
      </c>
      <c r="I36" s="514"/>
      <c r="J36" s="514"/>
      <c r="K36" s="514"/>
      <c r="L36" s="514"/>
      <c r="M36" s="515">
        <v>1</v>
      </c>
      <c r="N36" s="515">
        <v>0</v>
      </c>
      <c r="O36" s="519">
        <v>1000</v>
      </c>
      <c r="P36" s="520"/>
      <c r="Q36" s="520"/>
      <c r="R36" s="521"/>
      <c r="S36" s="506">
        <f t="shared" ref="S36:S37" si="3">+M36*O36</f>
        <v>1000</v>
      </c>
      <c r="T36" s="507"/>
      <c r="U36" s="507"/>
      <c r="V36" s="507"/>
      <c r="W36" s="507"/>
      <c r="X36" s="508"/>
    </row>
    <row r="37" spans="2:27" ht="14.55" customHeight="1">
      <c r="C37" s="242"/>
      <c r="E37" s="243"/>
      <c r="F37" s="243"/>
      <c r="G37" s="243"/>
      <c r="H37" s="514" t="s">
        <v>1561</v>
      </c>
      <c r="I37" s="514"/>
      <c r="J37" s="514"/>
      <c r="K37" s="514"/>
      <c r="L37" s="514"/>
      <c r="M37" s="515">
        <v>1</v>
      </c>
      <c r="N37" s="515"/>
      <c r="O37" s="519">
        <v>500</v>
      </c>
      <c r="P37" s="520"/>
      <c r="Q37" s="520"/>
      <c r="R37" s="521"/>
      <c r="S37" s="506">
        <f t="shared" si="3"/>
        <v>500</v>
      </c>
      <c r="T37" s="507"/>
      <c r="U37" s="507"/>
      <c r="V37" s="507"/>
      <c r="W37" s="507"/>
      <c r="X37" s="508"/>
    </row>
    <row r="38" spans="2:27" ht="15.45" customHeight="1">
      <c r="B38" s="479"/>
      <c r="C38" s="480"/>
      <c r="D38" s="480"/>
      <c r="E38" s="480"/>
      <c r="F38" s="480"/>
      <c r="G38" s="480"/>
      <c r="H38" s="480"/>
      <c r="I38" s="480"/>
      <c r="J38" s="480"/>
      <c r="K38" s="480"/>
      <c r="L38" s="480"/>
      <c r="M38" s="481"/>
      <c r="N38" s="257"/>
      <c r="O38" s="494"/>
      <c r="P38" s="495"/>
      <c r="Q38" s="482" t="s">
        <v>158</v>
      </c>
      <c r="R38" s="483"/>
      <c r="S38" s="483"/>
      <c r="T38" s="484"/>
      <c r="U38" s="485">
        <f>U34+S35+S36+S37</f>
        <v>31875</v>
      </c>
      <c r="V38" s="486"/>
      <c r="W38" s="485">
        <f>W34+S35+S36+S37</f>
        <v>28025</v>
      </c>
      <c r="X38" s="486"/>
    </row>
    <row r="39" spans="2:27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453" t="s">
        <v>159</v>
      </c>
      <c r="S39" s="454"/>
      <c r="T39" s="455"/>
      <c r="U39" s="424">
        <f>1-(W34/U34)</f>
        <v>0.13017751479289941</v>
      </c>
      <c r="V39" s="425"/>
      <c r="W39" s="428">
        <f>U34-W34</f>
        <v>3850</v>
      </c>
      <c r="X39" s="429"/>
      <c r="Y39" s="165"/>
    </row>
    <row r="40" spans="2:27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432" t="s">
        <v>160</v>
      </c>
      <c r="S40" s="433"/>
      <c r="T40" s="434"/>
      <c r="U40" s="426">
        <v>0</v>
      </c>
      <c r="V40" s="427"/>
      <c r="W40" s="430">
        <v>0</v>
      </c>
      <c r="X40" s="431"/>
    </row>
    <row r="41" spans="2:27" ht="16.95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432" t="s">
        <v>161</v>
      </c>
      <c r="S41" s="433"/>
      <c r="T41" s="434"/>
      <c r="U41" s="426">
        <v>0</v>
      </c>
      <c r="V41" s="427"/>
      <c r="W41" s="430">
        <v>0</v>
      </c>
      <c r="X41" s="431"/>
    </row>
    <row r="42" spans="2:27" ht="16.95" customHeight="1">
      <c r="B42" s="14"/>
      <c r="C42" s="14"/>
      <c r="D42" s="14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432" t="s">
        <v>162</v>
      </c>
      <c r="S42" s="433"/>
      <c r="T42" s="434"/>
      <c r="U42" s="435">
        <v>10000</v>
      </c>
      <c r="V42" s="436"/>
      <c r="W42" s="430">
        <v>0</v>
      </c>
      <c r="X42" s="431"/>
    </row>
    <row r="43" spans="2:27" ht="17.55" customHeight="1">
      <c r="B43" s="19"/>
      <c r="R43" s="437" t="s">
        <v>163</v>
      </c>
      <c r="S43" s="438"/>
      <c r="T43" s="438"/>
      <c r="U43" s="439">
        <f>+W38-U42</f>
        <v>18025</v>
      </c>
      <c r="V43" s="439"/>
      <c r="W43" s="439"/>
      <c r="X43" s="440"/>
    </row>
    <row r="44" spans="2:27" ht="10.050000000000001" customHeight="1">
      <c r="B44" s="19"/>
      <c r="D44" s="166"/>
      <c r="Q44" s="167"/>
      <c r="R44" s="168"/>
      <c r="S44" s="168"/>
      <c r="T44" s="168"/>
      <c r="U44" s="168"/>
      <c r="V44" s="169"/>
      <c r="W44" s="169"/>
      <c r="X44" s="169"/>
    </row>
    <row r="45" spans="2:27" s="170" customFormat="1" ht="16.5" customHeight="1">
      <c r="B45" s="248"/>
      <c r="C45" s="248"/>
      <c r="D45" s="248"/>
      <c r="E45" s="251" t="s">
        <v>1781</v>
      </c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48"/>
      <c r="U45" s="248"/>
      <c r="V45" s="248"/>
      <c r="W45" s="248"/>
      <c r="X45" s="248"/>
    </row>
    <row r="46" spans="2:27" s="170" customFormat="1" ht="9.4499999999999993" customHeight="1">
      <c r="B46" s="253"/>
      <c r="C46" s="253"/>
      <c r="D46" s="253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3"/>
      <c r="U46" s="253"/>
      <c r="V46" s="253"/>
      <c r="W46" s="253"/>
      <c r="X46" s="253"/>
    </row>
    <row r="47" spans="2:27" ht="16.95" customHeight="1">
      <c r="B47" s="171" t="s">
        <v>164</v>
      </c>
      <c r="C47" s="171"/>
      <c r="D47" s="172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/>
      <c r="Q47" s="171"/>
      <c r="R47" s="173"/>
      <c r="S47" s="173"/>
      <c r="T47" s="173"/>
      <c r="U47" s="173"/>
      <c r="V47" s="174"/>
      <c r="W47" s="174"/>
      <c r="X47" s="174"/>
    </row>
    <row r="48" spans="2:27" ht="12" customHeight="1">
      <c r="B48" s="171"/>
      <c r="C48" s="171"/>
      <c r="D48" s="172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3"/>
      <c r="S48" s="173"/>
      <c r="T48" s="173"/>
      <c r="U48" s="173"/>
      <c r="V48" s="174"/>
      <c r="W48" s="174"/>
      <c r="X48" s="174"/>
    </row>
    <row r="49" spans="4:27" ht="22.95" customHeight="1">
      <c r="Q49" s="21"/>
      <c r="V49" s="20"/>
      <c r="W49" s="20"/>
      <c r="X49" s="20"/>
    </row>
    <row r="50" spans="4:27" ht="19.95" customHeight="1">
      <c r="Q50" s="21"/>
      <c r="V50" s="20"/>
      <c r="W50" s="20"/>
      <c r="X50" s="20"/>
    </row>
    <row r="51" spans="4:27" ht="19.95" customHeight="1"/>
    <row r="52" spans="4:27" s="9" customFormat="1" ht="19.95" customHeight="1">
      <c r="D52" s="140"/>
      <c r="E52" s="10"/>
      <c r="F52" s="10"/>
      <c r="G52" s="10"/>
      <c r="H52" s="10"/>
      <c r="I52" s="10"/>
      <c r="J52" s="10"/>
      <c r="M52" s="12"/>
      <c r="Q52" s="11"/>
      <c r="R52" s="12"/>
      <c r="S52" s="12"/>
      <c r="T52" s="12"/>
      <c r="U52" s="12"/>
      <c r="V52" s="13"/>
      <c r="W52" s="13"/>
      <c r="X52" s="13"/>
      <c r="Y52" s="14"/>
      <c r="Z52" s="14"/>
      <c r="AA52" s="14"/>
    </row>
  </sheetData>
  <sheetProtection selectLockedCells="1"/>
  <mergeCells count="158">
    <mergeCell ref="S37:X37"/>
    <mergeCell ref="O33:R33"/>
    <mergeCell ref="M35:N35"/>
    <mergeCell ref="H35:L35"/>
    <mergeCell ref="H36:L36"/>
    <mergeCell ref="M36:N36"/>
    <mergeCell ref="M37:N37"/>
    <mergeCell ref="H37:L37"/>
    <mergeCell ref="O35:R35"/>
    <mergeCell ref="O36:R36"/>
    <mergeCell ref="O37:R37"/>
    <mergeCell ref="S36:X36"/>
    <mergeCell ref="D33:M33"/>
    <mergeCell ref="W34:X34"/>
    <mergeCell ref="O34:T34"/>
    <mergeCell ref="M34:N34"/>
    <mergeCell ref="H34:L34"/>
    <mergeCell ref="F34:G34"/>
    <mergeCell ref="B34:E34"/>
    <mergeCell ref="S35:X35"/>
    <mergeCell ref="B3:X3"/>
    <mergeCell ref="B6:D6"/>
    <mergeCell ref="E6:G6"/>
    <mergeCell ref="S6:U6"/>
    <mergeCell ref="V6:X6"/>
    <mergeCell ref="L5:Q6"/>
    <mergeCell ref="D14:J14"/>
    <mergeCell ref="Q14:R14"/>
    <mergeCell ref="S14:T14"/>
    <mergeCell ref="U14:V14"/>
    <mergeCell ref="W14:X14"/>
    <mergeCell ref="O14:P14"/>
    <mergeCell ref="B7:D7"/>
    <mergeCell ref="I7:J7"/>
    <mergeCell ref="S7:U7"/>
    <mergeCell ref="V7:X7"/>
    <mergeCell ref="B8:D8"/>
    <mergeCell ref="E8:G8"/>
    <mergeCell ref="L7:Q8"/>
    <mergeCell ref="F11:G11"/>
    <mergeCell ref="F12:G12"/>
    <mergeCell ref="L12:N12"/>
    <mergeCell ref="O12:Q12"/>
    <mergeCell ref="R12:S12"/>
    <mergeCell ref="D16:J16"/>
    <mergeCell ref="S16:T16"/>
    <mergeCell ref="U16:V16"/>
    <mergeCell ref="W16:X16"/>
    <mergeCell ref="O16:P16"/>
    <mergeCell ref="D15:J15"/>
    <mergeCell ref="S15:T15"/>
    <mergeCell ref="U15:V15"/>
    <mergeCell ref="W15:X15"/>
    <mergeCell ref="O15:P15"/>
    <mergeCell ref="D18:J18"/>
    <mergeCell ref="S18:T18"/>
    <mergeCell ref="U18:V18"/>
    <mergeCell ref="W18:X18"/>
    <mergeCell ref="O18:P18"/>
    <mergeCell ref="D17:J17"/>
    <mergeCell ref="S17:T17"/>
    <mergeCell ref="U17:V17"/>
    <mergeCell ref="W17:X17"/>
    <mergeCell ref="O17:P17"/>
    <mergeCell ref="D20:J20"/>
    <mergeCell ref="S20:T20"/>
    <mergeCell ref="U20:V20"/>
    <mergeCell ref="W20:X20"/>
    <mergeCell ref="O20:P20"/>
    <mergeCell ref="D19:J19"/>
    <mergeCell ref="S19:T19"/>
    <mergeCell ref="U19:V19"/>
    <mergeCell ref="W19:X19"/>
    <mergeCell ref="O19:P19"/>
    <mergeCell ref="D22:J22"/>
    <mergeCell ref="S22:T22"/>
    <mergeCell ref="U22:V22"/>
    <mergeCell ref="W22:X22"/>
    <mergeCell ref="O22:P22"/>
    <mergeCell ref="D21:J21"/>
    <mergeCell ref="S21:T21"/>
    <mergeCell ref="U21:V21"/>
    <mergeCell ref="W21:X21"/>
    <mergeCell ref="O21:P21"/>
    <mergeCell ref="D24:J24"/>
    <mergeCell ref="S24:T24"/>
    <mergeCell ref="U24:V24"/>
    <mergeCell ref="W24:X24"/>
    <mergeCell ref="O24:P24"/>
    <mergeCell ref="D23:J23"/>
    <mergeCell ref="S23:T23"/>
    <mergeCell ref="U23:V23"/>
    <mergeCell ref="W23:X23"/>
    <mergeCell ref="O23:P23"/>
    <mergeCell ref="D26:J26"/>
    <mergeCell ref="S26:T26"/>
    <mergeCell ref="U26:V26"/>
    <mergeCell ref="W26:X26"/>
    <mergeCell ref="O26:P26"/>
    <mergeCell ref="D25:J25"/>
    <mergeCell ref="S25:T25"/>
    <mergeCell ref="U25:V25"/>
    <mergeCell ref="W25:X25"/>
    <mergeCell ref="O25:P25"/>
    <mergeCell ref="D28:J28"/>
    <mergeCell ref="S28:T28"/>
    <mergeCell ref="U28:V28"/>
    <mergeCell ref="W28:X28"/>
    <mergeCell ref="O28:P28"/>
    <mergeCell ref="D27:J27"/>
    <mergeCell ref="S27:T27"/>
    <mergeCell ref="U27:V27"/>
    <mergeCell ref="W27:X27"/>
    <mergeCell ref="O27:P27"/>
    <mergeCell ref="D30:J30"/>
    <mergeCell ref="S30:T30"/>
    <mergeCell ref="U30:V30"/>
    <mergeCell ref="W30:X30"/>
    <mergeCell ref="O30:P30"/>
    <mergeCell ref="D29:J29"/>
    <mergeCell ref="S29:T29"/>
    <mergeCell ref="U29:V29"/>
    <mergeCell ref="W29:X29"/>
    <mergeCell ref="O29:P29"/>
    <mergeCell ref="D32:J32"/>
    <mergeCell ref="S32:T32"/>
    <mergeCell ref="U32:V32"/>
    <mergeCell ref="W32:X32"/>
    <mergeCell ref="O32:P32"/>
    <mergeCell ref="D31:J31"/>
    <mergeCell ref="S31:T31"/>
    <mergeCell ref="U31:V31"/>
    <mergeCell ref="W31:X31"/>
    <mergeCell ref="O31:P31"/>
    <mergeCell ref="R40:T40"/>
    <mergeCell ref="U40:V40"/>
    <mergeCell ref="W40:X40"/>
    <mergeCell ref="R41:T41"/>
    <mergeCell ref="U41:V41"/>
    <mergeCell ref="W41:X41"/>
    <mergeCell ref="R43:T43"/>
    <mergeCell ref="U43:X43"/>
    <mergeCell ref="H12:K12"/>
    <mergeCell ref="R42:T42"/>
    <mergeCell ref="U42:V42"/>
    <mergeCell ref="W42:X42"/>
    <mergeCell ref="B38:M38"/>
    <mergeCell ref="Q38:T38"/>
    <mergeCell ref="U38:V38"/>
    <mergeCell ref="W38:X38"/>
    <mergeCell ref="R39:T39"/>
    <mergeCell ref="U39:V39"/>
    <mergeCell ref="W39:X39"/>
    <mergeCell ref="U34:V34"/>
    <mergeCell ref="S33:T33"/>
    <mergeCell ref="U33:V33"/>
    <mergeCell ref="W33:X33"/>
    <mergeCell ref="O38:P38"/>
  </mergeCells>
  <dataValidations count="3">
    <dataValidation type="list" allowBlank="1" showInputMessage="1" showErrorMessage="1" sqref="E8:G8" xr:uid="{21F3CC4A-660A-4184-A7B4-C69683D35659}">
      <formula1>"Express"</formula1>
    </dataValidation>
    <dataValidation type="list" allowBlank="1" showInputMessage="1" showErrorMessage="1" sqref="T12:U12" xr:uid="{EE5AC66B-A7B5-4D2F-BDE3-CD7EACF240D6}">
      <formula1>"OUI,NON"</formula1>
    </dataValidation>
    <dataValidation type="list" allowBlank="1" showInputMessage="1" showErrorMessage="1" sqref="O12" xr:uid="{5EA87A9E-C730-48DC-BDF6-22F0AD8E5AF2}">
      <formula1>"N/A,Tchéké,Kankpé,Gankpo"</formula1>
    </dataValidation>
  </dataValidations>
  <pageMargins left="0" right="0" top="0.15" bottom="0.15" header="0.3" footer="0.3"/>
  <pageSetup paperSize="9" scale="92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D2BC-4A95-4ACA-8A17-2FB340120A5C}">
  <sheetPr>
    <tabColor rgb="FF00B0F0"/>
  </sheetPr>
  <dimension ref="A1:AA58"/>
  <sheetViews>
    <sheetView topLeftCell="A2" zoomScale="98" zoomScaleNormal="98" workbookViewId="0">
      <selection activeCell="A34" sqref="A26:XFD34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6.77734375" style="10" customWidth="1"/>
    <col min="10" max="10" width="3.77734375" style="10" customWidth="1"/>
    <col min="11" max="11" width="3.44140625" style="10" customWidth="1"/>
    <col min="12" max="12" width="5.5546875" style="10" customWidth="1"/>
    <col min="13" max="13" width="5.5546875" style="9" customWidth="1"/>
    <col min="14" max="14" width="5.109375" style="9" customWidth="1"/>
    <col min="15" max="15" width="4.109375" style="12" customWidth="1"/>
    <col min="16" max="16" width="4.109375" style="9" customWidth="1"/>
    <col min="17" max="17" width="4.88671875" style="11" customWidth="1"/>
    <col min="18" max="18" width="4.88671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82" t="s">
        <v>1763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89" t="s">
        <v>1468</v>
      </c>
      <c r="M5" s="390"/>
      <c r="N5" s="390"/>
      <c r="O5" s="390"/>
      <c r="P5" s="390"/>
      <c r="Q5" s="39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08" t="s">
        <v>1476</v>
      </c>
      <c r="C6" s="408"/>
      <c r="D6" s="408"/>
      <c r="E6" s="407">
        <f ca="1">TODAY()</f>
        <v>45531</v>
      </c>
      <c r="F6" s="407"/>
      <c r="G6" s="407"/>
      <c r="H6" s="158"/>
      <c r="L6" s="392"/>
      <c r="M6" s="393"/>
      <c r="N6" s="393"/>
      <c r="O6" s="393"/>
      <c r="P6" s="393"/>
      <c r="Q6" s="394"/>
      <c r="S6" s="400" t="s">
        <v>145</v>
      </c>
      <c r="T6" s="400"/>
      <c r="U6" s="400"/>
      <c r="V6" s="395">
        <f>IF(E8="Normal",WORKDAY.INTL(I7,3,11,Fériés!A:A),IF(E8="Express",WORKDAY.INTL(I7,1,11,Fériés!A:A)))</f>
        <v>45384</v>
      </c>
      <c r="W6" s="395"/>
      <c r="X6" s="395"/>
      <c r="Y6" s="162"/>
    </row>
    <row r="7" spans="2:27" s="3" customFormat="1" ht="13.95" customHeight="1">
      <c r="B7" s="398" t="s">
        <v>143</v>
      </c>
      <c r="C7" s="398"/>
      <c r="D7" s="398"/>
      <c r="E7" s="3">
        <v>1001</v>
      </c>
      <c r="F7" s="135" t="s">
        <v>1475</v>
      </c>
      <c r="G7" s="160" t="s">
        <v>484</v>
      </c>
      <c r="H7" s="161" t="s">
        <v>1475</v>
      </c>
      <c r="I7" s="409">
        <v>45383</v>
      </c>
      <c r="J7" s="409"/>
      <c r="L7" s="401" t="s">
        <v>1469</v>
      </c>
      <c r="M7" s="402"/>
      <c r="N7" s="402"/>
      <c r="O7" s="402"/>
      <c r="P7" s="402"/>
      <c r="Q7" s="403"/>
      <c r="S7" s="396" t="s">
        <v>148</v>
      </c>
      <c r="T7" s="396"/>
      <c r="U7" s="396"/>
      <c r="V7" s="397">
        <f>WORKDAY.INTL(V6,-1,11,Fériés!A:A)</f>
        <v>45383</v>
      </c>
      <c r="W7" s="397"/>
      <c r="X7" s="397"/>
    </row>
    <row r="8" spans="2:27" s="3" customFormat="1" ht="13.95" customHeight="1" thickBot="1">
      <c r="B8" s="398" t="s">
        <v>1477</v>
      </c>
      <c r="C8" s="398"/>
      <c r="D8" s="398"/>
      <c r="E8" s="399" t="s">
        <v>175</v>
      </c>
      <c r="F8" s="399"/>
      <c r="G8" s="399"/>
      <c r="I8" s="135"/>
      <c r="L8" s="404"/>
      <c r="M8" s="405"/>
      <c r="N8" s="405"/>
      <c r="O8" s="405"/>
      <c r="P8" s="405"/>
      <c r="Q8" s="40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10" t="s">
        <v>146</v>
      </c>
      <c r="E11" s="411"/>
      <c r="F11" s="412"/>
      <c r="G11" s="410" t="s">
        <v>144</v>
      </c>
      <c r="H11" s="411"/>
      <c r="I11" s="411"/>
      <c r="J11" s="412"/>
      <c r="K11" s="410" t="s">
        <v>1464</v>
      </c>
      <c r="L11" s="411"/>
      <c r="M11" s="412"/>
      <c r="N11" s="383" t="s">
        <v>1467</v>
      </c>
      <c r="O11" s="384"/>
      <c r="P11" s="385"/>
      <c r="Q11" s="410" t="s">
        <v>1462</v>
      </c>
      <c r="R11" s="41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16" t="str">
        <f>VLOOKUP(D12,'Base Clients'!B:E,4,FALSE)</f>
        <v>AHOUNOU KEKE MELENE</v>
      </c>
      <c r="H12" s="417"/>
      <c r="I12" s="417"/>
      <c r="J12" s="418"/>
      <c r="K12" s="413" t="str">
        <f>VLOOKUP(D12,'Base Clients'!B:L,11,FALSE)</f>
        <v>Client partenaire</v>
      </c>
      <c r="L12" s="414"/>
      <c r="M12" s="415"/>
      <c r="N12" s="386" t="s">
        <v>1768</v>
      </c>
      <c r="O12" s="387"/>
      <c r="P12" s="388"/>
      <c r="Q12" s="419" t="str">
        <f>VLOOKUP(D12,'Base Clients'!B:K,10,FALSE)</f>
        <v>1 KM</v>
      </c>
      <c r="R12" s="42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358" t="s">
        <v>150</v>
      </c>
      <c r="E14" s="359"/>
      <c r="F14" s="359"/>
      <c r="G14" s="359"/>
      <c r="H14" s="359"/>
      <c r="I14" s="359"/>
      <c r="J14" s="360"/>
      <c r="K14" s="361" t="s">
        <v>1471</v>
      </c>
      <c r="L14" s="362"/>
      <c r="M14" s="138" t="s">
        <v>1472</v>
      </c>
      <c r="N14" s="163" t="s">
        <v>1473</v>
      </c>
      <c r="O14" s="532" t="s">
        <v>151</v>
      </c>
      <c r="P14" s="533"/>
      <c r="Q14" s="501" t="s">
        <v>152</v>
      </c>
      <c r="R14" s="501"/>
      <c r="S14" s="530" t="s">
        <v>1560</v>
      </c>
      <c r="T14" s="531"/>
      <c r="U14" s="349" t="s">
        <v>1758</v>
      </c>
      <c r="V14" s="350"/>
      <c r="W14" s="380" t="s">
        <v>1759</v>
      </c>
      <c r="X14" s="381"/>
    </row>
    <row r="15" spans="2:27" s="17" customFormat="1" ht="18" customHeight="1">
      <c r="B15" s="15">
        <v>1</v>
      </c>
      <c r="C15" s="246" t="s">
        <v>453</v>
      </c>
      <c r="D15" s="535" t="str">
        <f>IFERROR(VLOOKUP(C15,'Full list.23'!C:K,9,FALSE),0)</f>
        <v>Lavage au Kg (KG)</v>
      </c>
      <c r="E15" s="536"/>
      <c r="F15" s="536"/>
      <c r="G15" s="536"/>
      <c r="H15" s="536"/>
      <c r="I15" s="536"/>
      <c r="J15" s="537"/>
      <c r="K15" s="538" t="s">
        <v>1474</v>
      </c>
      <c r="L15" s="539"/>
      <c r="M15" s="247">
        <v>1</v>
      </c>
      <c r="N15" s="247">
        <v>1.2</v>
      </c>
      <c r="O15" s="542">
        <v>2</v>
      </c>
      <c r="P15" s="543"/>
      <c r="Q15" s="534">
        <f>IFERROR(MROUND(VLOOKUP(C15,'Full list.23'!C:G,5,FALSE)/M15*N15,5),0)</f>
        <v>720</v>
      </c>
      <c r="R15" s="534"/>
      <c r="S15" s="540">
        <v>0</v>
      </c>
      <c r="T15" s="541"/>
      <c r="U15" s="496">
        <f>Q15*O15</f>
        <v>1440</v>
      </c>
      <c r="V15" s="497"/>
      <c r="W15" s="540">
        <v>0</v>
      </c>
      <c r="X15" s="541"/>
    </row>
    <row r="16" spans="2:27" s="17" customFormat="1" ht="18" customHeight="1">
      <c r="B16" s="15">
        <v>2</v>
      </c>
      <c r="C16" s="5" t="s">
        <v>303</v>
      </c>
      <c r="D16" s="354" t="str">
        <f>IFERROR(VLOOKUP(C16,'Full list.23'!C:K,9,FALSE),0)</f>
        <v>Complet Local (CL2 v3)</v>
      </c>
      <c r="E16" s="355"/>
      <c r="F16" s="355"/>
      <c r="G16" s="355"/>
      <c r="H16" s="355"/>
      <c r="I16" s="355"/>
      <c r="J16" s="356"/>
      <c r="K16" s="363" t="s">
        <v>1474</v>
      </c>
      <c r="L16" s="364"/>
      <c r="M16" s="16">
        <v>1</v>
      </c>
      <c r="N16" s="16">
        <v>1</v>
      </c>
      <c r="O16" s="544">
        <v>2</v>
      </c>
      <c r="P16" s="545"/>
      <c r="Q16" s="534">
        <f>IFERROR(MROUND(VLOOKUP(C16,'Full list.23'!C:G,5,FALSE)/M16*N16,5),0)</f>
        <v>1500</v>
      </c>
      <c r="R16" s="534"/>
      <c r="S16" s="351">
        <f>IF($E$8="Express",IFERROR(MROUND(VLOOKUP(C16,'Full list.23'!C:G,5,FALSE)/M16*N16*1.45,5),0),IF($E$8="Normal",0))</f>
        <v>2175</v>
      </c>
      <c r="T16" s="352"/>
      <c r="U16" s="376">
        <f t="shared" ref="U16:U32" si="0">Q16*O16</f>
        <v>3000</v>
      </c>
      <c r="V16" s="377"/>
      <c r="W16" s="351">
        <f t="shared" ref="W16:W32" si="1">S16*O16</f>
        <v>4350</v>
      </c>
      <c r="X16" s="352"/>
    </row>
    <row r="17" spans="2:24" s="17" customFormat="1" ht="18" customHeight="1">
      <c r="B17" s="15">
        <v>3</v>
      </c>
      <c r="C17" s="5" t="s">
        <v>20</v>
      </c>
      <c r="D17" s="354" t="str">
        <f>IFERROR(VLOOKUP(C17,'Full list.23'!C:K,9,FALSE),0)</f>
        <v>Chemise (CH)</v>
      </c>
      <c r="E17" s="355"/>
      <c r="F17" s="355"/>
      <c r="G17" s="355"/>
      <c r="H17" s="355"/>
      <c r="I17" s="355"/>
      <c r="J17" s="356"/>
      <c r="K17" s="363" t="s">
        <v>1474</v>
      </c>
      <c r="L17" s="364"/>
      <c r="M17" s="16">
        <v>1</v>
      </c>
      <c r="N17" s="16">
        <v>1</v>
      </c>
      <c r="O17" s="544">
        <v>4</v>
      </c>
      <c r="P17" s="545"/>
      <c r="Q17" s="534">
        <f>IFERROR(MROUND(VLOOKUP(C17,'Full list.23'!C:G,5,FALSE)/M17*N17,5),0)</f>
        <v>700</v>
      </c>
      <c r="R17" s="534"/>
      <c r="S17" s="351">
        <f>IF($E$8="Express",IFERROR(MROUND(VLOOKUP(C17,'Full list.23'!C:G,5,FALSE)/M17*N17*1.45,5),0),IF($E$8="Normal",0))</f>
        <v>1015</v>
      </c>
      <c r="T17" s="352"/>
      <c r="U17" s="376">
        <f t="shared" si="0"/>
        <v>2800</v>
      </c>
      <c r="V17" s="377"/>
      <c r="W17" s="351">
        <f t="shared" si="1"/>
        <v>4060</v>
      </c>
      <c r="X17" s="352"/>
    </row>
    <row r="18" spans="2:24" s="17" customFormat="1" ht="18" customHeight="1">
      <c r="B18" s="15">
        <v>4</v>
      </c>
      <c r="C18" s="5"/>
      <c r="D18" s="354">
        <f>IFERROR(VLOOKUP(C18,'Full list.23'!C:K,9,FALSE),0)</f>
        <v>0</v>
      </c>
      <c r="E18" s="355"/>
      <c r="F18" s="355"/>
      <c r="G18" s="355"/>
      <c r="H18" s="355"/>
      <c r="I18" s="355"/>
      <c r="J18" s="356"/>
      <c r="K18" s="363" t="s">
        <v>1474</v>
      </c>
      <c r="L18" s="364"/>
      <c r="M18" s="16">
        <v>1</v>
      </c>
      <c r="N18" s="16">
        <v>1</v>
      </c>
      <c r="O18" s="544"/>
      <c r="P18" s="545"/>
      <c r="Q18" s="534">
        <f>IFERROR(MROUND(VLOOKUP(C18,'Full list.23'!C:G,5,FALSE)/M18*N18,5),0)</f>
        <v>0</v>
      </c>
      <c r="R18" s="534"/>
      <c r="S18" s="351">
        <f>IF($E$8="Express",IFERROR(MROUND(VLOOKUP(C18,'Full list.23'!C:G,5,FALSE)/M18*N18*1.45,5),0),IF($E$8="Normal",0))</f>
        <v>0</v>
      </c>
      <c r="T18" s="352"/>
      <c r="U18" s="376">
        <f t="shared" si="0"/>
        <v>0</v>
      </c>
      <c r="V18" s="377"/>
      <c r="W18" s="351">
        <f t="shared" si="1"/>
        <v>0</v>
      </c>
      <c r="X18" s="352"/>
    </row>
    <row r="19" spans="2:24" s="17" customFormat="1" ht="18" customHeight="1">
      <c r="B19" s="15">
        <v>5</v>
      </c>
      <c r="C19" s="5"/>
      <c r="D19" s="354">
        <f>IFERROR(VLOOKUP(C19,'Full list.23'!C:K,9,FALSE),0)</f>
        <v>0</v>
      </c>
      <c r="E19" s="355"/>
      <c r="F19" s="355"/>
      <c r="G19" s="355"/>
      <c r="H19" s="355"/>
      <c r="I19" s="355"/>
      <c r="J19" s="356"/>
      <c r="K19" s="363" t="s">
        <v>1474</v>
      </c>
      <c r="L19" s="364"/>
      <c r="M19" s="16">
        <v>1</v>
      </c>
      <c r="N19" s="16">
        <v>1</v>
      </c>
      <c r="O19" s="544"/>
      <c r="P19" s="545"/>
      <c r="Q19" s="534">
        <f>IFERROR(MROUND(VLOOKUP(C19,'Full list.23'!C:G,5,FALSE)/M19*N19,5),0)</f>
        <v>0</v>
      </c>
      <c r="R19" s="534"/>
      <c r="S19" s="351">
        <f>IF($E$8="Express",IFERROR(MROUND(VLOOKUP(C19,'Full list.23'!C:G,5,FALSE)/M19*N19*1.45,5),0),IF($E$8="Normal",0))</f>
        <v>0</v>
      </c>
      <c r="T19" s="352"/>
      <c r="U19" s="376">
        <f t="shared" si="0"/>
        <v>0</v>
      </c>
      <c r="V19" s="377"/>
      <c r="W19" s="351">
        <f t="shared" si="1"/>
        <v>0</v>
      </c>
      <c r="X19" s="352"/>
    </row>
    <row r="20" spans="2:24" s="17" customFormat="1" ht="18" customHeight="1">
      <c r="B20" s="15">
        <v>6</v>
      </c>
      <c r="C20" s="5"/>
      <c r="D20" s="354">
        <f>IFERROR(VLOOKUP(C20,'Full list.23'!C:K,9,FALSE),0)</f>
        <v>0</v>
      </c>
      <c r="E20" s="355"/>
      <c r="F20" s="355"/>
      <c r="G20" s="355"/>
      <c r="H20" s="355"/>
      <c r="I20" s="355"/>
      <c r="J20" s="356"/>
      <c r="K20" s="365" t="s">
        <v>1474</v>
      </c>
      <c r="L20" s="365"/>
      <c r="M20" s="16">
        <v>1</v>
      </c>
      <c r="N20" s="16">
        <v>1</v>
      </c>
      <c r="O20" s="544"/>
      <c r="P20" s="545"/>
      <c r="Q20" s="534">
        <f>IFERROR(MROUND(VLOOKUP(C20,'Full list.23'!C:G,5,FALSE)/M20*N20,5),0)</f>
        <v>0</v>
      </c>
      <c r="R20" s="534"/>
      <c r="S20" s="351">
        <f>IF($E$8="Express",IFERROR(MROUND(VLOOKUP(C20,'Full list.23'!C:G,5,FALSE)/M20*N20*1.45,5),0),IF($E$8="Normal",0))</f>
        <v>0</v>
      </c>
      <c r="T20" s="352"/>
      <c r="U20" s="376">
        <f t="shared" si="0"/>
        <v>0</v>
      </c>
      <c r="V20" s="377"/>
      <c r="W20" s="351">
        <f t="shared" si="1"/>
        <v>0</v>
      </c>
      <c r="X20" s="352"/>
    </row>
    <row r="21" spans="2:24" s="17" customFormat="1" ht="18" customHeight="1">
      <c r="B21" s="15">
        <v>7</v>
      </c>
      <c r="C21" s="5"/>
      <c r="D21" s="354">
        <f>IFERROR(VLOOKUP(C21,'Full list.23'!C:K,9,FALSE),0)</f>
        <v>0</v>
      </c>
      <c r="E21" s="355"/>
      <c r="F21" s="355"/>
      <c r="G21" s="355"/>
      <c r="H21" s="355"/>
      <c r="I21" s="355"/>
      <c r="J21" s="356"/>
      <c r="K21" s="365" t="s">
        <v>1474</v>
      </c>
      <c r="L21" s="365"/>
      <c r="M21" s="16">
        <v>1</v>
      </c>
      <c r="N21" s="16">
        <v>1</v>
      </c>
      <c r="O21" s="544"/>
      <c r="P21" s="545"/>
      <c r="Q21" s="534">
        <f>IFERROR(MROUND(VLOOKUP(C21,'Full list.23'!C:G,5,FALSE)/M21*N21,5),0)</f>
        <v>0</v>
      </c>
      <c r="R21" s="534"/>
      <c r="S21" s="351">
        <f>IF($E$8="Express",IFERROR(MROUND(VLOOKUP(C21,'Full list.23'!C:G,5,FALSE)/M21*N21*1.45,5),0),IF($E$8="Normal",0))</f>
        <v>0</v>
      </c>
      <c r="T21" s="352"/>
      <c r="U21" s="376">
        <f t="shared" si="0"/>
        <v>0</v>
      </c>
      <c r="V21" s="377"/>
      <c r="W21" s="351">
        <f t="shared" si="1"/>
        <v>0</v>
      </c>
      <c r="X21" s="352"/>
    </row>
    <row r="22" spans="2:24" s="17" customFormat="1" ht="18" customHeight="1">
      <c r="B22" s="15">
        <v>8</v>
      </c>
      <c r="C22" s="5"/>
      <c r="D22" s="354">
        <f>IFERROR(VLOOKUP(C22,'Full list.23'!C:K,9,FALSE),0)</f>
        <v>0</v>
      </c>
      <c r="E22" s="355"/>
      <c r="F22" s="355"/>
      <c r="G22" s="355"/>
      <c r="H22" s="355"/>
      <c r="I22" s="355"/>
      <c r="J22" s="356"/>
      <c r="K22" s="365" t="s">
        <v>1474</v>
      </c>
      <c r="L22" s="365"/>
      <c r="M22" s="16">
        <v>1</v>
      </c>
      <c r="N22" s="16">
        <v>1</v>
      </c>
      <c r="O22" s="544"/>
      <c r="P22" s="545"/>
      <c r="Q22" s="534">
        <f>IFERROR(MROUND(VLOOKUP(C22,'Full list.23'!C:G,5,FALSE)/M22*N22,5),0)</f>
        <v>0</v>
      </c>
      <c r="R22" s="534"/>
      <c r="S22" s="351">
        <f>IF($E$8="Express",IFERROR(MROUND(VLOOKUP(C22,'Full list.23'!C:G,5,FALSE)/M22*N22*1.45,5),0),IF($E$8="Normal",0))</f>
        <v>0</v>
      </c>
      <c r="T22" s="352"/>
      <c r="U22" s="376">
        <f t="shared" si="0"/>
        <v>0</v>
      </c>
      <c r="V22" s="377"/>
      <c r="W22" s="351">
        <f t="shared" si="1"/>
        <v>0</v>
      </c>
      <c r="X22" s="352"/>
    </row>
    <row r="23" spans="2:24" s="17" customFormat="1" ht="18" customHeight="1">
      <c r="B23" s="15">
        <v>9</v>
      </c>
      <c r="C23" s="5"/>
      <c r="D23" s="354">
        <f>IFERROR(VLOOKUP(C23,'Full list.23'!C:K,9,FALSE),0)</f>
        <v>0</v>
      </c>
      <c r="E23" s="355"/>
      <c r="F23" s="355"/>
      <c r="G23" s="355"/>
      <c r="H23" s="355"/>
      <c r="I23" s="355"/>
      <c r="J23" s="356"/>
      <c r="K23" s="365" t="s">
        <v>1474</v>
      </c>
      <c r="L23" s="365"/>
      <c r="M23" s="16">
        <v>1</v>
      </c>
      <c r="N23" s="16">
        <v>1</v>
      </c>
      <c r="O23" s="544"/>
      <c r="P23" s="545"/>
      <c r="Q23" s="534">
        <f>IFERROR(MROUND(VLOOKUP(C23,'Full list.23'!C:G,5,FALSE)/M23*N23,5),0)</f>
        <v>0</v>
      </c>
      <c r="R23" s="534"/>
      <c r="S23" s="351">
        <f>IF($E$8="Express",IFERROR(MROUND(VLOOKUP(C23,'Full list.23'!C:G,5,FALSE)/M23*N23*1.45,5),0),IF($E$8="Normal",0))</f>
        <v>0</v>
      </c>
      <c r="T23" s="352"/>
      <c r="U23" s="376">
        <f t="shared" si="0"/>
        <v>0</v>
      </c>
      <c r="V23" s="377"/>
      <c r="W23" s="351">
        <f t="shared" si="1"/>
        <v>0</v>
      </c>
      <c r="X23" s="352"/>
    </row>
    <row r="24" spans="2:24" s="17" customFormat="1" ht="18" customHeight="1">
      <c r="B24" s="15">
        <v>10</v>
      </c>
      <c r="C24" s="5"/>
      <c r="D24" s="354">
        <f>IFERROR(VLOOKUP(C24,'Full list.23'!C:K,9,FALSE),0)</f>
        <v>0</v>
      </c>
      <c r="E24" s="355"/>
      <c r="F24" s="355"/>
      <c r="G24" s="355"/>
      <c r="H24" s="355"/>
      <c r="I24" s="355"/>
      <c r="J24" s="356"/>
      <c r="K24" s="365" t="s">
        <v>1474</v>
      </c>
      <c r="L24" s="365"/>
      <c r="M24" s="16">
        <v>1</v>
      </c>
      <c r="N24" s="16">
        <v>1</v>
      </c>
      <c r="O24" s="544"/>
      <c r="P24" s="545"/>
      <c r="Q24" s="534">
        <f>IFERROR(MROUND(VLOOKUP(C24,'Full list.23'!C:G,5,FALSE)/M24*N24,5),0)</f>
        <v>0</v>
      </c>
      <c r="R24" s="534"/>
      <c r="S24" s="351">
        <f>IF($E$8="Express",IFERROR(MROUND(VLOOKUP(C24,'Full list.23'!C:G,5,FALSE)/M24*N24*1.45,5),0),IF($E$8="Normal",0))</f>
        <v>0</v>
      </c>
      <c r="T24" s="352"/>
      <c r="U24" s="376">
        <f t="shared" si="0"/>
        <v>0</v>
      </c>
      <c r="V24" s="377"/>
      <c r="W24" s="351">
        <f t="shared" si="1"/>
        <v>0</v>
      </c>
      <c r="X24" s="352"/>
    </row>
    <row r="25" spans="2:24" s="17" customFormat="1" ht="18" customHeight="1">
      <c r="B25" s="15">
        <v>11</v>
      </c>
      <c r="C25" s="5"/>
      <c r="D25" s="354">
        <f>IFERROR(VLOOKUP(C25,'Full list.23'!C:K,9,FALSE),0)</f>
        <v>0</v>
      </c>
      <c r="E25" s="355"/>
      <c r="F25" s="355"/>
      <c r="G25" s="355"/>
      <c r="H25" s="355"/>
      <c r="I25" s="355"/>
      <c r="J25" s="356"/>
      <c r="K25" s="365" t="s">
        <v>1474</v>
      </c>
      <c r="L25" s="365"/>
      <c r="M25" s="16">
        <v>1</v>
      </c>
      <c r="N25" s="16">
        <v>1</v>
      </c>
      <c r="O25" s="544"/>
      <c r="P25" s="545"/>
      <c r="Q25" s="534">
        <f>IFERROR(MROUND(VLOOKUP(C25,'Full list.23'!C:G,5,FALSE)/M25*N25,5),0)</f>
        <v>0</v>
      </c>
      <c r="R25" s="534"/>
      <c r="S25" s="351">
        <f>IF($E$8="Express",IFERROR(MROUND(VLOOKUP(C25,'Full list.23'!C:G,5,FALSE)/M25*N25*1.45,5),0),IF($E$8="Normal",0))</f>
        <v>0</v>
      </c>
      <c r="T25" s="352"/>
      <c r="U25" s="376">
        <f t="shared" si="0"/>
        <v>0</v>
      </c>
      <c r="V25" s="377"/>
      <c r="W25" s="351">
        <f t="shared" si="1"/>
        <v>0</v>
      </c>
      <c r="X25" s="352"/>
    </row>
    <row r="26" spans="2:24" s="17" customFormat="1" ht="18" customHeight="1">
      <c r="B26" s="15">
        <v>12</v>
      </c>
      <c r="C26" s="5"/>
      <c r="D26" s="354">
        <f>IFERROR(VLOOKUP(C26,'Full list.23'!C:K,9,FALSE),0)</f>
        <v>0</v>
      </c>
      <c r="E26" s="355"/>
      <c r="F26" s="355"/>
      <c r="G26" s="355"/>
      <c r="H26" s="355"/>
      <c r="I26" s="355"/>
      <c r="J26" s="356"/>
      <c r="K26" s="365" t="s">
        <v>1474</v>
      </c>
      <c r="L26" s="365"/>
      <c r="M26" s="16">
        <v>1</v>
      </c>
      <c r="N26" s="16">
        <v>1</v>
      </c>
      <c r="O26" s="544"/>
      <c r="P26" s="545"/>
      <c r="Q26" s="534">
        <f>IFERROR(MROUND(VLOOKUP(C26,'Full list.23'!C:G,5,FALSE)/M26*N26,5),0)</f>
        <v>0</v>
      </c>
      <c r="R26" s="534"/>
      <c r="S26" s="351">
        <f>IF($E$8="Express",IFERROR(MROUND(VLOOKUP(C26,'Full list.23'!C:G,5,FALSE)/M26*N26*1.45,5),0),IF($E$8="Normal",0))</f>
        <v>0</v>
      </c>
      <c r="T26" s="352"/>
      <c r="U26" s="376">
        <f t="shared" si="0"/>
        <v>0</v>
      </c>
      <c r="V26" s="377"/>
      <c r="W26" s="351">
        <f t="shared" si="1"/>
        <v>0</v>
      </c>
      <c r="X26" s="352"/>
    </row>
    <row r="27" spans="2:24" s="17" customFormat="1" ht="18" customHeight="1">
      <c r="B27" s="15">
        <v>13</v>
      </c>
      <c r="C27" s="5"/>
      <c r="D27" s="354">
        <f>IFERROR(VLOOKUP(C27,'Full list.23'!C:K,9,FALSE),0)</f>
        <v>0</v>
      </c>
      <c r="E27" s="355"/>
      <c r="F27" s="355"/>
      <c r="G27" s="355"/>
      <c r="H27" s="355"/>
      <c r="I27" s="355"/>
      <c r="J27" s="356"/>
      <c r="K27" s="365" t="s">
        <v>1474</v>
      </c>
      <c r="L27" s="365"/>
      <c r="M27" s="16">
        <v>1</v>
      </c>
      <c r="N27" s="16">
        <v>1</v>
      </c>
      <c r="O27" s="544"/>
      <c r="P27" s="545"/>
      <c r="Q27" s="534">
        <f>IFERROR(MROUND(VLOOKUP(C27,'Full list.23'!C:G,5,FALSE)/M27*N27,5),0)</f>
        <v>0</v>
      </c>
      <c r="R27" s="534"/>
      <c r="S27" s="351">
        <f>IF($E$8="Express",IFERROR(MROUND(VLOOKUP(C27,'Full list.23'!C:G,5,FALSE)/M27*N27*1.45,5),0),IF($E$8="Normal",0))</f>
        <v>0</v>
      </c>
      <c r="T27" s="352"/>
      <c r="U27" s="376">
        <f t="shared" si="0"/>
        <v>0</v>
      </c>
      <c r="V27" s="377"/>
      <c r="W27" s="351">
        <f t="shared" si="1"/>
        <v>0</v>
      </c>
      <c r="X27" s="352"/>
    </row>
    <row r="28" spans="2:24" s="17" customFormat="1" ht="18" customHeight="1">
      <c r="B28" s="15">
        <v>14</v>
      </c>
      <c r="C28" s="5"/>
      <c r="D28" s="354">
        <f>IFERROR(VLOOKUP(C28,'Full list.23'!C:K,9,FALSE),0)</f>
        <v>0</v>
      </c>
      <c r="E28" s="355"/>
      <c r="F28" s="355"/>
      <c r="G28" s="355"/>
      <c r="H28" s="355"/>
      <c r="I28" s="355"/>
      <c r="J28" s="356"/>
      <c r="K28" s="365" t="s">
        <v>1474</v>
      </c>
      <c r="L28" s="365"/>
      <c r="M28" s="16">
        <v>1</v>
      </c>
      <c r="N28" s="16">
        <v>1</v>
      </c>
      <c r="O28" s="544"/>
      <c r="P28" s="545"/>
      <c r="Q28" s="534">
        <f>IFERROR(MROUND(VLOOKUP(C28,'Full list.23'!C:G,5,FALSE)/M28*N28,5),0)</f>
        <v>0</v>
      </c>
      <c r="R28" s="534"/>
      <c r="S28" s="351">
        <f>IF($E$8="Express",IFERROR(MROUND(VLOOKUP(C28,'Full list.23'!C:G,5,FALSE)/M28*N28*1.45,5),0),IF($E$8="Normal",0))</f>
        <v>0</v>
      </c>
      <c r="T28" s="352"/>
      <c r="U28" s="376">
        <f t="shared" si="0"/>
        <v>0</v>
      </c>
      <c r="V28" s="377"/>
      <c r="W28" s="351">
        <f t="shared" si="1"/>
        <v>0</v>
      </c>
      <c r="X28" s="352"/>
    </row>
    <row r="29" spans="2:24" s="17" customFormat="1" ht="18" customHeight="1">
      <c r="B29" s="15">
        <v>15</v>
      </c>
      <c r="C29" s="5"/>
      <c r="D29" s="354">
        <f>IFERROR(VLOOKUP(C29,'Full list.23'!C:K,9,FALSE),0)</f>
        <v>0</v>
      </c>
      <c r="E29" s="355"/>
      <c r="F29" s="355"/>
      <c r="G29" s="355"/>
      <c r="H29" s="355"/>
      <c r="I29" s="355"/>
      <c r="J29" s="356"/>
      <c r="K29" s="365" t="s">
        <v>1474</v>
      </c>
      <c r="L29" s="365"/>
      <c r="M29" s="16">
        <v>1</v>
      </c>
      <c r="N29" s="16">
        <v>1</v>
      </c>
      <c r="O29" s="544"/>
      <c r="P29" s="545"/>
      <c r="Q29" s="534">
        <f>IFERROR(MROUND(VLOOKUP(C29,'Full list.23'!C:G,5,FALSE)/M29*N29,5),0)</f>
        <v>0</v>
      </c>
      <c r="R29" s="534"/>
      <c r="S29" s="351">
        <f>IF($E$8="Express",IFERROR(MROUND(VLOOKUP(C29,'Full list.23'!C:G,5,FALSE)/M29*N29*1.45,5),0),IF($E$8="Normal",0))</f>
        <v>0</v>
      </c>
      <c r="T29" s="352"/>
      <c r="U29" s="376">
        <f t="shared" si="0"/>
        <v>0</v>
      </c>
      <c r="V29" s="377"/>
      <c r="W29" s="351">
        <f t="shared" si="1"/>
        <v>0</v>
      </c>
      <c r="X29" s="352"/>
    </row>
    <row r="30" spans="2:24" s="17" customFormat="1" ht="18" customHeight="1">
      <c r="B30" s="15">
        <v>16</v>
      </c>
      <c r="C30" s="5"/>
      <c r="D30" s="354">
        <f>IFERROR(VLOOKUP(C30,'Full list.23'!C:K,9,FALSE),0)</f>
        <v>0</v>
      </c>
      <c r="E30" s="355"/>
      <c r="F30" s="355"/>
      <c r="G30" s="355"/>
      <c r="H30" s="355"/>
      <c r="I30" s="355"/>
      <c r="J30" s="356"/>
      <c r="K30" s="365" t="s">
        <v>1474</v>
      </c>
      <c r="L30" s="365"/>
      <c r="M30" s="16">
        <v>1</v>
      </c>
      <c r="N30" s="16">
        <v>1</v>
      </c>
      <c r="O30" s="544"/>
      <c r="P30" s="545"/>
      <c r="Q30" s="534">
        <f>IFERROR(MROUND(VLOOKUP(C30,'Full list.23'!C:G,5,FALSE)/M30*N30,5),0)</f>
        <v>0</v>
      </c>
      <c r="R30" s="534"/>
      <c r="S30" s="351">
        <f>IF($E$8="Express",IFERROR(MROUND(VLOOKUP(C30,'Full list.23'!C:G,5,FALSE)/M30*N30*1.45,5),0),IF($E$8="Normal",0))</f>
        <v>0</v>
      </c>
      <c r="T30" s="352"/>
      <c r="U30" s="376">
        <f t="shared" si="0"/>
        <v>0</v>
      </c>
      <c r="V30" s="377"/>
      <c r="W30" s="351">
        <f t="shared" si="1"/>
        <v>0</v>
      </c>
      <c r="X30" s="352"/>
    </row>
    <row r="31" spans="2:24" s="17" customFormat="1" ht="17.55" customHeight="1">
      <c r="B31" s="15">
        <v>17</v>
      </c>
      <c r="C31" s="5"/>
      <c r="D31" s="354">
        <f>IFERROR(VLOOKUP(C31,'Full list.23'!C:K,9,FALSE),0)</f>
        <v>0</v>
      </c>
      <c r="E31" s="355"/>
      <c r="F31" s="355"/>
      <c r="G31" s="355"/>
      <c r="H31" s="355"/>
      <c r="I31" s="355"/>
      <c r="J31" s="356"/>
      <c r="K31" s="365" t="s">
        <v>1474</v>
      </c>
      <c r="L31" s="365"/>
      <c r="M31" s="16">
        <v>1</v>
      </c>
      <c r="N31" s="16">
        <v>1</v>
      </c>
      <c r="O31" s="544"/>
      <c r="P31" s="545"/>
      <c r="Q31" s="534">
        <f>IFERROR(MROUND(VLOOKUP(C31,'Full list.23'!C:G,5,FALSE)/M31*N31,5),0)</f>
        <v>0</v>
      </c>
      <c r="R31" s="534"/>
      <c r="S31" s="351">
        <f>IF($E$8="Express",IFERROR(MROUND(VLOOKUP(C31,'Full list.23'!C:G,5,FALSE)/M31*N31*1.45,5),0),IF($E$8="Normal",0))</f>
        <v>0</v>
      </c>
      <c r="T31" s="352"/>
      <c r="U31" s="376">
        <f t="shared" si="0"/>
        <v>0</v>
      </c>
      <c r="V31" s="377"/>
      <c r="W31" s="351">
        <f t="shared" si="1"/>
        <v>0</v>
      </c>
      <c r="X31" s="352"/>
    </row>
    <row r="32" spans="2:24" s="17" customFormat="1" ht="15" customHeight="1" thickBot="1">
      <c r="B32" s="15">
        <v>20</v>
      </c>
      <c r="C32" s="5"/>
      <c r="D32" s="354">
        <f>IFERROR(VLOOKUP(C32,'Full list.23'!C:K,9,FALSE),0)</f>
        <v>0</v>
      </c>
      <c r="E32" s="355"/>
      <c r="F32" s="355"/>
      <c r="G32" s="355"/>
      <c r="H32" s="355"/>
      <c r="I32" s="355"/>
      <c r="J32" s="356"/>
      <c r="K32" s="365" t="s">
        <v>1474</v>
      </c>
      <c r="L32" s="365"/>
      <c r="M32" s="16">
        <v>1</v>
      </c>
      <c r="N32" s="16">
        <v>1</v>
      </c>
      <c r="O32" s="544"/>
      <c r="P32" s="545"/>
      <c r="Q32" s="534">
        <f>IFERROR(MROUND(VLOOKUP(C32,'Full list.23'!C:G,5,FALSE)/M32*N32,5),0)</f>
        <v>0</v>
      </c>
      <c r="R32" s="534"/>
      <c r="S32" s="351">
        <f>IF($E$8="Express",IFERROR(MROUND(VLOOKUP(C32,'Full list.23'!C:G,5,FALSE)/M32*N32*1.45,5),0),IF($E$8="Normal",0))</f>
        <v>0</v>
      </c>
      <c r="T32" s="352"/>
      <c r="U32" s="376">
        <f t="shared" si="0"/>
        <v>0</v>
      </c>
      <c r="V32" s="377"/>
      <c r="W32" s="351">
        <f t="shared" si="1"/>
        <v>0</v>
      </c>
      <c r="X32" s="352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>
        <v>10</v>
      </c>
      <c r="H33" s="578"/>
      <c r="I33" s="579"/>
      <c r="J33" s="574" t="s">
        <v>1752</v>
      </c>
      <c r="K33" s="575"/>
      <c r="L33" s="575"/>
      <c r="M33" s="575"/>
      <c r="N33" s="580"/>
      <c r="O33" s="600">
        <f>SUM(O16:P32)</f>
        <v>6</v>
      </c>
      <c r="P33" s="601"/>
      <c r="Q33" s="618" t="s">
        <v>1753</v>
      </c>
      <c r="R33" s="619"/>
      <c r="S33" s="619"/>
      <c r="T33" s="620"/>
      <c r="U33" s="615">
        <f>IF(E8="Express",SUM(W15:X32)+U15,SUM(U15:V32))</f>
        <v>9850</v>
      </c>
      <c r="V33" s="615"/>
      <c r="W33" s="615"/>
      <c r="X33" s="616"/>
    </row>
    <row r="34" spans="1:26" ht="13.05" customHeight="1">
      <c r="C34" s="242"/>
      <c r="E34" s="243"/>
      <c r="F34" s="243"/>
      <c r="G34" s="243"/>
      <c r="H34" s="243"/>
      <c r="I34" s="243"/>
      <c r="J34" s="513" t="s">
        <v>156</v>
      </c>
      <c r="K34" s="513"/>
      <c r="L34" s="513"/>
      <c r="M34" s="513"/>
      <c r="N34" s="513"/>
      <c r="O34" s="598">
        <v>2</v>
      </c>
      <c r="P34" s="598"/>
      <c r="Q34" s="630">
        <v>200</v>
      </c>
      <c r="R34" s="631"/>
      <c r="S34" s="631"/>
      <c r="T34" s="632"/>
      <c r="U34" s="639">
        <f>+Q34*O34</f>
        <v>400</v>
      </c>
      <c r="V34" s="640"/>
      <c r="W34" s="640"/>
      <c r="X34" s="641"/>
    </row>
    <row r="35" spans="1:26" ht="13.05" customHeight="1">
      <c r="C35" s="242"/>
      <c r="E35" s="243"/>
      <c r="F35" s="243"/>
      <c r="G35" s="243"/>
      <c r="H35" s="243"/>
      <c r="I35" s="243"/>
      <c r="J35" s="514" t="s">
        <v>157</v>
      </c>
      <c r="K35" s="514"/>
      <c r="L35" s="514"/>
      <c r="M35" s="514"/>
      <c r="N35" s="514"/>
      <c r="O35" s="613">
        <v>1</v>
      </c>
      <c r="P35" s="614"/>
      <c r="Q35" s="633">
        <v>1000</v>
      </c>
      <c r="R35" s="634"/>
      <c r="S35" s="634"/>
      <c r="T35" s="635"/>
      <c r="U35" s="642">
        <f t="shared" ref="U35:U36" si="2">+Q35*O35</f>
        <v>1000</v>
      </c>
      <c r="V35" s="643"/>
      <c r="W35" s="643"/>
      <c r="X35" s="644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624" t="s">
        <v>1761</v>
      </c>
      <c r="K36" s="624"/>
      <c r="L36" s="624"/>
      <c r="M36" s="624"/>
      <c r="N36" s="624"/>
      <c r="O36" s="613">
        <v>3</v>
      </c>
      <c r="P36" s="614"/>
      <c r="Q36" s="636">
        <v>200</v>
      </c>
      <c r="R36" s="637"/>
      <c r="S36" s="637"/>
      <c r="T36" s="638"/>
      <c r="U36" s="645">
        <f t="shared" si="2"/>
        <v>600</v>
      </c>
      <c r="V36" s="646"/>
      <c r="W36" s="646"/>
      <c r="X36" s="647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621" t="s">
        <v>1762</v>
      </c>
      <c r="K37" s="622"/>
      <c r="L37" s="622"/>
      <c r="M37" s="622"/>
      <c r="N37" s="623"/>
      <c r="O37" s="625">
        <f>IF(N12="Kwabo",27%,IF(N12="Tchéké",24%,IF(N12="Kankpé",24%,IF(N12="Gankpo",25%))))</f>
        <v>0.24</v>
      </c>
      <c r="P37" s="626"/>
      <c r="Q37" s="610" t="s">
        <v>1760</v>
      </c>
      <c r="R37" s="617"/>
      <c r="S37" s="617"/>
      <c r="T37" s="611"/>
      <c r="U37" s="608">
        <f>W37/(U33-K49)</f>
        <v>0</v>
      </c>
      <c r="V37" s="609"/>
      <c r="W37" s="610">
        <f>IF(U33&gt;K49,IF(N12="kwabo",(U33-K49)*0,IF(N12="tchéké",(U33-K49)*0.05,IF(N12="Kankpé",(U33-K49)*0.07,IF(N12="Gankpo",(U33-K49)*0.1)))),0)</f>
        <v>0</v>
      </c>
      <c r="X37" s="611"/>
    </row>
    <row r="38" spans="1:26" ht="15.45" customHeight="1" thickBot="1">
      <c r="Q38" s="648" t="s">
        <v>1757</v>
      </c>
      <c r="R38" s="649"/>
      <c r="S38" s="649"/>
      <c r="T38" s="649"/>
      <c r="U38" s="627">
        <f>U33+U34+U35+U36-W37</f>
        <v>11850</v>
      </c>
      <c r="V38" s="628"/>
      <c r="W38" s="628"/>
      <c r="X38" s="629"/>
      <c r="Y38" s="244"/>
    </row>
    <row r="39" spans="1:26" ht="16.95" customHeight="1">
      <c r="B39" s="14"/>
      <c r="C39" s="249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12" t="s">
        <v>1749</v>
      </c>
      <c r="R39" s="612"/>
      <c r="S39" s="612"/>
      <c r="T39" s="612"/>
      <c r="U39" s="602">
        <f>U15</f>
        <v>1440</v>
      </c>
      <c r="V39" s="603"/>
      <c r="W39" s="603"/>
      <c r="X39" s="604"/>
      <c r="Y39" s="18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605">
        <f>+U38-U39</f>
        <v>10410</v>
      </c>
      <c r="V40" s="606"/>
      <c r="W40" s="606"/>
      <c r="X40" s="607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560" t="s">
        <v>163</v>
      </c>
      <c r="R42" s="560"/>
      <c r="S42" s="560"/>
      <c r="T42" s="560"/>
      <c r="U42" s="561">
        <f>IF(N49&lt;0,-N49,0)</f>
        <v>0</v>
      </c>
      <c r="V42" s="561"/>
      <c r="W42" s="561"/>
      <c r="X42" s="562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</row>
    <row r="44" spans="1:26" ht="14.4">
      <c r="B44" s="19"/>
      <c r="D44" s="166"/>
      <c r="G44" s="565" t="s">
        <v>1745</v>
      </c>
      <c r="H44" s="566"/>
      <c r="I44" s="566"/>
      <c r="J44" s="566"/>
      <c r="K44" s="566"/>
      <c r="L44" s="566"/>
      <c r="M44" s="566"/>
      <c r="N44" s="566"/>
      <c r="O44" s="566"/>
      <c r="P44" s="566"/>
      <c r="Q44" s="563" t="s">
        <v>1764</v>
      </c>
      <c r="R44" s="563"/>
      <c r="S44" s="564"/>
      <c r="T44" s="235"/>
      <c r="U44" s="235"/>
      <c r="V44" s="169"/>
      <c r="W44" s="169"/>
      <c r="X44" s="169"/>
      <c r="Y44" s="245"/>
    </row>
    <row r="45" spans="1:26">
      <c r="B45" s="19"/>
      <c r="D45" s="166"/>
      <c r="G45" s="584" t="s">
        <v>1754</v>
      </c>
      <c r="H45" s="585"/>
      <c r="I45" s="585"/>
      <c r="J45" s="586"/>
      <c r="K45" s="584" t="s">
        <v>1746</v>
      </c>
      <c r="L45" s="585"/>
      <c r="M45" s="586"/>
      <c r="N45" s="587" t="s">
        <v>1766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IF(N12="kwabo",7900,IF(N12="tchéké",14900,IF(N12="kankpé",24900,IF(N12="Gankpo",44900))))</f>
        <v>24900</v>
      </c>
      <c r="L46" s="588"/>
      <c r="M46" s="588"/>
      <c r="N46" s="596">
        <f>IF(U38&lt;=K46,K46-U38,0)</f>
        <v>13050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IF(N12="kwabo",0,IF(N12="tchéké",1800,IF(N12="kankpé",3000,IF(N12="Gankpo",3000))))</f>
        <v>3000</v>
      </c>
      <c r="L47" s="590"/>
      <c r="M47" s="590"/>
      <c r="N47" s="597">
        <f>IF(N12="Tchéké",K47-U39,IF(N12="Kankpé",K47-U39,IF(N12="Gankpo",K47-U39,IF(N12="Kwabo",0))))</f>
        <v>1560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C48" s="250"/>
      <c r="D48" s="166"/>
      <c r="G48" s="593" t="s">
        <v>1743</v>
      </c>
      <c r="H48" s="594"/>
      <c r="I48" s="594"/>
      <c r="J48" s="595"/>
      <c r="K48" s="581">
        <f>IF(N12="kwabo",0,IF(N12="tchéké",16200,IF(N12="kankpé",27000,IF(N12="Gankpo",52000))))</f>
        <v>27000</v>
      </c>
      <c r="L48" s="582"/>
      <c r="M48" s="583"/>
      <c r="N48" s="581">
        <f>IF(N12="tchéké",K48-U40,IF(N12="kankpé",K48-U40,IF(N12="gankpo",K48-U40,IF(N12="kwabo",K49-U38))))</f>
        <v>16590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548" t="s">
        <v>1755</v>
      </c>
      <c r="H49" s="549"/>
      <c r="I49" s="549"/>
      <c r="J49" s="550"/>
      <c r="K49" s="551">
        <f>IF(N12="kwabo",10000,IF(N12="tchéké",18000,IF(N12="kankpé",30000,IF(N12="gankpo",55000))))</f>
        <v>30000</v>
      </c>
      <c r="L49" s="552"/>
      <c r="M49" s="553"/>
      <c r="N49" s="554">
        <f>N47+N48</f>
        <v>18150</v>
      </c>
      <c r="O49" s="555"/>
      <c r="P49" s="556"/>
      <c r="Q49" s="557" t="s">
        <v>1756</v>
      </c>
      <c r="R49" s="558"/>
      <c r="S49" s="559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4"/>
      <c r="C51" s="254"/>
      <c r="D51" s="253"/>
      <c r="E51" s="253"/>
      <c r="F51" s="547" t="s">
        <v>1779</v>
      </c>
      <c r="G51" s="547"/>
      <c r="H51" s="547"/>
      <c r="I51" s="547"/>
      <c r="J51" s="547"/>
      <c r="K51" s="255" t="s">
        <v>1778</v>
      </c>
      <c r="L51" s="256">
        <f ca="1">(DAYS360(EOMONTH(E6,-1)+1,EOMONTH(E6,0))+1)-DAYS360(EOMONTH(E6,-1)+1,E6+1)</f>
        <v>4</v>
      </c>
      <c r="M51" s="546" t="s">
        <v>1777</v>
      </c>
      <c r="N51" s="546"/>
      <c r="O51" s="546"/>
      <c r="P51" s="546"/>
      <c r="Q51" s="546"/>
      <c r="R51" s="546"/>
      <c r="S51" s="546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J37:N37"/>
    <mergeCell ref="J34:N34"/>
    <mergeCell ref="J35:N35"/>
    <mergeCell ref="J36:N36"/>
    <mergeCell ref="O37:P37"/>
    <mergeCell ref="U38:X38"/>
    <mergeCell ref="Q34:T34"/>
    <mergeCell ref="Q35:T35"/>
    <mergeCell ref="Q36:T36"/>
    <mergeCell ref="U34:X34"/>
    <mergeCell ref="U35:X35"/>
    <mergeCell ref="U36:X36"/>
    <mergeCell ref="O36:P36"/>
    <mergeCell ref="Q38:T38"/>
    <mergeCell ref="O33:P33"/>
    <mergeCell ref="U39:X39"/>
    <mergeCell ref="U40:X40"/>
    <mergeCell ref="U37:V37"/>
    <mergeCell ref="W37:X37"/>
    <mergeCell ref="Q39:T39"/>
    <mergeCell ref="O35:P35"/>
    <mergeCell ref="U33:X33"/>
    <mergeCell ref="Q37:T37"/>
    <mergeCell ref="Q33:T33"/>
    <mergeCell ref="R41:T41"/>
    <mergeCell ref="U41:V41"/>
    <mergeCell ref="W41:X41"/>
    <mergeCell ref="B33:F33"/>
    <mergeCell ref="G33:I33"/>
    <mergeCell ref="J33:N33"/>
    <mergeCell ref="K48:M48"/>
    <mergeCell ref="N48:P48"/>
    <mergeCell ref="G45:J45"/>
    <mergeCell ref="Q45:S45"/>
    <mergeCell ref="Q46:S46"/>
    <mergeCell ref="Q47:S47"/>
    <mergeCell ref="Q48:S48"/>
    <mergeCell ref="K47:M47"/>
    <mergeCell ref="K45:M45"/>
    <mergeCell ref="N45:P45"/>
    <mergeCell ref="G46:J46"/>
    <mergeCell ref="G47:J47"/>
    <mergeCell ref="G48:J48"/>
    <mergeCell ref="N46:P46"/>
    <mergeCell ref="K46:M46"/>
    <mergeCell ref="N47:P47"/>
    <mergeCell ref="O34:P34"/>
    <mergeCell ref="Q40:T40"/>
    <mergeCell ref="M51:S51"/>
    <mergeCell ref="F51:J51"/>
    <mergeCell ref="D32:J32"/>
    <mergeCell ref="K32:L32"/>
    <mergeCell ref="Q32:R32"/>
    <mergeCell ref="S32:T32"/>
    <mergeCell ref="U32:V32"/>
    <mergeCell ref="W32:X32"/>
    <mergeCell ref="D31:J31"/>
    <mergeCell ref="K31:L31"/>
    <mergeCell ref="Q31:R31"/>
    <mergeCell ref="S31:T31"/>
    <mergeCell ref="U31:V31"/>
    <mergeCell ref="W31:X31"/>
    <mergeCell ref="O31:P31"/>
    <mergeCell ref="O32:P32"/>
    <mergeCell ref="G49:J49"/>
    <mergeCell ref="K49:M49"/>
    <mergeCell ref="N49:P49"/>
    <mergeCell ref="Q49:S49"/>
    <mergeCell ref="Q42:T42"/>
    <mergeCell ref="U42:X42"/>
    <mergeCell ref="Q44:S44"/>
    <mergeCell ref="G44:P44"/>
    <mergeCell ref="D30:J30"/>
    <mergeCell ref="K30:L30"/>
    <mergeCell ref="Q30:R30"/>
    <mergeCell ref="S30:T30"/>
    <mergeCell ref="U30:V30"/>
    <mergeCell ref="W30:X30"/>
    <mergeCell ref="D29:J29"/>
    <mergeCell ref="K29:L29"/>
    <mergeCell ref="Q29:R29"/>
    <mergeCell ref="S29:T29"/>
    <mergeCell ref="U29:V29"/>
    <mergeCell ref="W29:X29"/>
    <mergeCell ref="O29:P29"/>
    <mergeCell ref="O30:P30"/>
    <mergeCell ref="D28:J28"/>
    <mergeCell ref="K28:L28"/>
    <mergeCell ref="Q28:R28"/>
    <mergeCell ref="S28:T28"/>
    <mergeCell ref="U28:V28"/>
    <mergeCell ref="W28:X28"/>
    <mergeCell ref="D27:J27"/>
    <mergeCell ref="K27:L27"/>
    <mergeCell ref="Q27:R27"/>
    <mergeCell ref="S27:T27"/>
    <mergeCell ref="U27:V27"/>
    <mergeCell ref="W27:X27"/>
    <mergeCell ref="O27:P27"/>
    <mergeCell ref="O28:P28"/>
    <mergeCell ref="D26:J26"/>
    <mergeCell ref="K26:L26"/>
    <mergeCell ref="Q26:R26"/>
    <mergeCell ref="S26:T26"/>
    <mergeCell ref="U26:V26"/>
    <mergeCell ref="W26:X26"/>
    <mergeCell ref="D25:J25"/>
    <mergeCell ref="K25:L25"/>
    <mergeCell ref="Q25:R25"/>
    <mergeCell ref="S25:T25"/>
    <mergeCell ref="U25:V25"/>
    <mergeCell ref="W25:X25"/>
    <mergeCell ref="O25:P25"/>
    <mergeCell ref="O26:P26"/>
    <mergeCell ref="D24:J24"/>
    <mergeCell ref="K24:L24"/>
    <mergeCell ref="Q24:R24"/>
    <mergeCell ref="S24:T24"/>
    <mergeCell ref="U24:V24"/>
    <mergeCell ref="W24:X24"/>
    <mergeCell ref="D23:J23"/>
    <mergeCell ref="K23:L23"/>
    <mergeCell ref="Q23:R23"/>
    <mergeCell ref="S23:T23"/>
    <mergeCell ref="U23:V23"/>
    <mergeCell ref="W23:X23"/>
    <mergeCell ref="O23:P23"/>
    <mergeCell ref="O24:P24"/>
    <mergeCell ref="D22:J22"/>
    <mergeCell ref="K22:L22"/>
    <mergeCell ref="Q22:R22"/>
    <mergeCell ref="S22:T22"/>
    <mergeCell ref="U22:V22"/>
    <mergeCell ref="W22:X22"/>
    <mergeCell ref="D21:J21"/>
    <mergeCell ref="K21:L21"/>
    <mergeCell ref="Q21:R21"/>
    <mergeCell ref="S21:T21"/>
    <mergeCell ref="U21:V21"/>
    <mergeCell ref="W21:X21"/>
    <mergeCell ref="O21:P21"/>
    <mergeCell ref="O22:P22"/>
    <mergeCell ref="D20:J20"/>
    <mergeCell ref="K20:L20"/>
    <mergeCell ref="Q20:R20"/>
    <mergeCell ref="S20:T20"/>
    <mergeCell ref="U20:V20"/>
    <mergeCell ref="W20:X20"/>
    <mergeCell ref="D19:J19"/>
    <mergeCell ref="K19:L19"/>
    <mergeCell ref="Q19:R19"/>
    <mergeCell ref="S19:T19"/>
    <mergeCell ref="U19:V19"/>
    <mergeCell ref="W19:X19"/>
    <mergeCell ref="O19:P19"/>
    <mergeCell ref="O20:P20"/>
    <mergeCell ref="D18:J18"/>
    <mergeCell ref="K18:L18"/>
    <mergeCell ref="Q18:R18"/>
    <mergeCell ref="S18:T18"/>
    <mergeCell ref="U18:V18"/>
    <mergeCell ref="W18:X18"/>
    <mergeCell ref="D17:J17"/>
    <mergeCell ref="K17:L17"/>
    <mergeCell ref="Q17:R17"/>
    <mergeCell ref="S17:T17"/>
    <mergeCell ref="U17:V17"/>
    <mergeCell ref="W17:X17"/>
    <mergeCell ref="O17:P17"/>
    <mergeCell ref="O18:P18"/>
    <mergeCell ref="D16:J16"/>
    <mergeCell ref="K16:L16"/>
    <mergeCell ref="Q16:R16"/>
    <mergeCell ref="S16:T16"/>
    <mergeCell ref="U16:V16"/>
    <mergeCell ref="W16:X16"/>
    <mergeCell ref="D15:J15"/>
    <mergeCell ref="K15:L15"/>
    <mergeCell ref="Q15:R15"/>
    <mergeCell ref="S15:T15"/>
    <mergeCell ref="U15:V15"/>
    <mergeCell ref="W15:X15"/>
    <mergeCell ref="O15:P15"/>
    <mergeCell ref="O16:P16"/>
    <mergeCell ref="D14:J14"/>
    <mergeCell ref="K14:L14"/>
    <mergeCell ref="Q14:R14"/>
    <mergeCell ref="S14:T14"/>
    <mergeCell ref="U14:V14"/>
    <mergeCell ref="W14:X14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O14:P14"/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</mergeCells>
  <conditionalFormatting sqref="B51:X51">
    <cfRule type="expression" dxfId="17" priority="2">
      <formula>$L$51&gt;11</formula>
    </cfRule>
    <cfRule type="expression" dxfId="16" priority="3">
      <formula>$L$51&lt;=11</formula>
    </cfRule>
  </conditionalFormatting>
  <conditionalFormatting sqref="K51:L51">
    <cfRule type="expression" dxfId="15" priority="1">
      <formula>$L$51&lt;=11</formula>
    </cfRule>
  </conditionalFormatting>
  <dataValidations count="4">
    <dataValidation type="list" allowBlank="1" showInputMessage="1" showErrorMessage="1" sqref="K15:L32" xr:uid="{A19D0C6A-A3FC-4AC8-86AC-E204D2C4A6A8}">
      <formula1>"Bébé,Enfant,Repassage,Express,_"</formula1>
    </dataValidation>
    <dataValidation type="list" allowBlank="1" showInputMessage="1" showErrorMessage="1" sqref="E8:G8" xr:uid="{B74C85BE-7F72-453B-8E71-82FFF271BACD}">
      <formula1>"Express,Normal"</formula1>
    </dataValidation>
    <dataValidation type="list" allowBlank="1" showInputMessage="1" showErrorMessage="1" sqref="S12:T12" xr:uid="{9EF7F60B-5287-44D5-BCD8-041B2F9740F9}">
      <formula1>"OUI,NON"</formula1>
    </dataValidation>
    <dataValidation type="list" allowBlank="1" showInputMessage="1" showErrorMessage="1" sqref="N12:P12" xr:uid="{56A57E35-A30B-4F0B-A30C-C6142D92A432}">
      <formula1>"Kwabo,Tchéké,Kankpé,Gankpo"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F38C-043E-4AA3-A799-B85007D764D6}">
  <sheetPr>
    <tabColor rgb="FF00B0F0"/>
  </sheetPr>
  <dimension ref="A1:AA58"/>
  <sheetViews>
    <sheetView topLeftCell="C2" zoomScale="90" zoomScaleNormal="90" workbookViewId="0">
      <selection activeCell="O23" sqref="O23:P23"/>
    </sheetView>
  </sheetViews>
  <sheetFormatPr baseColWidth="10" defaultColWidth="8.88671875" defaultRowHeight="13.8"/>
  <cols>
    <col min="1" max="1" width="1.33203125" style="14" customWidth="1"/>
    <col min="2" max="2" width="3.77734375" style="9" customWidth="1"/>
    <col min="3" max="3" width="6.44140625" style="9" customWidth="1"/>
    <col min="4" max="4" width="4.21875" style="140" customWidth="1"/>
    <col min="5" max="5" width="4.77734375" style="10" customWidth="1"/>
    <col min="6" max="6" width="1.21875" style="10" customWidth="1"/>
    <col min="7" max="7" width="8.21875" style="10" customWidth="1"/>
    <col min="8" max="8" width="1" style="10" customWidth="1"/>
    <col min="9" max="9" width="7.44140625" style="10" customWidth="1"/>
    <col min="10" max="10" width="2.21875" style="10" customWidth="1"/>
    <col min="11" max="11" width="3.77734375" style="10" customWidth="1"/>
    <col min="12" max="12" width="5.5546875" style="10" customWidth="1"/>
    <col min="13" max="14" width="5.109375" style="9" customWidth="1"/>
    <col min="15" max="15" width="3.77734375" style="12" customWidth="1"/>
    <col min="16" max="16" width="3.77734375" style="9" customWidth="1"/>
    <col min="17" max="17" width="5.5546875" style="11" customWidth="1"/>
    <col min="18" max="18" width="5.5546875" style="12" customWidth="1"/>
    <col min="19" max="19" width="5.109375" style="12" customWidth="1"/>
    <col min="20" max="20" width="6.21875" style="12" customWidth="1"/>
    <col min="21" max="21" width="5.109375" style="12" customWidth="1"/>
    <col min="22" max="24" width="5.109375" style="13" customWidth="1"/>
    <col min="25" max="25" width="13.88671875" style="14" customWidth="1"/>
    <col min="26" max="26" width="10.21875" style="14" bestFit="1" customWidth="1"/>
    <col min="27" max="27" width="9.33203125" style="14" bestFit="1" customWidth="1"/>
    <col min="28" max="16384" width="8.88671875" style="14"/>
  </cols>
  <sheetData>
    <row r="1" spans="2:27" ht="15" customHeight="1"/>
    <row r="2" spans="2:27" ht="81" customHeight="1">
      <c r="Z2"/>
    </row>
    <row r="3" spans="2:27" ht="18.600000000000001" customHeight="1">
      <c r="B3" s="382" t="s">
        <v>1763</v>
      </c>
      <c r="C3" s="382"/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</row>
    <row r="4" spans="2:27" s="3" customFormat="1" ht="10.5" customHeight="1" thickBot="1">
      <c r="B4" s="126"/>
      <c r="C4" s="126"/>
      <c r="D4" s="141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2:27" s="3" customFormat="1" ht="13.95" customHeight="1">
      <c r="D5" s="142"/>
      <c r="L5" s="389" t="s">
        <v>1468</v>
      </c>
      <c r="M5" s="390"/>
      <c r="N5" s="390"/>
      <c r="O5" s="390"/>
      <c r="P5" s="390"/>
      <c r="Q5" s="391"/>
      <c r="R5" s="157"/>
      <c r="S5" s="157"/>
      <c r="T5" s="157"/>
      <c r="U5" s="157"/>
      <c r="V5" s="124"/>
      <c r="W5" s="124"/>
      <c r="Y5"/>
    </row>
    <row r="6" spans="2:27" s="3" customFormat="1" ht="13.95" customHeight="1" thickBot="1">
      <c r="B6" s="408" t="s">
        <v>1476</v>
      </c>
      <c r="C6" s="408"/>
      <c r="D6" s="408"/>
      <c r="E6" s="407">
        <f ca="1">TODAY()</f>
        <v>45531</v>
      </c>
      <c r="F6" s="407"/>
      <c r="G6" s="407"/>
      <c r="H6" s="158"/>
      <c r="L6" s="392"/>
      <c r="M6" s="393"/>
      <c r="N6" s="393"/>
      <c r="O6" s="393"/>
      <c r="P6" s="393"/>
      <c r="Q6" s="394"/>
      <c r="S6" s="400" t="s">
        <v>145</v>
      </c>
      <c r="T6" s="400"/>
      <c r="U6" s="400"/>
      <c r="V6" s="395">
        <f>IF(E8="Normal",WORKDAY.INTL(I7,3,11,Fériés!A:A),IF(E8="Express",WORKDAY.INTL(I7,1,11,Fériés!A:A)))</f>
        <v>45386</v>
      </c>
      <c r="W6" s="395"/>
      <c r="X6" s="395"/>
      <c r="Y6" s="162"/>
    </row>
    <row r="7" spans="2:27" s="3" customFormat="1" ht="13.95" customHeight="1">
      <c r="B7" s="398" t="s">
        <v>143</v>
      </c>
      <c r="C7" s="398"/>
      <c r="D7" s="398"/>
      <c r="E7" s="3">
        <v>1001</v>
      </c>
      <c r="F7" s="135" t="s">
        <v>1475</v>
      </c>
      <c r="G7" s="160" t="s">
        <v>484</v>
      </c>
      <c r="H7" s="161" t="s">
        <v>1475</v>
      </c>
      <c r="I7" s="409">
        <v>45383</v>
      </c>
      <c r="J7" s="409"/>
      <c r="L7" s="401" t="s">
        <v>1469</v>
      </c>
      <c r="M7" s="402"/>
      <c r="N7" s="402"/>
      <c r="O7" s="402"/>
      <c r="P7" s="402"/>
      <c r="Q7" s="403"/>
      <c r="S7" s="396" t="s">
        <v>148</v>
      </c>
      <c r="T7" s="396"/>
      <c r="U7" s="396"/>
      <c r="V7" s="397">
        <f>WORKDAY.INTL(V6,-1,11,Fériés!A:A)</f>
        <v>45385</v>
      </c>
      <c r="W7" s="397"/>
      <c r="X7" s="397"/>
    </row>
    <row r="8" spans="2:27" s="3" customFormat="1" ht="13.95" customHeight="1" thickBot="1">
      <c r="B8" s="398" t="s">
        <v>1477</v>
      </c>
      <c r="C8" s="398"/>
      <c r="D8" s="398"/>
      <c r="E8" s="399" t="s">
        <v>1478</v>
      </c>
      <c r="F8" s="399"/>
      <c r="G8" s="399"/>
      <c r="I8" s="135"/>
      <c r="L8" s="404"/>
      <c r="M8" s="405"/>
      <c r="N8" s="405"/>
      <c r="O8" s="405"/>
      <c r="P8" s="405"/>
      <c r="Q8" s="406"/>
      <c r="R8" s="130"/>
      <c r="S8" s="130"/>
      <c r="T8" s="130"/>
      <c r="U8" s="130"/>
      <c r="V8" s="128"/>
      <c r="W8" s="128"/>
      <c r="X8" s="128"/>
    </row>
    <row r="9" spans="2:27" s="3" customFormat="1" ht="12.45" customHeight="1">
      <c r="D9" s="142"/>
      <c r="I9" s="135"/>
      <c r="K9" s="151"/>
      <c r="L9" s="151"/>
      <c r="M9" s="151"/>
      <c r="N9" s="151"/>
      <c r="O9" s="127"/>
      <c r="P9" s="151"/>
      <c r="R9" s="130"/>
      <c r="S9" s="130"/>
      <c r="T9" s="130"/>
      <c r="U9" s="130"/>
      <c r="V9" s="128"/>
      <c r="W9" s="128"/>
      <c r="X9" s="128"/>
      <c r="Z9" s="237"/>
      <c r="AA9" s="237"/>
    </row>
    <row r="10" spans="2:27" s="131" customFormat="1" ht="12" customHeight="1">
      <c r="D10" s="156" t="s">
        <v>1470</v>
      </c>
      <c r="E10" s="149"/>
      <c r="F10" s="149"/>
      <c r="G10" s="149"/>
      <c r="H10" s="149"/>
      <c r="I10" s="148"/>
      <c r="J10" s="148"/>
      <c r="K10" s="148"/>
      <c r="L10" s="148"/>
      <c r="M10" s="156"/>
      <c r="N10" s="156"/>
      <c r="O10" s="156"/>
      <c r="P10" s="156"/>
      <c r="Q10" s="149"/>
      <c r="R10" s="150"/>
      <c r="S10" s="150"/>
      <c r="T10" s="150"/>
      <c r="U10" s="130"/>
      <c r="V10" s="128"/>
      <c r="W10" s="128"/>
      <c r="X10" s="128"/>
    </row>
    <row r="11" spans="2:27" s="146" customFormat="1" ht="19.05" customHeight="1">
      <c r="D11" s="410" t="s">
        <v>146</v>
      </c>
      <c r="E11" s="411"/>
      <c r="F11" s="412"/>
      <c r="G11" s="410" t="s">
        <v>144</v>
      </c>
      <c r="H11" s="411"/>
      <c r="I11" s="411"/>
      <c r="J11" s="412"/>
      <c r="K11" s="410" t="s">
        <v>1464</v>
      </c>
      <c r="L11" s="411"/>
      <c r="M11" s="412"/>
      <c r="N11" s="383" t="s">
        <v>1467</v>
      </c>
      <c r="O11" s="384"/>
      <c r="P11" s="385"/>
      <c r="Q11" s="410" t="s">
        <v>1462</v>
      </c>
      <c r="R11" s="412"/>
      <c r="S11" s="164" t="s">
        <v>1465</v>
      </c>
      <c r="T11" s="164" t="s">
        <v>157</v>
      </c>
      <c r="V11" s="145"/>
      <c r="W11" s="145"/>
      <c r="X11" s="147"/>
      <c r="AA11" s="238"/>
    </row>
    <row r="12" spans="2:27" s="153" customFormat="1" ht="19.05" customHeight="1">
      <c r="B12" s="152"/>
      <c r="D12" s="177" t="str">
        <f>G7</f>
        <v>CP1AM</v>
      </c>
      <c r="E12" s="178"/>
      <c r="F12" s="179"/>
      <c r="G12" s="416" t="str">
        <f>VLOOKUP(D12,'Base Clients'!B:E,4,FALSE)</f>
        <v>AHOUNOU KEKE MELENE</v>
      </c>
      <c r="H12" s="417"/>
      <c r="I12" s="417"/>
      <c r="J12" s="418"/>
      <c r="K12" s="413" t="str">
        <f>VLOOKUP(D12,'Base Clients'!B:L,11,FALSE)</f>
        <v>Client partenaire</v>
      </c>
      <c r="L12" s="414"/>
      <c r="M12" s="415"/>
      <c r="N12" s="386" t="str">
        <f>+Abonné1!N12</f>
        <v>Kankpé</v>
      </c>
      <c r="O12" s="387"/>
      <c r="P12" s="388"/>
      <c r="Q12" s="419" t="str">
        <f>VLOOKUP(D12,'Base Clients'!B:K,10,FALSE)</f>
        <v>1 KM</v>
      </c>
      <c r="R12" s="420"/>
      <c r="S12" s="159" t="s">
        <v>1466</v>
      </c>
      <c r="T12" s="159" t="s">
        <v>1466</v>
      </c>
      <c r="U12" s="152"/>
      <c r="V12" s="154"/>
      <c r="W12" s="154"/>
      <c r="X12" s="155"/>
    </row>
    <row r="13" spans="2:27" s="3" customFormat="1" ht="13.5" customHeight="1">
      <c r="B13"/>
      <c r="C13"/>
      <c r="D13" s="143"/>
      <c r="E13"/>
      <c r="F13"/>
      <c r="G13"/>
      <c r="H13"/>
      <c r="I13" s="134"/>
      <c r="J13" s="134"/>
      <c r="K13" s="134"/>
      <c r="L13" s="134"/>
      <c r="M13" s="129"/>
      <c r="N13" s="129"/>
      <c r="O13" s="131"/>
      <c r="P13" s="151"/>
      <c r="Q13"/>
      <c r="R13" s="131"/>
      <c r="S13" s="131"/>
      <c r="T13" s="131"/>
      <c r="U13" s="131"/>
      <c r="V13" s="132"/>
      <c r="W13" s="132"/>
      <c r="X13" s="133"/>
      <c r="Y13" s="236"/>
    </row>
    <row r="14" spans="2:27" s="1" customFormat="1" ht="29.4" customHeight="1">
      <c r="B14" s="136" t="s">
        <v>0</v>
      </c>
      <c r="C14" s="137" t="s">
        <v>149</v>
      </c>
      <c r="D14" s="358" t="s">
        <v>150</v>
      </c>
      <c r="E14" s="359"/>
      <c r="F14" s="359"/>
      <c r="G14" s="359"/>
      <c r="H14" s="359"/>
      <c r="I14" s="359"/>
      <c r="J14" s="360"/>
      <c r="K14" s="361" t="s">
        <v>1471</v>
      </c>
      <c r="L14" s="362"/>
      <c r="M14" s="138" t="s">
        <v>1472</v>
      </c>
      <c r="N14" s="163" t="s">
        <v>1473</v>
      </c>
      <c r="O14" s="532" t="s">
        <v>151</v>
      </c>
      <c r="P14" s="533"/>
      <c r="Q14" s="501" t="s">
        <v>152</v>
      </c>
      <c r="R14" s="501"/>
      <c r="S14" s="530" t="s">
        <v>1560</v>
      </c>
      <c r="T14" s="531"/>
      <c r="U14" s="349" t="s">
        <v>1758</v>
      </c>
      <c r="V14" s="350"/>
      <c r="W14" s="380" t="s">
        <v>1759</v>
      </c>
      <c r="X14" s="381"/>
    </row>
    <row r="15" spans="2:27" s="17" customFormat="1" ht="18" customHeight="1">
      <c r="B15" s="15">
        <v>1</v>
      </c>
      <c r="C15" s="246" t="s">
        <v>453</v>
      </c>
      <c r="D15" s="535" t="str">
        <f>IFERROR(VLOOKUP(C15,'Full list.23'!C:K,9,FALSE),0)</f>
        <v>Lavage au Kg (KG)</v>
      </c>
      <c r="E15" s="536"/>
      <c r="F15" s="536"/>
      <c r="G15" s="536"/>
      <c r="H15" s="536"/>
      <c r="I15" s="536"/>
      <c r="J15" s="537"/>
      <c r="K15" s="538" t="s">
        <v>1474</v>
      </c>
      <c r="L15" s="539"/>
      <c r="M15" s="247">
        <v>1</v>
      </c>
      <c r="N15" s="247">
        <v>1</v>
      </c>
      <c r="O15" s="542">
        <v>2</v>
      </c>
      <c r="P15" s="543"/>
      <c r="Q15" s="534">
        <f>IFERROR(MROUND(VLOOKUP(C15,'Full list.23'!C:G,5,FALSE)/M15*N15,5),0)</f>
        <v>600</v>
      </c>
      <c r="R15" s="534"/>
      <c r="S15" s="540">
        <v>0</v>
      </c>
      <c r="T15" s="541"/>
      <c r="U15" s="496">
        <f>Q15*O15</f>
        <v>1200</v>
      </c>
      <c r="V15" s="497"/>
      <c r="W15" s="540">
        <v>0</v>
      </c>
      <c r="X15" s="541"/>
    </row>
    <row r="16" spans="2:27" s="17" customFormat="1" ht="18" customHeight="1">
      <c r="B16" s="15">
        <v>2</v>
      </c>
      <c r="C16" s="5" t="s">
        <v>303</v>
      </c>
      <c r="D16" s="354" t="str">
        <f>IFERROR(VLOOKUP(C16,'Full list.23'!C:K,9,FALSE),0)</f>
        <v>Complet Local (CL2 v3)</v>
      </c>
      <c r="E16" s="355"/>
      <c r="F16" s="355"/>
      <c r="G16" s="355"/>
      <c r="H16" s="355"/>
      <c r="I16" s="355"/>
      <c r="J16" s="356"/>
      <c r="K16" s="363" t="s">
        <v>1474</v>
      </c>
      <c r="L16" s="364"/>
      <c r="M16" s="16">
        <v>1</v>
      </c>
      <c r="N16" s="16">
        <v>1</v>
      </c>
      <c r="O16" s="544">
        <v>2</v>
      </c>
      <c r="P16" s="545"/>
      <c r="Q16" s="534">
        <f>IFERROR(MROUND(VLOOKUP(C16,'Full list.23'!C:G,5,FALSE)/M16*N16,5),0)</f>
        <v>1500</v>
      </c>
      <c r="R16" s="534"/>
      <c r="S16" s="351">
        <f>IF($E$8="Express",IFERROR(MROUND(VLOOKUP(C16,'Full list.23'!C:G,5,FALSE)/M16*N16*1.45,5),0),IF($E$8="Normal",0))</f>
        <v>0</v>
      </c>
      <c r="T16" s="352"/>
      <c r="U16" s="376">
        <f t="shared" ref="U16:U32" si="0">Q16*O16</f>
        <v>3000</v>
      </c>
      <c r="V16" s="377"/>
      <c r="W16" s="351">
        <f t="shared" ref="W16:W32" si="1">S16*O16</f>
        <v>0</v>
      </c>
      <c r="X16" s="352"/>
    </row>
    <row r="17" spans="2:24" s="17" customFormat="1" ht="18" customHeight="1">
      <c r="B17" s="15">
        <v>3</v>
      </c>
      <c r="C17" s="5" t="s">
        <v>20</v>
      </c>
      <c r="D17" s="354" t="str">
        <f>IFERROR(VLOOKUP(C17,'Full list.23'!C:K,9,FALSE),0)</f>
        <v>Chemise (CH)</v>
      </c>
      <c r="E17" s="355"/>
      <c r="F17" s="355"/>
      <c r="G17" s="355"/>
      <c r="H17" s="355"/>
      <c r="I17" s="355"/>
      <c r="J17" s="356"/>
      <c r="K17" s="363" t="s">
        <v>1474</v>
      </c>
      <c r="L17" s="364"/>
      <c r="M17" s="16">
        <v>1</v>
      </c>
      <c r="N17" s="16">
        <v>1</v>
      </c>
      <c r="O17" s="544">
        <v>2</v>
      </c>
      <c r="P17" s="545"/>
      <c r="Q17" s="534">
        <f>IFERROR(MROUND(VLOOKUP(C17,'Full list.23'!C:G,5,FALSE)/M17*N17,5),0)</f>
        <v>700</v>
      </c>
      <c r="R17" s="534"/>
      <c r="S17" s="351">
        <f>IF($E$8="Express",IFERROR(MROUND(VLOOKUP(C17,'Full list.23'!C:G,5,FALSE)/M17*N17*1.45,5),0),IF($E$8="Normal",0))</f>
        <v>0</v>
      </c>
      <c r="T17" s="352"/>
      <c r="U17" s="376">
        <f t="shared" si="0"/>
        <v>1400</v>
      </c>
      <c r="V17" s="377"/>
      <c r="W17" s="351">
        <f t="shared" si="1"/>
        <v>0</v>
      </c>
      <c r="X17" s="352"/>
    </row>
    <row r="18" spans="2:24" s="17" customFormat="1" ht="18" customHeight="1">
      <c r="B18" s="15">
        <v>4</v>
      </c>
      <c r="C18" s="5"/>
      <c r="D18" s="354">
        <f>IFERROR(VLOOKUP(C18,'Full list.23'!C:K,9,FALSE),0)</f>
        <v>0</v>
      </c>
      <c r="E18" s="355"/>
      <c r="F18" s="355"/>
      <c r="G18" s="355"/>
      <c r="H18" s="355"/>
      <c r="I18" s="355"/>
      <c r="J18" s="356"/>
      <c r="K18" s="363" t="s">
        <v>1474</v>
      </c>
      <c r="L18" s="364"/>
      <c r="M18" s="16">
        <v>1</v>
      </c>
      <c r="N18" s="16">
        <v>1</v>
      </c>
      <c r="O18" s="544"/>
      <c r="P18" s="545"/>
      <c r="Q18" s="534">
        <f>IFERROR(MROUND(VLOOKUP(C18,'Full list.23'!C:G,5,FALSE)/M18*N18,5),0)</f>
        <v>0</v>
      </c>
      <c r="R18" s="534"/>
      <c r="S18" s="351">
        <f>IF($E$8="Express",IFERROR(MROUND(VLOOKUP(C18,'Full list.23'!C:G,5,FALSE)/M18*N18*1.45,5),0),IF($E$8="Normal",0))</f>
        <v>0</v>
      </c>
      <c r="T18" s="352"/>
      <c r="U18" s="376">
        <f t="shared" si="0"/>
        <v>0</v>
      </c>
      <c r="V18" s="377"/>
      <c r="W18" s="351">
        <f t="shared" si="1"/>
        <v>0</v>
      </c>
      <c r="X18" s="352"/>
    </row>
    <row r="19" spans="2:24" s="17" customFormat="1" ht="18" customHeight="1">
      <c r="B19" s="15">
        <v>5</v>
      </c>
      <c r="C19" s="5"/>
      <c r="D19" s="354">
        <f>IFERROR(VLOOKUP(C19,'Full list.23'!C:K,9,FALSE),0)</f>
        <v>0</v>
      </c>
      <c r="E19" s="355"/>
      <c r="F19" s="355"/>
      <c r="G19" s="355"/>
      <c r="H19" s="355"/>
      <c r="I19" s="355"/>
      <c r="J19" s="356"/>
      <c r="K19" s="363" t="s">
        <v>1474</v>
      </c>
      <c r="L19" s="364"/>
      <c r="M19" s="16">
        <v>1</v>
      </c>
      <c r="N19" s="16">
        <v>1</v>
      </c>
      <c r="O19" s="544"/>
      <c r="P19" s="545"/>
      <c r="Q19" s="534">
        <f>IFERROR(MROUND(VLOOKUP(C19,'Full list.23'!C:G,5,FALSE)/M19*N19,5),0)</f>
        <v>0</v>
      </c>
      <c r="R19" s="534"/>
      <c r="S19" s="351">
        <f>IF($E$8="Express",IFERROR(MROUND(VLOOKUP(C19,'Full list.23'!C:G,5,FALSE)/M19*N19*1.45,5),0),IF($E$8="Normal",0))</f>
        <v>0</v>
      </c>
      <c r="T19" s="352"/>
      <c r="U19" s="376">
        <f t="shared" si="0"/>
        <v>0</v>
      </c>
      <c r="V19" s="377"/>
      <c r="W19" s="351">
        <f t="shared" si="1"/>
        <v>0</v>
      </c>
      <c r="X19" s="352"/>
    </row>
    <row r="20" spans="2:24" s="17" customFormat="1" ht="18" customHeight="1">
      <c r="B20" s="15">
        <v>6</v>
      </c>
      <c r="C20" s="5"/>
      <c r="D20" s="354">
        <f>IFERROR(VLOOKUP(C20,'Full list.23'!C:K,9,FALSE),0)</f>
        <v>0</v>
      </c>
      <c r="E20" s="355"/>
      <c r="F20" s="355"/>
      <c r="G20" s="355"/>
      <c r="H20" s="355"/>
      <c r="I20" s="355"/>
      <c r="J20" s="356"/>
      <c r="K20" s="365" t="s">
        <v>1474</v>
      </c>
      <c r="L20" s="365"/>
      <c r="M20" s="16">
        <v>1</v>
      </c>
      <c r="N20" s="16">
        <v>1</v>
      </c>
      <c r="O20" s="544"/>
      <c r="P20" s="545"/>
      <c r="Q20" s="534">
        <f>IFERROR(MROUND(VLOOKUP(C20,'Full list.23'!C:G,5,FALSE)/M20*N20,5),0)</f>
        <v>0</v>
      </c>
      <c r="R20" s="534"/>
      <c r="S20" s="351">
        <f>IF($E$8="Express",IFERROR(MROUND(VLOOKUP(C20,'Full list.23'!C:G,5,FALSE)/M20*N20*1.45,5),0),IF($E$8="Normal",0))</f>
        <v>0</v>
      </c>
      <c r="T20" s="352"/>
      <c r="U20" s="376">
        <f t="shared" si="0"/>
        <v>0</v>
      </c>
      <c r="V20" s="377"/>
      <c r="W20" s="351">
        <f t="shared" si="1"/>
        <v>0</v>
      </c>
      <c r="X20" s="352"/>
    </row>
    <row r="21" spans="2:24" s="17" customFormat="1" ht="18" customHeight="1">
      <c r="B21" s="15">
        <v>7</v>
      </c>
      <c r="C21" s="5"/>
      <c r="D21" s="354">
        <f>IFERROR(VLOOKUP(C21,'Full list.23'!C:K,9,FALSE),0)</f>
        <v>0</v>
      </c>
      <c r="E21" s="355"/>
      <c r="F21" s="355"/>
      <c r="G21" s="355"/>
      <c r="H21" s="355"/>
      <c r="I21" s="355"/>
      <c r="J21" s="356"/>
      <c r="K21" s="365" t="s">
        <v>1474</v>
      </c>
      <c r="L21" s="365"/>
      <c r="M21" s="16">
        <v>1</v>
      </c>
      <c r="N21" s="16">
        <v>1</v>
      </c>
      <c r="O21" s="544"/>
      <c r="P21" s="545"/>
      <c r="Q21" s="534">
        <f>IFERROR(MROUND(VLOOKUP(C21,'Full list.23'!C:G,5,FALSE)/M21*N21,5),0)</f>
        <v>0</v>
      </c>
      <c r="R21" s="534"/>
      <c r="S21" s="351">
        <f>IF($E$8="Express",IFERROR(MROUND(VLOOKUP(C21,'Full list.23'!C:G,5,FALSE)/M21*N21*1.45,5),0),IF($E$8="Normal",0))</f>
        <v>0</v>
      </c>
      <c r="T21" s="352"/>
      <c r="U21" s="376">
        <f t="shared" si="0"/>
        <v>0</v>
      </c>
      <c r="V21" s="377"/>
      <c r="W21" s="351">
        <f t="shared" si="1"/>
        <v>0</v>
      </c>
      <c r="X21" s="352"/>
    </row>
    <row r="22" spans="2:24" s="17" customFormat="1" ht="18" customHeight="1">
      <c r="B22" s="15">
        <v>8</v>
      </c>
      <c r="C22" s="5"/>
      <c r="D22" s="354">
        <f>IFERROR(VLOOKUP(C22,'Full list.23'!C:K,9,FALSE),0)</f>
        <v>0</v>
      </c>
      <c r="E22" s="355"/>
      <c r="F22" s="355"/>
      <c r="G22" s="355"/>
      <c r="H22" s="355"/>
      <c r="I22" s="355"/>
      <c r="J22" s="356"/>
      <c r="K22" s="365" t="s">
        <v>1474</v>
      </c>
      <c r="L22" s="365"/>
      <c r="M22" s="16">
        <v>1</v>
      </c>
      <c r="N22" s="16">
        <v>1</v>
      </c>
      <c r="O22" s="544"/>
      <c r="P22" s="545"/>
      <c r="Q22" s="534">
        <f>IFERROR(MROUND(VLOOKUP(C22,'Full list.23'!C:G,5,FALSE)/M22*N22,5),0)</f>
        <v>0</v>
      </c>
      <c r="R22" s="534"/>
      <c r="S22" s="351">
        <f>IF($E$8="Express",IFERROR(MROUND(VLOOKUP(C22,'Full list.23'!C:G,5,FALSE)/M22*N22*1.45,5),0),IF($E$8="Normal",0))</f>
        <v>0</v>
      </c>
      <c r="T22" s="352"/>
      <c r="U22" s="376">
        <f t="shared" si="0"/>
        <v>0</v>
      </c>
      <c r="V22" s="377"/>
      <c r="W22" s="351">
        <f t="shared" si="1"/>
        <v>0</v>
      </c>
      <c r="X22" s="352"/>
    </row>
    <row r="23" spans="2:24" s="17" customFormat="1" ht="18" customHeight="1">
      <c r="B23" s="15">
        <v>9</v>
      </c>
      <c r="C23" s="5"/>
      <c r="D23" s="354">
        <f>IFERROR(VLOOKUP(C23,'Full list.23'!C:K,9,FALSE),0)</f>
        <v>0</v>
      </c>
      <c r="E23" s="355"/>
      <c r="F23" s="355"/>
      <c r="G23" s="355"/>
      <c r="H23" s="355"/>
      <c r="I23" s="355"/>
      <c r="J23" s="356"/>
      <c r="K23" s="365" t="s">
        <v>1474</v>
      </c>
      <c r="L23" s="365"/>
      <c r="M23" s="16">
        <v>1</v>
      </c>
      <c r="N23" s="16">
        <v>1</v>
      </c>
      <c r="O23" s="544"/>
      <c r="P23" s="545"/>
      <c r="Q23" s="534">
        <f>IFERROR(MROUND(VLOOKUP(C23,'Full list.23'!C:G,5,FALSE)/M23*N23,5),0)</f>
        <v>0</v>
      </c>
      <c r="R23" s="534"/>
      <c r="S23" s="351">
        <f>IF($E$8="Express",IFERROR(MROUND(VLOOKUP(C23,'Full list.23'!C:G,5,FALSE)/M23*N23*1.45,5),0),IF($E$8="Normal",0))</f>
        <v>0</v>
      </c>
      <c r="T23" s="352"/>
      <c r="U23" s="376">
        <f t="shared" si="0"/>
        <v>0</v>
      </c>
      <c r="V23" s="377"/>
      <c r="W23" s="351">
        <f t="shared" si="1"/>
        <v>0</v>
      </c>
      <c r="X23" s="352"/>
    </row>
    <row r="24" spans="2:24" s="17" customFormat="1" ht="18" customHeight="1">
      <c r="B24" s="15">
        <v>10</v>
      </c>
      <c r="C24" s="5"/>
      <c r="D24" s="354">
        <f>IFERROR(VLOOKUP(C24,'Full list.23'!C:K,9,FALSE),0)</f>
        <v>0</v>
      </c>
      <c r="E24" s="355"/>
      <c r="F24" s="355"/>
      <c r="G24" s="355"/>
      <c r="H24" s="355"/>
      <c r="I24" s="355"/>
      <c r="J24" s="356"/>
      <c r="K24" s="365" t="s">
        <v>1474</v>
      </c>
      <c r="L24" s="365"/>
      <c r="M24" s="16">
        <v>1</v>
      </c>
      <c r="N24" s="16">
        <v>1</v>
      </c>
      <c r="O24" s="544"/>
      <c r="P24" s="545"/>
      <c r="Q24" s="534">
        <f>IFERROR(MROUND(VLOOKUP(C24,'Full list.23'!C:G,5,FALSE)/M24*N24,5),0)</f>
        <v>0</v>
      </c>
      <c r="R24" s="534"/>
      <c r="S24" s="351">
        <f>IF($E$8="Express",IFERROR(MROUND(VLOOKUP(C24,'Full list.23'!C:G,5,FALSE)/M24*N24*1.45,5),0),IF($E$8="Normal",0))</f>
        <v>0</v>
      </c>
      <c r="T24" s="352"/>
      <c r="U24" s="376">
        <f t="shared" si="0"/>
        <v>0</v>
      </c>
      <c r="V24" s="377"/>
      <c r="W24" s="351">
        <f t="shared" si="1"/>
        <v>0</v>
      </c>
      <c r="X24" s="352"/>
    </row>
    <row r="25" spans="2:24" s="17" customFormat="1" ht="18" customHeight="1">
      <c r="B25" s="15">
        <v>11</v>
      </c>
      <c r="C25" s="5"/>
      <c r="D25" s="354">
        <f>IFERROR(VLOOKUP(C25,'Full list.23'!C:K,9,FALSE),0)</f>
        <v>0</v>
      </c>
      <c r="E25" s="355"/>
      <c r="F25" s="355"/>
      <c r="G25" s="355"/>
      <c r="H25" s="355"/>
      <c r="I25" s="355"/>
      <c r="J25" s="356"/>
      <c r="K25" s="365" t="s">
        <v>1474</v>
      </c>
      <c r="L25" s="365"/>
      <c r="M25" s="16">
        <v>1</v>
      </c>
      <c r="N25" s="16">
        <v>1</v>
      </c>
      <c r="O25" s="544"/>
      <c r="P25" s="545"/>
      <c r="Q25" s="534">
        <f>IFERROR(MROUND(VLOOKUP(C25,'Full list.23'!C:G,5,FALSE)/M25*N25,5),0)</f>
        <v>0</v>
      </c>
      <c r="R25" s="534"/>
      <c r="S25" s="351">
        <f>IF($E$8="Express",IFERROR(MROUND(VLOOKUP(C25,'Full list.23'!C:G,5,FALSE)/M25*N25*1.45,5),0),IF($E$8="Normal",0))</f>
        <v>0</v>
      </c>
      <c r="T25" s="352"/>
      <c r="U25" s="376">
        <f t="shared" si="0"/>
        <v>0</v>
      </c>
      <c r="V25" s="377"/>
      <c r="W25" s="351">
        <f t="shared" si="1"/>
        <v>0</v>
      </c>
      <c r="X25" s="352"/>
    </row>
    <row r="26" spans="2:24" s="17" customFormat="1" ht="18" customHeight="1">
      <c r="B26" s="15">
        <v>12</v>
      </c>
      <c r="C26" s="5"/>
      <c r="D26" s="354">
        <f>IFERROR(VLOOKUP(C26,'Full list.23'!C:K,9,FALSE),0)</f>
        <v>0</v>
      </c>
      <c r="E26" s="355"/>
      <c r="F26" s="355"/>
      <c r="G26" s="355"/>
      <c r="H26" s="355"/>
      <c r="I26" s="355"/>
      <c r="J26" s="356"/>
      <c r="K26" s="365" t="s">
        <v>1474</v>
      </c>
      <c r="L26" s="365"/>
      <c r="M26" s="16">
        <v>1</v>
      </c>
      <c r="N26" s="16">
        <v>1</v>
      </c>
      <c r="O26" s="544"/>
      <c r="P26" s="545"/>
      <c r="Q26" s="534">
        <f>IFERROR(MROUND(VLOOKUP(C26,'Full list.23'!C:G,5,FALSE)/M26*N26,5),0)</f>
        <v>0</v>
      </c>
      <c r="R26" s="534"/>
      <c r="S26" s="351">
        <f>IF($E$8="Express",IFERROR(MROUND(VLOOKUP(C26,'Full list.23'!C:G,5,FALSE)/M26*N26*1.45,5),0),IF($E$8="Normal",0))</f>
        <v>0</v>
      </c>
      <c r="T26" s="352"/>
      <c r="U26" s="376">
        <f t="shared" si="0"/>
        <v>0</v>
      </c>
      <c r="V26" s="377"/>
      <c r="W26" s="351">
        <f t="shared" si="1"/>
        <v>0</v>
      </c>
      <c r="X26" s="352"/>
    </row>
    <row r="27" spans="2:24" s="17" customFormat="1" ht="18" customHeight="1" thickBot="1">
      <c r="B27" s="15">
        <v>13</v>
      </c>
      <c r="C27" s="5"/>
      <c r="D27" s="354">
        <f>IFERROR(VLOOKUP(C27,'Full list.23'!C:K,9,FALSE),0)</f>
        <v>0</v>
      </c>
      <c r="E27" s="355"/>
      <c r="F27" s="355"/>
      <c r="G27" s="355"/>
      <c r="H27" s="355"/>
      <c r="I27" s="355"/>
      <c r="J27" s="356"/>
      <c r="K27" s="365" t="s">
        <v>1474</v>
      </c>
      <c r="L27" s="365"/>
      <c r="M27" s="16">
        <v>1</v>
      </c>
      <c r="N27" s="16">
        <v>1</v>
      </c>
      <c r="O27" s="544"/>
      <c r="P27" s="545"/>
      <c r="Q27" s="534">
        <f>IFERROR(MROUND(VLOOKUP(C27,'Full list.23'!C:G,5,FALSE)/M27*N27,5),0)</f>
        <v>0</v>
      </c>
      <c r="R27" s="534"/>
      <c r="S27" s="351">
        <f>IF($E$8="Express",IFERROR(MROUND(VLOOKUP(C27,'Full list.23'!C:G,5,FALSE)/M27*N27*1.45,5),0),IF($E$8="Normal",0))</f>
        <v>0</v>
      </c>
      <c r="T27" s="352"/>
      <c r="U27" s="376">
        <f t="shared" si="0"/>
        <v>0</v>
      </c>
      <c r="V27" s="377"/>
      <c r="W27" s="351">
        <f t="shared" si="1"/>
        <v>0</v>
      </c>
      <c r="X27" s="352"/>
    </row>
    <row r="28" spans="2:24" s="17" customFormat="1" ht="18" hidden="1" customHeight="1" thickBot="1">
      <c r="B28" s="15">
        <v>14</v>
      </c>
      <c r="C28" s="5"/>
      <c r="D28" s="354">
        <f>IFERROR(VLOOKUP(C28,'Full list.23'!C:K,9,FALSE),0)</f>
        <v>0</v>
      </c>
      <c r="E28" s="355"/>
      <c r="F28" s="355"/>
      <c r="G28" s="355"/>
      <c r="H28" s="355"/>
      <c r="I28" s="355"/>
      <c r="J28" s="356"/>
      <c r="K28" s="365" t="s">
        <v>1474</v>
      </c>
      <c r="L28" s="365"/>
      <c r="M28" s="16">
        <v>1</v>
      </c>
      <c r="N28" s="16">
        <v>1</v>
      </c>
      <c r="O28" s="544"/>
      <c r="P28" s="545"/>
      <c r="Q28" s="534">
        <f>IFERROR(MROUND(VLOOKUP(C28,'Full list.23'!C:G,5,FALSE)/M28*N28,5),0)</f>
        <v>0</v>
      </c>
      <c r="R28" s="534"/>
      <c r="S28" s="351">
        <f>IF($E$8="Express",IFERROR(MROUND(VLOOKUP(C28,'Full list.23'!C:G,5,FALSE)/M28*N28*1.45,5),0),IF($E$8="Normal",0))</f>
        <v>0</v>
      </c>
      <c r="T28" s="352"/>
      <c r="U28" s="376">
        <f t="shared" si="0"/>
        <v>0</v>
      </c>
      <c r="V28" s="377"/>
      <c r="W28" s="351">
        <f t="shared" si="1"/>
        <v>0</v>
      </c>
      <c r="X28" s="352"/>
    </row>
    <row r="29" spans="2:24" s="17" customFormat="1" ht="18" hidden="1" customHeight="1">
      <c r="B29" s="15">
        <v>15</v>
      </c>
      <c r="C29" s="5"/>
      <c r="D29" s="354">
        <f>IFERROR(VLOOKUP(C29,'Full list.23'!C:K,9,FALSE),0)</f>
        <v>0</v>
      </c>
      <c r="E29" s="355"/>
      <c r="F29" s="355"/>
      <c r="G29" s="355"/>
      <c r="H29" s="355"/>
      <c r="I29" s="355"/>
      <c r="J29" s="356"/>
      <c r="K29" s="365" t="s">
        <v>1474</v>
      </c>
      <c r="L29" s="365"/>
      <c r="M29" s="16">
        <v>1</v>
      </c>
      <c r="N29" s="16">
        <v>1</v>
      </c>
      <c r="O29" s="544"/>
      <c r="P29" s="545"/>
      <c r="Q29" s="534">
        <f>IFERROR(MROUND(VLOOKUP(C29,'Full list.23'!C:G,5,FALSE)/M29*N29,5),0)</f>
        <v>0</v>
      </c>
      <c r="R29" s="534"/>
      <c r="S29" s="351">
        <f>IF($E$8="Express",IFERROR(MROUND(VLOOKUP(C29,'Full list.23'!C:G,5,FALSE)/M29*N29*1.45,5),0),IF($E$8="Normal",0))</f>
        <v>0</v>
      </c>
      <c r="T29" s="352"/>
      <c r="U29" s="376">
        <f t="shared" si="0"/>
        <v>0</v>
      </c>
      <c r="V29" s="377"/>
      <c r="W29" s="351">
        <f t="shared" si="1"/>
        <v>0</v>
      </c>
      <c r="X29" s="352"/>
    </row>
    <row r="30" spans="2:24" s="17" customFormat="1" ht="18" hidden="1" customHeight="1">
      <c r="B30" s="15">
        <v>16</v>
      </c>
      <c r="C30" s="5"/>
      <c r="D30" s="354">
        <f>IFERROR(VLOOKUP(C30,'Full list.23'!C:K,9,FALSE),0)</f>
        <v>0</v>
      </c>
      <c r="E30" s="355"/>
      <c r="F30" s="355"/>
      <c r="G30" s="355"/>
      <c r="H30" s="355"/>
      <c r="I30" s="355"/>
      <c r="J30" s="356"/>
      <c r="K30" s="365" t="s">
        <v>1474</v>
      </c>
      <c r="L30" s="365"/>
      <c r="M30" s="16">
        <v>1</v>
      </c>
      <c r="N30" s="16">
        <v>1</v>
      </c>
      <c r="O30" s="544"/>
      <c r="P30" s="545"/>
      <c r="Q30" s="534">
        <f>IFERROR(MROUND(VLOOKUP(C30,'Full list.23'!C:G,5,FALSE)/M30*N30,5),0)</f>
        <v>0</v>
      </c>
      <c r="R30" s="534"/>
      <c r="S30" s="351">
        <f>IF($E$8="Express",IFERROR(MROUND(VLOOKUP(C30,'Full list.23'!C:G,5,FALSE)/M30*N30*1.45,5),0),IF($E$8="Normal",0))</f>
        <v>0</v>
      </c>
      <c r="T30" s="352"/>
      <c r="U30" s="376">
        <f t="shared" si="0"/>
        <v>0</v>
      </c>
      <c r="V30" s="377"/>
      <c r="W30" s="351">
        <f t="shared" si="1"/>
        <v>0</v>
      </c>
      <c r="X30" s="352"/>
    </row>
    <row r="31" spans="2:24" s="17" customFormat="1" ht="17.55" hidden="1" customHeight="1">
      <c r="B31" s="15">
        <v>17</v>
      </c>
      <c r="C31" s="5"/>
      <c r="D31" s="354">
        <f>IFERROR(VLOOKUP(C31,'Full list.23'!C:K,9,FALSE),0)</f>
        <v>0</v>
      </c>
      <c r="E31" s="355"/>
      <c r="F31" s="355"/>
      <c r="G31" s="355"/>
      <c r="H31" s="355"/>
      <c r="I31" s="355"/>
      <c r="J31" s="356"/>
      <c r="K31" s="365" t="s">
        <v>1474</v>
      </c>
      <c r="L31" s="365"/>
      <c r="M31" s="16">
        <v>1</v>
      </c>
      <c r="N31" s="16">
        <v>1</v>
      </c>
      <c r="O31" s="544"/>
      <c r="P31" s="545"/>
      <c r="Q31" s="534">
        <f>IFERROR(MROUND(VLOOKUP(C31,'Full list.23'!C:G,5,FALSE)/M31*N31,5),0)</f>
        <v>0</v>
      </c>
      <c r="R31" s="534"/>
      <c r="S31" s="351">
        <f>IF($E$8="Express",IFERROR(MROUND(VLOOKUP(C31,'Full list.23'!C:G,5,FALSE)/M31*N31*1.45,5),0),IF($E$8="Normal",0))</f>
        <v>0</v>
      </c>
      <c r="T31" s="352"/>
      <c r="U31" s="376">
        <f t="shared" si="0"/>
        <v>0</v>
      </c>
      <c r="V31" s="377"/>
      <c r="W31" s="351">
        <f t="shared" si="1"/>
        <v>0</v>
      </c>
      <c r="X31" s="352"/>
    </row>
    <row r="32" spans="2:24" s="17" customFormat="1" ht="15" hidden="1" customHeight="1" thickBot="1">
      <c r="B32" s="15">
        <v>20</v>
      </c>
      <c r="C32" s="5"/>
      <c r="D32" s="354">
        <f>IFERROR(VLOOKUP(C32,'Full list.23'!C:K,9,FALSE),0)</f>
        <v>0</v>
      </c>
      <c r="E32" s="355"/>
      <c r="F32" s="355"/>
      <c r="G32" s="355"/>
      <c r="H32" s="355"/>
      <c r="I32" s="355"/>
      <c r="J32" s="356"/>
      <c r="K32" s="365" t="s">
        <v>1474</v>
      </c>
      <c r="L32" s="365"/>
      <c r="M32" s="16">
        <v>1</v>
      </c>
      <c r="N32" s="16">
        <v>1</v>
      </c>
      <c r="O32" s="544"/>
      <c r="P32" s="545"/>
      <c r="Q32" s="534">
        <f>IFERROR(MROUND(VLOOKUP(C32,'Full list.23'!C:G,5,FALSE)/M32*N32,5),0)</f>
        <v>0</v>
      </c>
      <c r="R32" s="534"/>
      <c r="S32" s="351">
        <f>IF($E$8="Express",IFERROR(MROUND(VLOOKUP(C32,'Full list.23'!C:G,5,FALSE)/M32*N32*1.45,5),0),IF($E$8="Normal",0))</f>
        <v>0</v>
      </c>
      <c r="T32" s="352"/>
      <c r="U32" s="376">
        <f t="shared" si="0"/>
        <v>0</v>
      </c>
      <c r="V32" s="377"/>
      <c r="W32" s="351">
        <f t="shared" si="1"/>
        <v>0</v>
      </c>
      <c r="X32" s="352"/>
    </row>
    <row r="33" spans="1:26" s="17" customFormat="1" ht="13.95" customHeight="1" thickBot="1">
      <c r="B33" s="574" t="s">
        <v>1751</v>
      </c>
      <c r="C33" s="575"/>
      <c r="D33" s="575"/>
      <c r="E33" s="575"/>
      <c r="F33" s="576"/>
      <c r="G33" s="577"/>
      <c r="H33" s="578"/>
      <c r="I33" s="579"/>
      <c r="J33" s="574" t="s">
        <v>1752</v>
      </c>
      <c r="K33" s="575"/>
      <c r="L33" s="575"/>
      <c r="M33" s="575"/>
      <c r="N33" s="580"/>
      <c r="O33" s="600">
        <f>SUM(O16:P32)</f>
        <v>4</v>
      </c>
      <c r="P33" s="601"/>
      <c r="Q33" s="618" t="s">
        <v>1753</v>
      </c>
      <c r="R33" s="619"/>
      <c r="S33" s="619"/>
      <c r="T33" s="620"/>
      <c r="U33" s="615">
        <f>IF(E8="Express",SUM(W15:X32)+U15,SUM(U15:V32))</f>
        <v>5600</v>
      </c>
      <c r="V33" s="615"/>
      <c r="W33" s="615"/>
      <c r="X33" s="616"/>
    </row>
    <row r="34" spans="1:26" ht="13.05" customHeight="1">
      <c r="C34" s="242"/>
      <c r="E34" s="243"/>
      <c r="F34" s="243"/>
      <c r="G34" s="243"/>
      <c r="H34" s="243"/>
      <c r="I34" s="243"/>
      <c r="J34" s="513" t="s">
        <v>156</v>
      </c>
      <c r="K34" s="513"/>
      <c r="L34" s="513"/>
      <c r="M34" s="513"/>
      <c r="N34" s="513"/>
      <c r="O34" s="598">
        <v>5</v>
      </c>
      <c r="P34" s="598"/>
      <c r="Q34" s="630">
        <v>200</v>
      </c>
      <c r="R34" s="631"/>
      <c r="S34" s="631"/>
      <c r="T34" s="632"/>
      <c r="U34" s="650">
        <f>+Q34*O34</f>
        <v>1000</v>
      </c>
      <c r="V34" s="651"/>
      <c r="W34" s="651"/>
      <c r="X34" s="652"/>
    </row>
    <row r="35" spans="1:26" ht="13.05" customHeight="1">
      <c r="C35" s="242"/>
      <c r="E35" s="243"/>
      <c r="F35" s="243"/>
      <c r="G35" s="243"/>
      <c r="H35" s="243"/>
      <c r="I35" s="243"/>
      <c r="J35" s="514" t="s">
        <v>157</v>
      </c>
      <c r="K35" s="514"/>
      <c r="L35" s="514"/>
      <c r="M35" s="514"/>
      <c r="N35" s="514"/>
      <c r="O35" s="613">
        <v>1</v>
      </c>
      <c r="P35" s="614"/>
      <c r="Q35" s="633">
        <v>2000</v>
      </c>
      <c r="R35" s="634"/>
      <c r="S35" s="634"/>
      <c r="T35" s="635"/>
      <c r="U35" s="653">
        <f t="shared" ref="U35:U36" si="2">+Q35*O35</f>
        <v>2000</v>
      </c>
      <c r="V35" s="654"/>
      <c r="W35" s="654"/>
      <c r="X35" s="655"/>
      <c r="Y35" s="165"/>
    </row>
    <row r="36" spans="1:26" ht="13.05" customHeight="1">
      <c r="C36" s="242"/>
      <c r="E36" s="243"/>
      <c r="F36" s="243"/>
      <c r="G36" s="243"/>
      <c r="H36" s="243"/>
      <c r="I36" s="243"/>
      <c r="J36" s="624" t="s">
        <v>1761</v>
      </c>
      <c r="K36" s="624"/>
      <c r="L36" s="624"/>
      <c r="M36" s="624"/>
      <c r="N36" s="624"/>
      <c r="O36" s="613">
        <v>0</v>
      </c>
      <c r="P36" s="614"/>
      <c r="Q36" s="636">
        <v>0</v>
      </c>
      <c r="R36" s="637"/>
      <c r="S36" s="637"/>
      <c r="T36" s="638"/>
      <c r="U36" s="656">
        <f t="shared" si="2"/>
        <v>0</v>
      </c>
      <c r="V36" s="657"/>
      <c r="W36" s="657"/>
      <c r="X36" s="658"/>
      <c r="Y36" s="165"/>
    </row>
    <row r="37" spans="1:26" s="17" customFormat="1" ht="15" customHeight="1">
      <c r="A37" s="17">
        <f>IF(N12="Kwabo",27%,IF(N12="tchéké",24%,IF(N12="Kankpé",24%,IF(N12="Gankpo",25%))))</f>
        <v>0.24</v>
      </c>
      <c r="B37"/>
      <c r="C37"/>
      <c r="D37"/>
      <c r="E37"/>
      <c r="F37"/>
      <c r="G37"/>
      <c r="H37"/>
      <c r="I37"/>
      <c r="J37" s="621" t="s">
        <v>1762</v>
      </c>
      <c r="K37" s="622"/>
      <c r="L37" s="622"/>
      <c r="M37" s="622"/>
      <c r="N37" s="623"/>
      <c r="O37" s="625">
        <f>IF(N12="Kwabo",27%,IF(N12="Tchéké",24%,IF(N12="Kankpé",24%,IF(N12="Gankpo",25%))))</f>
        <v>0.24</v>
      </c>
      <c r="P37" s="626"/>
      <c r="Q37" s="610" t="s">
        <v>1760</v>
      </c>
      <c r="R37" s="617"/>
      <c r="S37" s="617"/>
      <c r="T37" s="611"/>
      <c r="U37" s="608">
        <f>W37/(U33-K49)</f>
        <v>0</v>
      </c>
      <c r="V37" s="609"/>
      <c r="W37" s="610">
        <f>IF(U33&gt;K49,IF(N12="kwabo",(U33-K49)*0,IF(N12="tchéké",(U33-K49)*0.05,IF(N12="Kankpé",(U33-K49)*0.07,IF(N12="Gankpo",(U33-K49)*0.1)))),0)</f>
        <v>0</v>
      </c>
      <c r="X37" s="611"/>
    </row>
    <row r="38" spans="1:26" ht="15.45" customHeight="1" thickBot="1">
      <c r="Q38" s="648" t="s">
        <v>1757</v>
      </c>
      <c r="R38" s="649"/>
      <c r="S38" s="649"/>
      <c r="T38" s="649"/>
      <c r="U38" s="627">
        <f>U33+U34+U35+U36-W37</f>
        <v>8600</v>
      </c>
      <c r="V38" s="628"/>
      <c r="W38" s="628"/>
      <c r="X38" s="629"/>
      <c r="Y38" s="244"/>
    </row>
    <row r="39" spans="1:26" ht="16.95" customHeight="1">
      <c r="B39" s="14"/>
      <c r="C39" s="14"/>
      <c r="D39" s="14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612" t="s">
        <v>1749</v>
      </c>
      <c r="R39" s="612"/>
      <c r="S39" s="612"/>
      <c r="T39" s="612"/>
      <c r="U39" s="602">
        <f>U15</f>
        <v>1200</v>
      </c>
      <c r="V39" s="603"/>
      <c r="W39" s="603"/>
      <c r="X39" s="604"/>
      <c r="Z39" s="18"/>
    </row>
    <row r="40" spans="1:26" ht="16.95" customHeight="1">
      <c r="B40" s="14"/>
      <c r="C40" s="14"/>
      <c r="D40" s="14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599" t="s">
        <v>1750</v>
      </c>
      <c r="R40" s="599"/>
      <c r="S40" s="599"/>
      <c r="T40" s="599"/>
      <c r="U40" s="605">
        <f>+U38-U39</f>
        <v>7400</v>
      </c>
      <c r="V40" s="606"/>
      <c r="W40" s="606"/>
      <c r="X40" s="607"/>
      <c r="Z40" s="18"/>
    </row>
    <row r="41" spans="1:26" ht="16.95" hidden="1" customHeight="1">
      <c r="B41" s="14"/>
      <c r="C41" s="14"/>
      <c r="D41" s="14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567" t="s">
        <v>162</v>
      </c>
      <c r="S41" s="568"/>
      <c r="T41" s="569"/>
      <c r="U41" s="570">
        <v>0</v>
      </c>
      <c r="V41" s="571"/>
      <c r="W41" s="572">
        <v>0</v>
      </c>
      <c r="X41" s="573"/>
    </row>
    <row r="42" spans="1:26" ht="17.55" customHeight="1">
      <c r="B42" s="19"/>
      <c r="Q42" s="560" t="s">
        <v>163</v>
      </c>
      <c r="R42" s="560"/>
      <c r="S42" s="560"/>
      <c r="T42" s="560"/>
      <c r="U42" s="561">
        <f>IF(N49&lt;0,-N49,0)</f>
        <v>0</v>
      </c>
      <c r="V42" s="561"/>
      <c r="W42" s="561"/>
      <c r="X42" s="562"/>
    </row>
    <row r="43" spans="1:26" ht="18" customHeight="1">
      <c r="B43" s="19"/>
      <c r="D43" s="166"/>
      <c r="Q43" s="167"/>
      <c r="R43" s="168"/>
      <c r="S43" s="168"/>
      <c r="T43" s="168"/>
      <c r="U43" s="168"/>
      <c r="V43" s="169"/>
      <c r="W43" s="169"/>
      <c r="X43" s="169"/>
      <c r="Y43" s="18"/>
      <c r="Z43" s="18"/>
    </row>
    <row r="44" spans="1:26" ht="14.4">
      <c r="B44" s="19"/>
      <c r="D44" s="166"/>
      <c r="G44" s="565" t="s">
        <v>1745</v>
      </c>
      <c r="H44" s="566"/>
      <c r="I44" s="566"/>
      <c r="J44" s="566"/>
      <c r="K44" s="566"/>
      <c r="L44" s="566"/>
      <c r="M44" s="566"/>
      <c r="N44" s="566"/>
      <c r="O44" s="566"/>
      <c r="P44" s="566"/>
      <c r="Q44" s="563" t="s">
        <v>1765</v>
      </c>
      <c r="R44" s="563"/>
      <c r="S44" s="564"/>
      <c r="T44" s="235"/>
      <c r="U44" s="235"/>
      <c r="V44" s="169"/>
      <c r="W44" s="169"/>
      <c r="X44" s="169"/>
      <c r="Y44" s="245"/>
      <c r="Z44" s="245"/>
    </row>
    <row r="45" spans="1:26">
      <c r="B45" s="19"/>
      <c r="D45" s="166"/>
      <c r="G45" s="584" t="s">
        <v>1754</v>
      </c>
      <c r="H45" s="585"/>
      <c r="I45" s="585"/>
      <c r="J45" s="586"/>
      <c r="K45" s="587" t="s">
        <v>1766</v>
      </c>
      <c r="L45" s="587"/>
      <c r="M45" s="587"/>
      <c r="N45" s="587" t="s">
        <v>1767</v>
      </c>
      <c r="O45" s="587"/>
      <c r="P45" s="587"/>
      <c r="Q45" s="587" t="s">
        <v>1744</v>
      </c>
      <c r="R45" s="587"/>
      <c r="S45" s="587"/>
      <c r="T45" s="241"/>
      <c r="U45" s="235"/>
      <c r="V45" s="169"/>
      <c r="W45" s="169"/>
      <c r="X45" s="169"/>
      <c r="Y45" s="245"/>
    </row>
    <row r="46" spans="1:26" ht="18" customHeight="1">
      <c r="B46" s="19"/>
      <c r="D46" s="166"/>
      <c r="G46" s="591" t="s">
        <v>1747</v>
      </c>
      <c r="H46" s="591"/>
      <c r="I46" s="591"/>
      <c r="J46" s="591"/>
      <c r="K46" s="588">
        <f>+Abonné1!N46</f>
        <v>13050</v>
      </c>
      <c r="L46" s="588"/>
      <c r="M46" s="588"/>
      <c r="N46" s="596">
        <f>IF(U38&lt;=K46,K46-U38,0)</f>
        <v>4450</v>
      </c>
      <c r="O46" s="596"/>
      <c r="P46" s="596"/>
      <c r="Q46" s="588" t="s">
        <v>1748</v>
      </c>
      <c r="R46" s="588"/>
      <c r="S46" s="588"/>
      <c r="T46" s="235"/>
      <c r="U46" s="235"/>
      <c r="V46" s="169"/>
      <c r="W46" s="169"/>
      <c r="X46" s="169"/>
      <c r="Y46" s="18"/>
    </row>
    <row r="47" spans="1:26" ht="18" customHeight="1">
      <c r="B47" s="19"/>
      <c r="D47" s="166"/>
      <c r="G47" s="592" t="s">
        <v>1742</v>
      </c>
      <c r="H47" s="592"/>
      <c r="I47" s="592"/>
      <c r="J47" s="592"/>
      <c r="K47" s="590">
        <f>Abonné1!N47</f>
        <v>1560</v>
      </c>
      <c r="L47" s="590"/>
      <c r="M47" s="590"/>
      <c r="N47" s="597">
        <f>IF(N12="Tchéké",K47-U39,IF(N12="Kankpé",K47-U39,IF(N12="Gankpo",K47-U39,IF(N12="Kwabo",0))))</f>
        <v>360</v>
      </c>
      <c r="O47" s="597"/>
      <c r="P47" s="597"/>
      <c r="Q47" s="589">
        <f>EOMONTH(I7,0)</f>
        <v>45412</v>
      </c>
      <c r="R47" s="589"/>
      <c r="S47" s="589"/>
      <c r="T47" s="235"/>
      <c r="U47" s="235"/>
      <c r="V47" s="169"/>
      <c r="W47" s="239"/>
      <c r="X47" s="169"/>
      <c r="Y47" s="18"/>
    </row>
    <row r="48" spans="1:26" ht="18" customHeight="1">
      <c r="B48" s="19"/>
      <c r="D48" s="166"/>
      <c r="G48" s="593" t="s">
        <v>1743</v>
      </c>
      <c r="H48" s="594"/>
      <c r="I48" s="594"/>
      <c r="J48" s="595"/>
      <c r="K48" s="581">
        <f>Abonné1!N48</f>
        <v>16590</v>
      </c>
      <c r="L48" s="582"/>
      <c r="M48" s="583"/>
      <c r="N48" s="581">
        <f>IF(N12="tchéké",K48-U40,IF(N12="kankpé",K48-U40,IF(N12="gankpo",K48-U40,IF(N12="kwabo",K49-U38))))</f>
        <v>9190</v>
      </c>
      <c r="O48" s="582"/>
      <c r="P48" s="583"/>
      <c r="Q48" s="589">
        <f>EOMONTH(I7,0)</f>
        <v>45412</v>
      </c>
      <c r="R48" s="589"/>
      <c r="S48" s="589"/>
      <c r="T48" s="235"/>
      <c r="U48" s="235"/>
      <c r="V48" s="169"/>
      <c r="W48" s="169"/>
      <c r="X48" s="169"/>
      <c r="Y48" s="18"/>
    </row>
    <row r="49" spans="2:27" ht="18" customHeight="1">
      <c r="B49" s="19"/>
      <c r="D49" s="166"/>
      <c r="G49" s="548" t="s">
        <v>1755</v>
      </c>
      <c r="H49" s="549"/>
      <c r="I49" s="549"/>
      <c r="J49" s="550"/>
      <c r="K49" s="551">
        <f>Abonné1!N49</f>
        <v>18150</v>
      </c>
      <c r="L49" s="552"/>
      <c r="M49" s="553"/>
      <c r="N49" s="554">
        <f>N47+N48</f>
        <v>9550</v>
      </c>
      <c r="O49" s="555"/>
      <c r="P49" s="556"/>
      <c r="Q49" s="557" t="s">
        <v>1756</v>
      </c>
      <c r="R49" s="558"/>
      <c r="S49" s="559"/>
      <c r="T49" s="235"/>
      <c r="U49" s="235"/>
      <c r="V49" s="169"/>
      <c r="W49" s="169"/>
      <c r="X49" s="169"/>
      <c r="Y49" s="18"/>
    </row>
    <row r="50" spans="2:27" ht="10.95" customHeight="1">
      <c r="B50" s="19"/>
      <c r="D50" s="166"/>
      <c r="Q50" s="167"/>
      <c r="R50" s="168"/>
      <c r="S50" s="168"/>
      <c r="T50" s="168"/>
      <c r="U50" s="168"/>
      <c r="V50" s="169"/>
      <c r="W50" s="169"/>
      <c r="X50" s="169"/>
      <c r="Y50" s="18"/>
    </row>
    <row r="51" spans="2:27" s="170" customFormat="1" ht="19.95" customHeight="1">
      <c r="B51" s="252"/>
      <c r="C51" s="252"/>
      <c r="D51" s="253"/>
      <c r="E51" s="253"/>
      <c r="F51" s="547" t="s">
        <v>1779</v>
      </c>
      <c r="G51" s="547"/>
      <c r="H51" s="547"/>
      <c r="I51" s="547"/>
      <c r="J51" s="547"/>
      <c r="K51" s="255" t="s">
        <v>1778</v>
      </c>
      <c r="L51" s="256">
        <f ca="1">(DAYS360(EOMONTH(E6,-1)+1,EOMONTH(E6,0))+1)-DAYS360(EOMONTH(E6,-1)+1,E6+1)</f>
        <v>4</v>
      </c>
      <c r="M51" s="546" t="s">
        <v>1777</v>
      </c>
      <c r="N51" s="546"/>
      <c r="O51" s="546"/>
      <c r="P51" s="546"/>
      <c r="Q51" s="546"/>
      <c r="R51" s="546"/>
      <c r="S51" s="546"/>
      <c r="T51" s="253"/>
      <c r="U51" s="253"/>
      <c r="V51" s="253"/>
      <c r="W51" s="253"/>
      <c r="X51" s="253"/>
    </row>
    <row r="52" spans="2:27" s="170" customFormat="1" ht="11.55" customHeight="1"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</row>
    <row r="53" spans="2:27" ht="14.55" customHeight="1">
      <c r="B53" s="171" t="s">
        <v>164</v>
      </c>
      <c r="C53" s="171"/>
      <c r="D53" s="172"/>
      <c r="E53" s="171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3"/>
      <c r="S53" s="173"/>
      <c r="T53" s="173"/>
      <c r="U53" s="173"/>
      <c r="V53" s="174"/>
      <c r="W53" s="174"/>
      <c r="X53" s="174"/>
    </row>
    <row r="54" spans="2:27" ht="4.05" customHeight="1">
      <c r="B54" s="171"/>
      <c r="C54" s="171"/>
      <c r="D54" s="172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3"/>
      <c r="S54" s="173"/>
      <c r="T54" s="173"/>
      <c r="U54" s="173"/>
      <c r="V54" s="174"/>
      <c r="W54" s="174"/>
      <c r="X54" s="174"/>
    </row>
    <row r="55" spans="2:27" ht="29.55" customHeight="1">
      <c r="Q55" s="21"/>
      <c r="V55" s="20"/>
      <c r="W55" s="20"/>
      <c r="X55" s="20"/>
    </row>
    <row r="56" spans="2:27" ht="19.95" customHeight="1">
      <c r="Q56" s="21"/>
      <c r="V56" s="20"/>
      <c r="W56" s="20"/>
      <c r="X56" s="20"/>
    </row>
    <row r="57" spans="2:27" ht="12" customHeight="1"/>
    <row r="58" spans="2:27" s="9" customFormat="1" ht="19.95" customHeight="1">
      <c r="D58" s="140"/>
      <c r="E58" s="10"/>
      <c r="F58" s="10"/>
      <c r="G58" s="10"/>
      <c r="H58" s="10"/>
      <c r="I58" s="10"/>
      <c r="J58" s="10"/>
      <c r="K58" s="10"/>
      <c r="L58" s="10"/>
      <c r="O58" s="12"/>
      <c r="Q58" s="11"/>
      <c r="R58" s="12"/>
      <c r="S58" s="12"/>
      <c r="T58" s="12"/>
      <c r="U58" s="12"/>
      <c r="V58" s="13"/>
      <c r="W58" s="13"/>
      <c r="X58" s="13"/>
      <c r="Y58" s="14"/>
      <c r="Z58" s="14"/>
      <c r="AA58" s="14"/>
    </row>
  </sheetData>
  <sheetProtection selectLockedCells="1"/>
  <mergeCells count="213">
    <mergeCell ref="B7:D7"/>
    <mergeCell ref="I7:J7"/>
    <mergeCell ref="L7:Q8"/>
    <mergeCell ref="S7:U7"/>
    <mergeCell ref="V7:X7"/>
    <mergeCell ref="B8:D8"/>
    <mergeCell ref="E8:G8"/>
    <mergeCell ref="B3:X3"/>
    <mergeCell ref="L5:Q6"/>
    <mergeCell ref="B6:D6"/>
    <mergeCell ref="E6:G6"/>
    <mergeCell ref="S6:U6"/>
    <mergeCell ref="V6:X6"/>
    <mergeCell ref="D11:F11"/>
    <mergeCell ref="G11:J11"/>
    <mergeCell ref="K11:M11"/>
    <mergeCell ref="N11:P11"/>
    <mergeCell ref="Q11:R11"/>
    <mergeCell ref="G12:J12"/>
    <mergeCell ref="K12:M12"/>
    <mergeCell ref="N12:P12"/>
    <mergeCell ref="Q12:R12"/>
    <mergeCell ref="W14:X14"/>
    <mergeCell ref="D15:J15"/>
    <mergeCell ref="K15:L15"/>
    <mergeCell ref="O15:P15"/>
    <mergeCell ref="Q15:R15"/>
    <mergeCell ref="S15:T15"/>
    <mergeCell ref="U15:V15"/>
    <mergeCell ref="W15:X15"/>
    <mergeCell ref="D14:J14"/>
    <mergeCell ref="K14:L14"/>
    <mergeCell ref="O14:P14"/>
    <mergeCell ref="Q14:R14"/>
    <mergeCell ref="S14:T14"/>
    <mergeCell ref="U14:V14"/>
    <mergeCell ref="W16:X16"/>
    <mergeCell ref="D17:J17"/>
    <mergeCell ref="K17:L17"/>
    <mergeCell ref="O17:P17"/>
    <mergeCell ref="Q17:R17"/>
    <mergeCell ref="S17:T17"/>
    <mergeCell ref="U17:V17"/>
    <mergeCell ref="W17:X17"/>
    <mergeCell ref="D16:J16"/>
    <mergeCell ref="K16:L16"/>
    <mergeCell ref="O16:P16"/>
    <mergeCell ref="Q16:R16"/>
    <mergeCell ref="S16:T16"/>
    <mergeCell ref="U16:V16"/>
    <mergeCell ref="W18:X18"/>
    <mergeCell ref="D19:J19"/>
    <mergeCell ref="K19:L19"/>
    <mergeCell ref="O19:P19"/>
    <mergeCell ref="Q19:R19"/>
    <mergeCell ref="S19:T19"/>
    <mergeCell ref="U19:V19"/>
    <mergeCell ref="W19:X19"/>
    <mergeCell ref="D18:J18"/>
    <mergeCell ref="K18:L18"/>
    <mergeCell ref="O18:P18"/>
    <mergeCell ref="Q18:R18"/>
    <mergeCell ref="S18:T18"/>
    <mergeCell ref="U18:V18"/>
    <mergeCell ref="W20:X20"/>
    <mergeCell ref="D21:J21"/>
    <mergeCell ref="K21:L21"/>
    <mergeCell ref="O21:P21"/>
    <mergeCell ref="Q21:R21"/>
    <mergeCell ref="S21:T21"/>
    <mergeCell ref="U21:V21"/>
    <mergeCell ref="W21:X21"/>
    <mergeCell ref="D20:J20"/>
    <mergeCell ref="K20:L20"/>
    <mergeCell ref="O20:P20"/>
    <mergeCell ref="Q20:R20"/>
    <mergeCell ref="S20:T20"/>
    <mergeCell ref="U20:V20"/>
    <mergeCell ref="W22:X22"/>
    <mergeCell ref="D23:J23"/>
    <mergeCell ref="K23:L23"/>
    <mergeCell ref="O23:P23"/>
    <mergeCell ref="Q23:R23"/>
    <mergeCell ref="S23:T23"/>
    <mergeCell ref="U23:V23"/>
    <mergeCell ref="W23:X23"/>
    <mergeCell ref="D22:J22"/>
    <mergeCell ref="K22:L22"/>
    <mergeCell ref="O22:P22"/>
    <mergeCell ref="Q22:R22"/>
    <mergeCell ref="S22:T22"/>
    <mergeCell ref="U22:V22"/>
    <mergeCell ref="W24:X24"/>
    <mergeCell ref="D25:J25"/>
    <mergeCell ref="K25:L25"/>
    <mergeCell ref="O25:P25"/>
    <mergeCell ref="Q25:R25"/>
    <mergeCell ref="S25:T25"/>
    <mergeCell ref="U25:V25"/>
    <mergeCell ref="W25:X25"/>
    <mergeCell ref="D24:J24"/>
    <mergeCell ref="K24:L24"/>
    <mergeCell ref="O24:P24"/>
    <mergeCell ref="Q24:R24"/>
    <mergeCell ref="S24:T24"/>
    <mergeCell ref="U24:V24"/>
    <mergeCell ref="W26:X26"/>
    <mergeCell ref="D27:J27"/>
    <mergeCell ref="K27:L27"/>
    <mergeCell ref="O27:P27"/>
    <mergeCell ref="Q27:R27"/>
    <mergeCell ref="S27:T27"/>
    <mergeCell ref="U27:V27"/>
    <mergeCell ref="W27:X27"/>
    <mergeCell ref="D26:J26"/>
    <mergeCell ref="K26:L26"/>
    <mergeCell ref="O26:P26"/>
    <mergeCell ref="Q26:R26"/>
    <mergeCell ref="S26:T26"/>
    <mergeCell ref="U26:V26"/>
    <mergeCell ref="W28:X28"/>
    <mergeCell ref="D29:J29"/>
    <mergeCell ref="K29:L29"/>
    <mergeCell ref="O29:P29"/>
    <mergeCell ref="Q29:R29"/>
    <mergeCell ref="S29:T29"/>
    <mergeCell ref="U29:V29"/>
    <mergeCell ref="W29:X29"/>
    <mergeCell ref="D28:J28"/>
    <mergeCell ref="K28:L28"/>
    <mergeCell ref="O28:P28"/>
    <mergeCell ref="Q28:R28"/>
    <mergeCell ref="S28:T28"/>
    <mergeCell ref="U28:V28"/>
    <mergeCell ref="W30:X30"/>
    <mergeCell ref="D31:J31"/>
    <mergeCell ref="K31:L31"/>
    <mergeCell ref="O31:P31"/>
    <mergeCell ref="Q31:R31"/>
    <mergeCell ref="S31:T31"/>
    <mergeCell ref="U31:V31"/>
    <mergeCell ref="W31:X31"/>
    <mergeCell ref="D30:J30"/>
    <mergeCell ref="K30:L30"/>
    <mergeCell ref="O30:P30"/>
    <mergeCell ref="Q30:R30"/>
    <mergeCell ref="S30:T30"/>
    <mergeCell ref="U30:V30"/>
    <mergeCell ref="W32:X32"/>
    <mergeCell ref="B33:F33"/>
    <mergeCell ref="G33:I33"/>
    <mergeCell ref="J33:N33"/>
    <mergeCell ref="O33:P33"/>
    <mergeCell ref="Q33:T33"/>
    <mergeCell ref="U33:X33"/>
    <mergeCell ref="D32:J32"/>
    <mergeCell ref="K32:L32"/>
    <mergeCell ref="O32:P32"/>
    <mergeCell ref="Q32:R32"/>
    <mergeCell ref="S32:T32"/>
    <mergeCell ref="U32:V32"/>
    <mergeCell ref="J34:N34"/>
    <mergeCell ref="O34:P34"/>
    <mergeCell ref="Q34:T34"/>
    <mergeCell ref="Q35:T35"/>
    <mergeCell ref="U34:X34"/>
    <mergeCell ref="U35:X35"/>
    <mergeCell ref="J37:N37"/>
    <mergeCell ref="O37:P37"/>
    <mergeCell ref="Q37:T37"/>
    <mergeCell ref="U37:V37"/>
    <mergeCell ref="W37:X37"/>
    <mergeCell ref="J36:N36"/>
    <mergeCell ref="O36:P36"/>
    <mergeCell ref="Q36:T36"/>
    <mergeCell ref="U36:X36"/>
    <mergeCell ref="U42:X42"/>
    <mergeCell ref="G44:P44"/>
    <mergeCell ref="Q44:S44"/>
    <mergeCell ref="J35:N35"/>
    <mergeCell ref="O35:P35"/>
    <mergeCell ref="Q39:T39"/>
    <mergeCell ref="U39:X39"/>
    <mergeCell ref="Q40:T40"/>
    <mergeCell ref="U40:X40"/>
    <mergeCell ref="R41:T41"/>
    <mergeCell ref="U41:V41"/>
    <mergeCell ref="W41:X41"/>
    <mergeCell ref="Q38:T38"/>
    <mergeCell ref="U38:X38"/>
    <mergeCell ref="G46:J46"/>
    <mergeCell ref="K46:M46"/>
    <mergeCell ref="N46:P46"/>
    <mergeCell ref="Q46:S46"/>
    <mergeCell ref="G47:J47"/>
    <mergeCell ref="K47:M47"/>
    <mergeCell ref="N47:P47"/>
    <mergeCell ref="Q47:S47"/>
    <mergeCell ref="Q42:T42"/>
    <mergeCell ref="G45:J45"/>
    <mergeCell ref="K45:M45"/>
    <mergeCell ref="N45:P45"/>
    <mergeCell ref="Q45:S45"/>
    <mergeCell ref="G48:J48"/>
    <mergeCell ref="K48:M48"/>
    <mergeCell ref="N48:P48"/>
    <mergeCell ref="Q48:S48"/>
    <mergeCell ref="G49:J49"/>
    <mergeCell ref="K49:M49"/>
    <mergeCell ref="N49:P49"/>
    <mergeCell ref="Q49:S49"/>
    <mergeCell ref="F51:J51"/>
    <mergeCell ref="M51:S51"/>
  </mergeCells>
  <phoneticPr fontId="32" type="noConversion"/>
  <conditionalFormatting sqref="B51:X51">
    <cfRule type="expression" dxfId="14" priority="2">
      <formula>$L$51&gt;11</formula>
    </cfRule>
    <cfRule type="expression" dxfId="13" priority="3">
      <formula>$L$51&lt;=11</formula>
    </cfRule>
  </conditionalFormatting>
  <conditionalFormatting sqref="K51:L51">
    <cfRule type="expression" dxfId="12" priority="1">
      <formula>$L$51&lt;=11</formula>
    </cfRule>
  </conditionalFormatting>
  <dataValidations count="4">
    <dataValidation type="list" allowBlank="1" showInputMessage="1" showErrorMessage="1" sqref="N12:P12" xr:uid="{6676270C-EFD5-465E-BF58-DC6EB52D513A}">
      <formula1>"Kwabo,Tchéké,Kankpé,Gankpo"</formula1>
    </dataValidation>
    <dataValidation type="list" allowBlank="1" showInputMessage="1" showErrorMessage="1" sqref="S12:T12" xr:uid="{FA6B4BF8-CA18-46C0-8CBD-2CAFBBC07AC8}">
      <formula1>"OUI,NON"</formula1>
    </dataValidation>
    <dataValidation type="list" allowBlank="1" showInputMessage="1" showErrorMessage="1" sqref="E8:G8" xr:uid="{7B88AE31-4018-4ACE-AF33-FDD2B7D85A60}">
      <formula1>"Express,Normal"</formula1>
    </dataValidation>
    <dataValidation type="list" allowBlank="1" showInputMessage="1" showErrorMessage="1" sqref="K15:L32" xr:uid="{76970816-41CC-4D23-BF1C-A5E64AAED272}">
      <formula1>"Bébé,Enfant,Repassage,Express,_"</formula1>
    </dataValidation>
  </dataValidations>
  <pageMargins left="0.1" right="0.1" top="0" bottom="0" header="0.3" footer="0.3"/>
  <pageSetup paperSize="9" scale="90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10</vt:i4>
      </vt:variant>
    </vt:vector>
  </HeadingPairs>
  <TitlesOfParts>
    <vt:vector size="23" baseType="lpstr">
      <vt:lpstr>Fériés</vt:lpstr>
      <vt:lpstr>Full list.23</vt:lpstr>
      <vt:lpstr>Full list.23 v3</vt:lpstr>
      <vt:lpstr>Base Clients</vt:lpstr>
      <vt:lpstr>FACTURE </vt:lpstr>
      <vt:lpstr>Feuil1</vt:lpstr>
      <vt:lpstr>EXPRESS</vt:lpstr>
      <vt:lpstr>Abonné1</vt:lpstr>
      <vt:lpstr>Abonné2</vt:lpstr>
      <vt:lpstr>Abonné3</vt:lpstr>
      <vt:lpstr>Abonné4</vt:lpstr>
      <vt:lpstr>Abonné5</vt:lpstr>
      <vt:lpstr>Abonné6</vt:lpstr>
      <vt:lpstr>Abonné1!Zone_d_impression</vt:lpstr>
      <vt:lpstr>Abonné2!Zone_d_impression</vt:lpstr>
      <vt:lpstr>Abonné3!Zone_d_impression</vt:lpstr>
      <vt:lpstr>Abonné4!Zone_d_impression</vt:lpstr>
      <vt:lpstr>Abonné5!Zone_d_impression</vt:lpstr>
      <vt:lpstr>Abonné6!Zone_d_impression</vt:lpstr>
      <vt:lpstr>EXPRESS!Zone_d_impression</vt:lpstr>
      <vt:lpstr>'FACTURE '!Zone_d_impression</vt:lpstr>
      <vt:lpstr>'Full list.23'!Zone_d_impression</vt:lpstr>
      <vt:lpstr>'Full list.23 v3'!Zone_d_impression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Melene AHOUNOU</dc:creator>
  <cp:lastModifiedBy>Méryl AHOUNOU</cp:lastModifiedBy>
  <cp:lastPrinted>2024-03-22T15:11:53Z</cp:lastPrinted>
  <dcterms:created xsi:type="dcterms:W3CDTF">2023-07-12T01:07:34Z</dcterms:created>
  <dcterms:modified xsi:type="dcterms:W3CDTF">2024-08-27T15:42:24Z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80a7a3a-bc3c-4766-942e-caa06576f037_Enabled">
    <vt:lpwstr>true</vt:lpwstr>
  </property>
  <property fmtid="{D5CDD505-2E9C-101B-9397-08002B2CF9AE}" pid="3" name="MSIP_Label_f80a7a3a-bc3c-4766-942e-caa06576f037_SetDate">
    <vt:lpwstr>2023-07-12T01:10:20Z</vt:lpwstr>
  </property>
  <property fmtid="{D5CDD505-2E9C-101B-9397-08002B2CF9AE}" pid="4" name="MSIP_Label_f80a7a3a-bc3c-4766-942e-caa06576f037_Method">
    <vt:lpwstr>Privileged</vt:lpwstr>
  </property>
  <property fmtid="{D5CDD505-2E9C-101B-9397-08002B2CF9AE}" pid="5" name="MSIP_Label_f80a7a3a-bc3c-4766-942e-caa06576f037_Name">
    <vt:lpwstr>Private</vt:lpwstr>
  </property>
  <property fmtid="{D5CDD505-2E9C-101B-9397-08002B2CF9AE}" pid="6" name="MSIP_Label_f80a7a3a-bc3c-4766-942e-caa06576f037_SiteId">
    <vt:lpwstr>c9b9cb50-3644-4db4-a267-fa84df2f4ceb</vt:lpwstr>
  </property>
  <property fmtid="{D5CDD505-2E9C-101B-9397-08002B2CF9AE}" pid="7" name="MSIP_Label_f80a7a3a-bc3c-4766-942e-caa06576f037_ActionId">
    <vt:lpwstr>e8f9adca-dc83-46a7-ba4f-005df0fb283d</vt:lpwstr>
  </property>
  <property fmtid="{D5CDD505-2E9C-101B-9397-08002B2CF9AE}" pid="8" name="MSIP_Label_f80a7a3a-bc3c-4766-942e-caa06576f037_ContentBits">
    <vt:lpwstr>0</vt:lpwstr>
  </property>
</Properties>
</file>